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3.xml" ContentType="application/vnd.openxmlformats-officedocument.spreadsheetml.comments+xml"/>
  <Override PartName="/xl/threadedComments/threadedComment2.xml" ContentType="application/vnd.ms-excel.threadedcomments+xml"/>
  <Override PartName="/xl/comments4.xml" ContentType="application/vnd.openxmlformats-officedocument.spreadsheetml.comments+xml"/>
  <Override PartName="/xl/threadedComments/threadedComment3.xml" ContentType="application/vnd.ms-excel.threadedcomments+xml"/>
  <Override PartName="/xl/drawings/drawing3.xml" ContentType="application/vnd.openxmlformats-officedocument.drawing+xml"/>
  <Override PartName="/xl/comments5.xml" ContentType="application/vnd.openxmlformats-officedocument.spreadsheetml.comments+xml"/>
  <Override PartName="/xl/charts/chart1.xml" ContentType="application/vnd.openxmlformats-officedocument.drawingml.chart+xml"/>
  <Override PartName="/xl/drawings/drawing4.xml" ContentType="application/vnd.openxmlformats-officedocument.drawing+xml"/>
  <Override PartName="/xl/drawings/drawing5.xml" ContentType="application/vnd.openxmlformats-officedocument.drawing+xml"/>
  <Override PartName="/xl/comments6.xml" ContentType="application/vnd.openxmlformats-officedocument.spreadsheetml.comments+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style1.xml" ContentType="application/vnd.ms-office.chartstyle+xml"/>
  <Override PartName="/xl/charts/colors1.xml" ContentType="application/vnd.ms-office.chartcolorstyle+xml"/>
  <Override PartName="/xl/charts/chart5.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7.xml" ContentType="application/vnd.openxmlformats-officedocument.spreadsheetml.comments+xml"/>
  <Override PartName="/xl/threadedComments/threadedComment4.xml" ContentType="application/vnd.ms-excel.threadedcomments+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style3.xml" ContentType="application/vnd.ms-office.chartstyle+xml"/>
  <Override PartName="/xl/charts/colors3.xml" ContentType="application/vnd.ms-office.chartcolorstyle+xml"/>
  <Override PartName="/xl/charts/chart9.xml" ContentType="application/vnd.openxmlformats-officedocument.drawingml.chart+xml"/>
  <Override PartName="/xl/charts/style4.xml" ContentType="application/vnd.ms-office.chartstyle+xml"/>
  <Override PartName="/xl/charts/colors4.xml" ContentType="application/vnd.ms-office.chartcolorstyle+xml"/>
  <Override PartName="/xl/comments8.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defaultThemeVersion="166925"/>
  <mc:AlternateContent xmlns:mc="http://schemas.openxmlformats.org/markup-compatibility/2006">
    <mc:Choice Requires="x15">
      <x15ac:absPath xmlns:x15ac="http://schemas.microsoft.com/office/spreadsheetml/2010/11/ac" url="C:\Models\SATIMGE_Veda\"/>
    </mc:Choice>
  </mc:AlternateContent>
  <xr:revisionPtr revIDLastSave="0" documentId="13_ncr:1_{9083A30D-FC88-4809-809C-C5D196808171}" xr6:coauthVersionLast="47" xr6:coauthVersionMax="47" xr10:uidLastSave="{00000000-0000-0000-0000-000000000000}"/>
  <bookViews>
    <workbookView xWindow="2190" yWindow="1860" windowWidth="26610" windowHeight="13740" firstSheet="4" activeTab="10" xr2:uid="{E5F8B398-E078-41ED-B259-65DAD54952E7}"/>
  </bookViews>
  <sheets>
    <sheet name="Index" sheetId="1" r:id="rId1"/>
    <sheet name="ChangeLog" sheetId="2" r:id="rId2"/>
    <sheet name="NameConv" sheetId="3" r:id="rId3"/>
    <sheet name="EnergyBalance2017" sheetId="4" r:id="rId4"/>
    <sheet name="ITEMS_Tech" sheetId="15" r:id="rId5"/>
    <sheet name="ITEMS_Comm" sheetId="16" r:id="rId6"/>
    <sheet name="SUP" sheetId="5" r:id="rId7"/>
    <sheet name="LNG" sheetId="17" r:id="rId8"/>
    <sheet name="GasPipeLines" sheetId="20" r:id="rId9"/>
    <sheet name="FugitiveEmissions" sheetId="7" r:id="rId10"/>
    <sheet name="EmissionsAggregationCO2eq" sheetId="8" r:id="rId11"/>
    <sheet name="FuelTechs" sheetId="9" r:id="rId12"/>
    <sheet name="Liq Fuel Prices" sheetId="10" r:id="rId13"/>
    <sheet name="IEA_WEO" sheetId="12" r:id="rId14"/>
    <sheet name="FuelDistribution" sheetId="14" r:id="rId15"/>
  </sheets>
  <externalReferences>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s>
  <definedNames>
    <definedName name="__FDS_HYPERLINK_TOGGLE_STATE__" hidden="1">"ON"</definedName>
    <definedName name="_AMO_RefreshMultipleList" hidden="1">"'296899469 426988102 362274166 589584065 285770244'"</definedName>
    <definedName name="_AMO_SingleObject_296899469__A1" hidden="1">#REF!</definedName>
    <definedName name="_AMO_UniqueIdentifier" hidden="1">"'ee2dcedb-2b19-4872-8d76-977f9596c89e'"</definedName>
    <definedName name="_AMO_XmlVersion" hidden="1">"'1'"</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11" hidden="1">FuelTechs!$B$8:$AA$63</definedName>
    <definedName name="_xlnm._FilterDatabase" localSheetId="2" hidden="1">NameConv!#REF!</definedName>
    <definedName name="AGR">[1]Index!$C$7</definedName>
    <definedName name="COM">[1]Index!$C$8</definedName>
    <definedName name="CV_Coal">'[2]Calorific values'!$B$18</definedName>
    <definedName name="CV_GasSASOL">'[2]Calorific values'!$B$8</definedName>
    <definedName name="Demand.Sectors">[3]Index!$D$2:$J$2</definedName>
    <definedName name="diesel.cv">[4]units!$B$2</definedName>
    <definedName name="drate">'[5]TechWATv5 (supwat5)'!$E$3</definedName>
    <definedName name="emissions_start">[3]NameConv!$AY$4</definedName>
    <definedName name="emissions_types">[3]NameConv!$AX$3</definedName>
    <definedName name="eps">NameConv!$D$2</definedName>
    <definedName name="FuelNames">NameConv!$B$5:$C$46</definedName>
    <definedName name="FuelNamesLong">NameConv!$B$5:$B$46</definedName>
    <definedName name="FuelNamesShort">NameConv!$C$5:$C$46</definedName>
    <definedName name="gwpch4">'[2]SASOL CC 2019 report'!$E$98</definedName>
    <definedName name="gwpn2o">'[2]SASOL CC 2019 report'!$E$97</definedName>
    <definedName name="H2.LHV.MJ_kg">'[3]Hydrogen-ELT'!$D$39</definedName>
    <definedName name="inchtocentimetre">FuelDistribution!$A$20</definedName>
    <definedName name="IND">[1]Index!$C$9</definedName>
    <definedName name="LOCAL_MYSQL_DATE_FORMAT" localSheetId="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Model_RUN_code">[3]Index!$A$2</definedName>
    <definedName name="New_basic_data_start">'[6]New Capacity basic data'!$B$9</definedName>
    <definedName name="Pal_Workbook_GUID" localSheetId="14" hidden="1">"VPJDZVPESBNLN75EMHY6J774"</definedName>
    <definedName name="Pal_Workbook_GUID" localSheetId="9" hidden="1">"VPJDZVPESBNLN75EMHY6J774"</definedName>
    <definedName name="petrol.cv">[4]units!$B$3</definedName>
    <definedName name="REF.crude.CAP_rel.2020">'[3]Crude refineries'!$F$56</definedName>
    <definedName name="REF.crude.CAP_rel.2021">'[3]Crude refineries'!$G$56</definedName>
    <definedName name="REF.crude.CAP_rel.2022">'[3]Crude refineries'!$H$56</definedName>
    <definedName name="REF.crude.CAP_rel.2030">'[3]Crude refineries'!$J$56</definedName>
    <definedName name="REF.crude.CAP_rel.2040">'[3]Crude refineries'!$L$56</definedName>
    <definedName name="RES">[1]Index!$C$10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ector.Agriculture">[3]Index!$D$2</definedName>
    <definedName name="Sector.Commercial">[3]Index!$E$2</definedName>
    <definedName name="Sector.Industry">[3]Index!$F$2</definedName>
    <definedName name="Sector.Power">[3]Index!$I$2</definedName>
    <definedName name="Sector.Residential">[3]Index!$H$2</definedName>
    <definedName name="Sector.Supply">[3]Index!$J$2</definedName>
    <definedName name="Sector.Transport">[3]Index!$G$2</definedName>
    <definedName name="sector_prefix" localSheetId="8">GasPipeLines!#REF!</definedName>
    <definedName name="sector_prefix">LNG!#REF!</definedName>
    <definedName name="SectorNames">NameConv!$B$51:$C$59</definedName>
    <definedName name="SectorNamesLong">NameConv!$C$51:$C$59</definedName>
    <definedName name="SectorNamesShort">NameConv!$B$51:$B$59</definedName>
    <definedName name="solver_eng" localSheetId="6" hidden="1">1</definedName>
    <definedName name="solver_neg" localSheetId="6" hidden="1">1</definedName>
    <definedName name="solver_num" localSheetId="6" hidden="1">0</definedName>
    <definedName name="solver_opt" localSheetId="6" hidden="1">SUP!$A$95</definedName>
    <definedName name="solver_typ" localSheetId="6" hidden="1">1</definedName>
    <definedName name="solver_val" localSheetId="6" hidden="1">0</definedName>
    <definedName name="solver_ver" localSheetId="6" hidden="1">3</definedName>
    <definedName name="TRA">[1]Index!$C$11</definedName>
    <definedName name="XLSIMSIM" localSheetId="9" hidden="1">{"Sim",3,"Output 1","'Reworked data'!$AI$84","Output 2","'Reworked data'!$AJ$84","Output 3","'Reworked data'!$AK$84","1","2","100","0"}</definedName>
    <definedName name="zar.2006">[7]Deflator!$L$4</definedName>
    <definedName name="zar.2009">[7]Deflator!$O$4</definedName>
    <definedName name="zar.2010">[7]Deflator!$P$4</definedName>
    <definedName name="zar.2012">[7]Deflator!$R$4</definedName>
    <definedName name="zar.2013">[7]Deflator!$S$4</definedName>
    <definedName name="zar.2014">[7]Deflator!$T$4</definedName>
    <definedName name="zar.2015">[7]Deflator!$U$4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Y28" i="9" l="1"/>
  <c r="V28" i="9"/>
  <c r="T28" i="9"/>
  <c r="E28" i="9"/>
  <c r="L28" i="9" s="1"/>
  <c r="D28" i="9"/>
  <c r="U28" i="9" s="1"/>
  <c r="T35" i="9"/>
  <c r="E35" i="9"/>
  <c r="L35" i="9" s="1"/>
  <c r="D35" i="9"/>
  <c r="U35" i="9" s="1"/>
  <c r="Y30" i="9"/>
  <c r="V30" i="9"/>
  <c r="T30" i="9"/>
  <c r="E30" i="9"/>
  <c r="L30" i="9" s="1"/>
  <c r="D30" i="9"/>
  <c r="K30" i="9" s="1"/>
  <c r="S30" i="9" s="1"/>
  <c r="D64" i="9"/>
  <c r="U64" i="9" s="1"/>
  <c r="E64" i="9"/>
  <c r="L64" i="9" s="1"/>
  <c r="T64" i="9"/>
  <c r="D65" i="9"/>
  <c r="K65" i="9" s="1"/>
  <c r="S65" i="9" s="1"/>
  <c r="E65" i="9"/>
  <c r="L65" i="9" s="1"/>
  <c r="T65" i="9"/>
  <c r="D66" i="9"/>
  <c r="U66" i="9" s="1"/>
  <c r="E66" i="9"/>
  <c r="L66" i="9" s="1"/>
  <c r="T66" i="9"/>
  <c r="D67" i="9"/>
  <c r="K67" i="9" s="1"/>
  <c r="S67" i="9" s="1"/>
  <c r="E67" i="9"/>
  <c r="L67" i="9" s="1"/>
  <c r="T67" i="9"/>
  <c r="D68" i="9"/>
  <c r="K68" i="9" s="1"/>
  <c r="S68" i="9" s="1"/>
  <c r="E68" i="9"/>
  <c r="L68" i="9" s="1"/>
  <c r="T68" i="9"/>
  <c r="D69" i="9"/>
  <c r="K69" i="9" s="1"/>
  <c r="S69" i="9" s="1"/>
  <c r="E69" i="9"/>
  <c r="L69" i="9" s="1"/>
  <c r="T69" i="9"/>
  <c r="F83" i="5"/>
  <c r="K28" i="9" l="1"/>
  <c r="S28" i="9" s="1"/>
  <c r="K35" i="9"/>
  <c r="S35" i="9" s="1"/>
  <c r="K64" i="9"/>
  <c r="S64" i="9" s="1"/>
  <c r="U30" i="9"/>
  <c r="U69" i="9"/>
  <c r="U67" i="9"/>
  <c r="K66" i="9"/>
  <c r="S66" i="9" s="1"/>
  <c r="U65" i="9"/>
  <c r="U68" i="9"/>
  <c r="E21" i="9" l="1"/>
  <c r="L21" i="9" s="1"/>
  <c r="D21" i="9"/>
  <c r="U21" i="9" s="1"/>
  <c r="E20" i="9"/>
  <c r="L20" i="9" s="1"/>
  <c r="D20" i="9"/>
  <c r="U20" i="9" s="1"/>
  <c r="Y31" i="9"/>
  <c r="V31" i="9"/>
  <c r="E31" i="9"/>
  <c r="L31" i="9" s="1"/>
  <c r="D31" i="9"/>
  <c r="K31" i="9" s="1"/>
  <c r="S31" i="9" s="1"/>
  <c r="A27" i="3"/>
  <c r="A28" i="3" s="1"/>
  <c r="A29" i="3" s="1"/>
  <c r="Y29" i="9"/>
  <c r="V29" i="9"/>
  <c r="T29" i="9"/>
  <c r="E29" i="9"/>
  <c r="L29" i="9" s="1"/>
  <c r="D29" i="9"/>
  <c r="U29" i="9" s="1"/>
  <c r="F32" i="5"/>
  <c r="F30" i="5"/>
  <c r="K21" i="9" l="1"/>
  <c r="S21" i="9" s="1"/>
  <c r="K20" i="9"/>
  <c r="S20" i="9" s="1"/>
  <c r="U31" i="9"/>
  <c r="K29" i="9"/>
  <c r="S29" i="9" s="1"/>
  <c r="M20" i="17"/>
  <c r="O20" i="17"/>
  <c r="F20" i="17"/>
  <c r="J2" i="20"/>
  <c r="J6" i="20" s="1"/>
  <c r="N4" i="20"/>
  <c r="O6" i="17"/>
  <c r="L6" i="17"/>
  <c r="K6" i="17"/>
  <c r="V19" i="17"/>
  <c r="S20" i="17"/>
  <c r="S19" i="17"/>
  <c r="T19" i="17" s="1"/>
  <c r="U19" i="17" s="1"/>
  <c r="K2" i="17"/>
  <c r="G7" i="17"/>
  <c r="E7" i="17"/>
  <c r="E6" i="17"/>
  <c r="C22" i="17"/>
  <c r="C20" i="17" s="1"/>
  <c r="D20" i="17" s="1"/>
  <c r="J20" i="17"/>
  <c r="O19" i="17"/>
  <c r="F19" i="17"/>
  <c r="J19" i="17" s="1"/>
  <c r="G6" i="17" s="1"/>
  <c r="C31" i="20"/>
  <c r="C32" i="20" s="1"/>
  <c r="C33" i="20" s="1"/>
  <c r="C35" i="20" s="1"/>
  <c r="J10" i="20"/>
  <c r="J7" i="20"/>
  <c r="J8" i="20" l="1"/>
  <c r="C38" i="20"/>
  <c r="J9" i="20" s="1"/>
  <c r="C19" i="17"/>
  <c r="D19" i="17" s="1"/>
  <c r="G20" i="17"/>
  <c r="H20" i="17" s="1"/>
  <c r="G19" i="17"/>
  <c r="I19" i="17"/>
  <c r="F10" i="20"/>
  <c r="K20" i="17" l="1"/>
  <c r="I20" i="17"/>
  <c r="P20" i="17"/>
  <c r="L7" i="17" s="1"/>
  <c r="K19" i="17"/>
  <c r="H19" i="17"/>
  <c r="L20" i="17" l="1"/>
  <c r="I7" i="17" s="1"/>
  <c r="O7" i="17"/>
  <c r="N20" i="17"/>
  <c r="K7" i="17" s="1"/>
  <c r="L19" i="17"/>
  <c r="I6" i="17" s="1"/>
  <c r="N19" i="17"/>
  <c r="P19" i="17"/>
  <c r="T20" i="17"/>
  <c r="U20" i="17" s="1"/>
  <c r="V20" i="17" s="1"/>
  <c r="F72" i="5" l="1"/>
  <c r="F70" i="5"/>
  <c r="G69" i="5"/>
  <c r="H69" i="5"/>
  <c r="I69" i="5"/>
  <c r="F69" i="5"/>
  <c r="I94" i="5"/>
  <c r="H94" i="5"/>
  <c r="G60" i="5"/>
  <c r="F60" i="5"/>
  <c r="D36" i="5" l="1"/>
  <c r="T41" i="5"/>
  <c r="S41" i="5"/>
  <c r="R41" i="5"/>
  <c r="DK108" i="12"/>
  <c r="DL108" i="12"/>
  <c r="DM108" i="12"/>
  <c r="DN108" i="12"/>
  <c r="DO108" i="12"/>
  <c r="DP108" i="12"/>
  <c r="DQ108" i="12"/>
  <c r="DJ108" i="12"/>
  <c r="F16" i="5"/>
  <c r="Q16" i="5"/>
  <c r="P16" i="5"/>
  <c r="O16" i="5"/>
  <c r="O17" i="5" s="1"/>
  <c r="O18" i="5" s="1"/>
  <c r="G16" i="5" l="1"/>
  <c r="G6" i="14" l="1"/>
  <c r="G7" i="14"/>
  <c r="G8" i="14"/>
  <c r="G9" i="14"/>
  <c r="G10" i="14"/>
  <c r="AL6" i="14"/>
  <c r="R7" i="14"/>
  <c r="AH7" i="14"/>
  <c r="AH8" i="14" s="1"/>
  <c r="AG24" i="14"/>
  <c r="AG25" i="14" s="1"/>
  <c r="AG30" i="14"/>
  <c r="AF30" i="14" s="1"/>
  <c r="AA42" i="14"/>
  <c r="Z73" i="14"/>
  <c r="S78" i="14" s="1"/>
  <c r="S84" i="14" s="1"/>
  <c r="T58" i="9"/>
  <c r="E58" i="9"/>
  <c r="L58" i="9" s="1"/>
  <c r="D58" i="9"/>
  <c r="U58" i="9" s="1"/>
  <c r="T44" i="9"/>
  <c r="E44" i="9"/>
  <c r="L44" i="9" s="1"/>
  <c r="D44" i="9"/>
  <c r="U44" i="9" s="1"/>
  <c r="T53" i="9"/>
  <c r="E53" i="9"/>
  <c r="L53" i="9" s="1"/>
  <c r="D53" i="9"/>
  <c r="U53" i="9" s="1"/>
  <c r="D81" i="5"/>
  <c r="D82" i="5" s="1"/>
  <c r="N65" i="5"/>
  <c r="Q65" i="5"/>
  <c r="G11" i="14" l="1"/>
  <c r="T80" i="14"/>
  <c r="T86" i="14" s="1"/>
  <c r="T79" i="14"/>
  <c r="T85" i="14" s="1"/>
  <c r="AG7" i="14"/>
  <c r="AG8" i="14" s="1"/>
  <c r="S79" i="14"/>
  <c r="S85" i="14" s="1"/>
  <c r="T78" i="14"/>
  <c r="T84" i="14" s="1"/>
  <c r="AG31" i="14"/>
  <c r="AH30" i="14"/>
  <c r="AF31" i="14"/>
  <c r="AE30" i="14"/>
  <c r="AH24" i="14"/>
  <c r="AF24" i="14"/>
  <c r="AI7" i="14"/>
  <c r="AI8" i="14" s="1"/>
  <c r="K58" i="9"/>
  <c r="S58" i="9" s="1"/>
  <c r="K44" i="9"/>
  <c r="S44" i="9" s="1"/>
  <c r="K53" i="9"/>
  <c r="S53" i="9" s="1"/>
  <c r="G83" i="5"/>
  <c r="G73" i="5"/>
  <c r="G72" i="5"/>
  <c r="F61" i="5"/>
  <c r="G70" i="5"/>
  <c r="C48" i="16"/>
  <c r="B48" i="16"/>
  <c r="C47" i="16"/>
  <c r="B47" i="16"/>
  <c r="C46" i="16"/>
  <c r="B46" i="16"/>
  <c r="C45" i="16"/>
  <c r="B45" i="16"/>
  <c r="C44" i="16"/>
  <c r="B44" i="16"/>
  <c r="C43" i="16"/>
  <c r="B43" i="16"/>
  <c r="C42" i="16"/>
  <c r="B42" i="16"/>
  <c r="C41" i="16"/>
  <c r="B41" i="16"/>
  <c r="C40" i="16"/>
  <c r="B40" i="16"/>
  <c r="C39" i="16"/>
  <c r="B39" i="16"/>
  <c r="C38" i="16"/>
  <c r="B38" i="16"/>
  <c r="C37" i="16"/>
  <c r="B37" i="16"/>
  <c r="C36" i="16"/>
  <c r="B36" i="16"/>
  <c r="C35" i="16"/>
  <c r="B35" i="16"/>
  <c r="C34" i="16"/>
  <c r="B34" i="16"/>
  <c r="C33" i="16"/>
  <c r="B33" i="16"/>
  <c r="C32" i="16"/>
  <c r="B32" i="16"/>
  <c r="C30" i="16"/>
  <c r="B30" i="16"/>
  <c r="C29" i="16"/>
  <c r="B29" i="16"/>
  <c r="C28" i="16"/>
  <c r="B28" i="16"/>
  <c r="C27" i="16"/>
  <c r="B27" i="16"/>
  <c r="C26" i="16"/>
  <c r="B26" i="16"/>
  <c r="C25" i="16"/>
  <c r="B25" i="16"/>
  <c r="C24" i="16"/>
  <c r="B24" i="16"/>
  <c r="C23" i="16"/>
  <c r="B23" i="16"/>
  <c r="C22" i="16"/>
  <c r="B22" i="16"/>
  <c r="C21" i="16"/>
  <c r="B21" i="16"/>
  <c r="C20" i="16"/>
  <c r="B20" i="16"/>
  <c r="C19" i="16"/>
  <c r="B19" i="16"/>
  <c r="C18" i="16"/>
  <c r="B18" i="16"/>
  <c r="C16" i="16"/>
  <c r="B16" i="16"/>
  <c r="C15" i="16"/>
  <c r="B15" i="16"/>
  <c r="C14" i="16"/>
  <c r="B14" i="16"/>
  <c r="C13" i="16"/>
  <c r="B13" i="16"/>
  <c r="C12" i="16"/>
  <c r="B12" i="16"/>
  <c r="C11" i="16"/>
  <c r="B11" i="16"/>
  <c r="C10" i="16"/>
  <c r="B10" i="16"/>
  <c r="C9" i="16"/>
  <c r="B9" i="16"/>
  <c r="C8" i="16"/>
  <c r="B8" i="16"/>
  <c r="C7" i="16"/>
  <c r="B7" i="16"/>
  <c r="C46" i="15"/>
  <c r="C43" i="15"/>
  <c r="B43" i="15"/>
  <c r="C29" i="15"/>
  <c r="C20" i="15"/>
  <c r="B20" i="15"/>
  <c r="C18" i="15"/>
  <c r="B9" i="15"/>
  <c r="D7" i="15"/>
  <c r="E7" i="15"/>
  <c r="D8" i="15"/>
  <c r="D9" i="15"/>
  <c r="E9" i="15"/>
  <c r="AF7" i="14" l="1"/>
  <c r="AH31" i="14"/>
  <c r="AI30" i="14"/>
  <c r="T89" i="14"/>
  <c r="T91" i="14" s="1"/>
  <c r="AF25" i="14"/>
  <c r="AE24" i="14"/>
  <c r="AH25" i="14"/>
  <c r="AI24" i="14"/>
  <c r="AF8" i="14"/>
  <c r="AE7" i="14"/>
  <c r="AJ7" i="14"/>
  <c r="AE31" i="14"/>
  <c r="AD30" i="14"/>
  <c r="G61" i="5"/>
  <c r="D116" i="14"/>
  <c r="B116" i="14"/>
  <c r="D115" i="14"/>
  <c r="B115" i="14"/>
  <c r="D114" i="14"/>
  <c r="B114" i="14"/>
  <c r="D113" i="14"/>
  <c r="B113" i="14"/>
  <c r="D112" i="14"/>
  <c r="B112" i="14"/>
  <c r="D111" i="14"/>
  <c r="B111" i="14"/>
  <c r="D110" i="14"/>
  <c r="B110" i="14"/>
  <c r="O98" i="14"/>
  <c r="F82" i="14"/>
  <c r="G76" i="14"/>
  <c r="G77" i="14" s="1"/>
  <c r="E76" i="14"/>
  <c r="G70" i="14"/>
  <c r="Q64" i="14"/>
  <c r="Q65" i="14" s="1"/>
  <c r="D63" i="14"/>
  <c r="C63" i="14"/>
  <c r="B63" i="14"/>
  <c r="A63" i="14"/>
  <c r="L62" i="14"/>
  <c r="D62" i="14"/>
  <c r="C62" i="14"/>
  <c r="B62" i="14"/>
  <c r="A62" i="14"/>
  <c r="D61" i="14"/>
  <c r="C61" i="14"/>
  <c r="B61" i="14"/>
  <c r="A61" i="14"/>
  <c r="D60" i="14"/>
  <c r="D59" i="14"/>
  <c r="B59" i="14"/>
  <c r="A59" i="14"/>
  <c r="D58" i="14"/>
  <c r="B58" i="14"/>
  <c r="A58" i="14"/>
  <c r="D57" i="14"/>
  <c r="B57" i="14"/>
  <c r="A57" i="14"/>
  <c r="D56" i="14"/>
  <c r="B56" i="14"/>
  <c r="A56" i="14"/>
  <c r="J55" i="14"/>
  <c r="J56" i="14" s="1"/>
  <c r="I55" i="14"/>
  <c r="I56" i="14" s="1"/>
  <c r="D55" i="14"/>
  <c r="B55" i="14"/>
  <c r="A55" i="14"/>
  <c r="D54" i="14"/>
  <c r="B54" i="14"/>
  <c r="A54" i="14"/>
  <c r="D53" i="14"/>
  <c r="C53" i="14"/>
  <c r="B53" i="14"/>
  <c r="A53" i="14"/>
  <c r="A52" i="14"/>
  <c r="C49" i="14"/>
  <c r="E42" i="14"/>
  <c r="F41" i="14"/>
  <c r="F40" i="14"/>
  <c r="F39" i="14"/>
  <c r="C39" i="14"/>
  <c r="H38" i="14"/>
  <c r="H42" i="14" s="1"/>
  <c r="F38" i="14"/>
  <c r="C38" i="14"/>
  <c r="F31" i="14"/>
  <c r="C31" i="14"/>
  <c r="F30" i="14"/>
  <c r="C30" i="14"/>
  <c r="F29" i="14"/>
  <c r="C29" i="14"/>
  <c r="F28" i="14"/>
  <c r="C28" i="14"/>
  <c r="F27" i="14"/>
  <c r="C27" i="14"/>
  <c r="F26" i="14"/>
  <c r="C26" i="14"/>
  <c r="F25" i="14"/>
  <c r="C25" i="14"/>
  <c r="D11" i="14"/>
  <c r="F10" i="14"/>
  <c r="F9" i="14"/>
  <c r="F8" i="14"/>
  <c r="F7" i="14"/>
  <c r="F6" i="14"/>
  <c r="CP138" i="12"/>
  <c r="CN138" i="12"/>
  <c r="CL138" i="12"/>
  <c r="CP137" i="12"/>
  <c r="CN137" i="12"/>
  <c r="CL137" i="12"/>
  <c r="CJ137" i="12"/>
  <c r="CP136" i="12"/>
  <c r="CQ136" i="12" s="1"/>
  <c r="CN136" i="12"/>
  <c r="CO136" i="12" s="1"/>
  <c r="CL136" i="12"/>
  <c r="CK136" i="12"/>
  <c r="CP132" i="12"/>
  <c r="CN132" i="12"/>
  <c r="CL132" i="12"/>
  <c r="CM132" i="12" s="1"/>
  <c r="CK132" i="12"/>
  <c r="CP131" i="12"/>
  <c r="CQ131" i="12" s="1"/>
  <c r="CN131" i="12"/>
  <c r="CO131" i="12" s="1"/>
  <c r="CL131" i="12"/>
  <c r="CM131" i="12" s="1"/>
  <c r="CK131" i="12"/>
  <c r="CP130" i="12"/>
  <c r="CQ130" i="12" s="1"/>
  <c r="CN130" i="12"/>
  <c r="CL130" i="12"/>
  <c r="CK130" i="12"/>
  <c r="CO130" i="12" s="1"/>
  <c r="CQ117" i="12"/>
  <c r="CQ123" i="12" s="1"/>
  <c r="CN117" i="12"/>
  <c r="CN123" i="12" s="1"/>
  <c r="CJ114" i="12"/>
  <c r="CJ126" i="12" s="1"/>
  <c r="CJ113" i="12"/>
  <c r="CJ125" i="12" s="1"/>
  <c r="CJ112" i="12"/>
  <c r="CJ136" i="12" s="1"/>
  <c r="CR111" i="12"/>
  <c r="CR117" i="12" s="1"/>
  <c r="CR123" i="12" s="1"/>
  <c r="CQ111" i="12"/>
  <c r="CP111" i="12"/>
  <c r="CP117" i="12" s="1"/>
  <c r="CP123" i="12" s="1"/>
  <c r="CO111" i="12"/>
  <c r="CO117" i="12" s="1"/>
  <c r="CO123" i="12" s="1"/>
  <c r="CN111" i="12"/>
  <c r="CM111" i="12"/>
  <c r="CM117" i="12" s="1"/>
  <c r="CM123" i="12" s="1"/>
  <c r="CL111" i="12"/>
  <c r="CL117" i="12" s="1"/>
  <c r="CL123" i="12" s="1"/>
  <c r="CK111" i="12"/>
  <c r="CK117" i="12" s="1"/>
  <c r="CK123" i="12" s="1"/>
  <c r="CT108" i="12"/>
  <c r="CQ108" i="12"/>
  <c r="CN108" i="12"/>
  <c r="CJ108" i="12"/>
  <c r="CT107" i="12"/>
  <c r="CQ107" i="12"/>
  <c r="CN107" i="12"/>
  <c r="CJ107" i="12"/>
  <c r="CT106" i="12"/>
  <c r="CQ106" i="12"/>
  <c r="CN106" i="12"/>
  <c r="CJ106" i="12"/>
  <c r="CP105" i="12"/>
  <c r="CS105" i="12" s="1"/>
  <c r="CO105" i="12"/>
  <c r="CR105" i="12" s="1"/>
  <c r="CJ102" i="12"/>
  <c r="CJ132" i="12" s="1"/>
  <c r="CJ101" i="12"/>
  <c r="CJ119" i="12" s="1"/>
  <c r="CL100" i="12"/>
  <c r="CJ100" i="12"/>
  <c r="CJ130" i="12" s="1"/>
  <c r="CP96" i="12"/>
  <c r="CO96" i="12"/>
  <c r="CL102" i="12" s="1"/>
  <c r="P18" i="5" s="1"/>
  <c r="CP95" i="12"/>
  <c r="CO95" i="12"/>
  <c r="CL101" i="12" s="1"/>
  <c r="P17" i="5" s="1"/>
  <c r="CM95" i="12"/>
  <c r="CK95" i="12"/>
  <c r="CK96" i="12" s="1"/>
  <c r="CK138" i="12" s="1"/>
  <c r="CM138" i="12" s="1"/>
  <c r="CR94" i="12"/>
  <c r="CR95" i="12" s="1"/>
  <c r="CM94" i="12"/>
  <c r="CK100" i="12" s="1"/>
  <c r="F85" i="12"/>
  <c r="E85" i="12"/>
  <c r="D85" i="12"/>
  <c r="F83" i="12"/>
  <c r="G83" i="12" s="1"/>
  <c r="H83" i="12" s="1"/>
  <c r="I83" i="12" s="1"/>
  <c r="J83" i="12" s="1"/>
  <c r="K83" i="12" s="1"/>
  <c r="L83" i="12" s="1"/>
  <c r="M83" i="12" s="1"/>
  <c r="N83" i="12" s="1"/>
  <c r="O83" i="12" s="1"/>
  <c r="P83" i="12" s="1"/>
  <c r="Q83" i="12" s="1"/>
  <c r="R83" i="12" s="1"/>
  <c r="S83" i="12" s="1"/>
  <c r="T83" i="12" s="1"/>
  <c r="U83" i="12" s="1"/>
  <c r="V83" i="12" s="1"/>
  <c r="W83" i="12" s="1"/>
  <c r="X83" i="12" s="1"/>
  <c r="Y83" i="12" s="1"/>
  <c r="Z83" i="12" s="1"/>
  <c r="AA83" i="12" s="1"/>
  <c r="AB83" i="12" s="1"/>
  <c r="AC83" i="12" s="1"/>
  <c r="AD83" i="12" s="1"/>
  <c r="AE83" i="12" s="1"/>
  <c r="AF83" i="12" s="1"/>
  <c r="AG83" i="12" s="1"/>
  <c r="AH83" i="12" s="1"/>
  <c r="AI83" i="12" s="1"/>
  <c r="AJ83" i="12" s="1"/>
  <c r="AK83" i="12" s="1"/>
  <c r="AL83" i="12" s="1"/>
  <c r="AM83" i="12" s="1"/>
  <c r="AN83" i="12" s="1"/>
  <c r="AX83" i="12" s="1"/>
  <c r="AY83" i="12" s="1"/>
  <c r="AZ83" i="12" s="1"/>
  <c r="BA83" i="12" s="1"/>
  <c r="BB83" i="12" s="1"/>
  <c r="F77" i="12"/>
  <c r="E77" i="12"/>
  <c r="E73" i="12" s="1"/>
  <c r="D77" i="12"/>
  <c r="AI76" i="12"/>
  <c r="AH76" i="12"/>
  <c r="AG76" i="12"/>
  <c r="AF76" i="12"/>
  <c r="AE76" i="12"/>
  <c r="AD76" i="12"/>
  <c r="AE84" i="12" s="1"/>
  <c r="AC76" i="12"/>
  <c r="AB76" i="12"/>
  <c r="AA76" i="12"/>
  <c r="Z76" i="12"/>
  <c r="Y76" i="12"/>
  <c r="X76" i="12"/>
  <c r="W76" i="12"/>
  <c r="V76" i="12"/>
  <c r="U76" i="12"/>
  <c r="T76" i="12"/>
  <c r="S76" i="12"/>
  <c r="R76" i="12"/>
  <c r="Q76" i="12"/>
  <c r="P76" i="12"/>
  <c r="O76" i="12"/>
  <c r="N76" i="12"/>
  <c r="M76" i="12"/>
  <c r="L76" i="12"/>
  <c r="K76" i="12"/>
  <c r="J76" i="12"/>
  <c r="I76" i="12"/>
  <c r="H76" i="12"/>
  <c r="G76" i="12"/>
  <c r="G77" i="12" s="1"/>
  <c r="F75" i="12"/>
  <c r="G75" i="12" s="1"/>
  <c r="H75" i="12" s="1"/>
  <c r="I75" i="12" s="1"/>
  <c r="J75" i="12" s="1"/>
  <c r="K75" i="12" s="1"/>
  <c r="L75" i="12" s="1"/>
  <c r="M75" i="12" s="1"/>
  <c r="N75" i="12" s="1"/>
  <c r="O75" i="12" s="1"/>
  <c r="F73" i="12"/>
  <c r="BK61" i="12"/>
  <c r="BL61" i="12" s="1"/>
  <c r="BM61" i="12" s="1"/>
  <c r="AG48" i="12"/>
  <c r="AB47" i="12"/>
  <c r="I47" i="12"/>
  <c r="H47" i="12"/>
  <c r="G47" i="12"/>
  <c r="F47" i="12"/>
  <c r="E47" i="12"/>
  <c r="D47" i="12"/>
  <c r="D48" i="12" s="1"/>
  <c r="AD45" i="12"/>
  <c r="AC45" i="12"/>
  <c r="F41" i="12"/>
  <c r="E41" i="12"/>
  <c r="D41" i="12"/>
  <c r="BC38" i="12"/>
  <c r="BC48" i="12" s="1"/>
  <c r="BB38" i="12"/>
  <c r="BA38" i="12"/>
  <c r="BA48" i="12" s="1"/>
  <c r="AZ38" i="12"/>
  <c r="AX38" i="12"/>
  <c r="AW38" i="12"/>
  <c r="AW48" i="12" s="1"/>
  <c r="AV38" i="12"/>
  <c r="AV48" i="12" s="1"/>
  <c r="AU38" i="12"/>
  <c r="AS38" i="12"/>
  <c r="AS48" i="12" s="1"/>
  <c r="AR38" i="12"/>
  <c r="AR48" i="12" s="1"/>
  <c r="AQ38" i="12"/>
  <c r="AQ48" i="12" s="1"/>
  <c r="AP38" i="12"/>
  <c r="AN38" i="12"/>
  <c r="AM38" i="12"/>
  <c r="AJ38" i="12"/>
  <c r="AJ48" i="12" s="1"/>
  <c r="AI38" i="12"/>
  <c r="AI48" i="12" s="1"/>
  <c r="AH38" i="12"/>
  <c r="AG38" i="12"/>
  <c r="AF38" i="12"/>
  <c r="AE38" i="12"/>
  <c r="AD38" i="12"/>
  <c r="AC38" i="12"/>
  <c r="AC48" i="12" s="1"/>
  <c r="AB38" i="12"/>
  <c r="AA38" i="12"/>
  <c r="Z38" i="12"/>
  <c r="Y38" i="12"/>
  <c r="X38" i="12"/>
  <c r="X48" i="12" s="1"/>
  <c r="W38" i="12"/>
  <c r="W48" i="12" s="1"/>
  <c r="V38" i="12"/>
  <c r="U38" i="12"/>
  <c r="T38" i="12"/>
  <c r="BC37" i="12"/>
  <c r="BB37" i="12"/>
  <c r="BA37" i="12"/>
  <c r="BA47" i="12" s="1"/>
  <c r="AZ37" i="12"/>
  <c r="AX37" i="12"/>
  <c r="AW37" i="12"/>
  <c r="AV37" i="12"/>
  <c r="AV47" i="12" s="1"/>
  <c r="AU37" i="12"/>
  <c r="AS37" i="12"/>
  <c r="AR37" i="12"/>
  <c r="AR47" i="12" s="1"/>
  <c r="AQ37" i="12"/>
  <c r="AQ47" i="12" s="1"/>
  <c r="AP37" i="12"/>
  <c r="AN37" i="12"/>
  <c r="AM37" i="12"/>
  <c r="AJ37" i="12"/>
  <c r="AI37" i="12"/>
  <c r="AH37" i="12"/>
  <c r="AG37" i="12"/>
  <c r="AF37" i="12"/>
  <c r="AF47" i="12" s="1"/>
  <c r="AE37" i="12"/>
  <c r="AD37" i="12"/>
  <c r="AD47" i="12" s="1"/>
  <c r="AC37" i="12"/>
  <c r="AC47" i="12" s="1"/>
  <c r="AB37" i="12"/>
  <c r="AA37" i="12"/>
  <c r="Z37" i="12"/>
  <c r="Y37" i="12"/>
  <c r="Y47" i="12" s="1"/>
  <c r="X37" i="12"/>
  <c r="W37" i="12"/>
  <c r="V37" i="12"/>
  <c r="U37" i="12"/>
  <c r="T37" i="12"/>
  <c r="BC36" i="12"/>
  <c r="BB36" i="12"/>
  <c r="BA36" i="12"/>
  <c r="BA46" i="12" s="1"/>
  <c r="AZ36" i="12"/>
  <c r="AX36" i="12"/>
  <c r="AW36" i="12"/>
  <c r="AV36" i="12"/>
  <c r="AV46" i="12" s="1"/>
  <c r="AU36" i="12"/>
  <c r="AS36" i="12"/>
  <c r="AR36" i="12"/>
  <c r="AR46" i="12" s="1"/>
  <c r="AQ36" i="12"/>
  <c r="AP36" i="12"/>
  <c r="AN36" i="12"/>
  <c r="AM36" i="12"/>
  <c r="AJ36" i="12"/>
  <c r="AI36" i="12"/>
  <c r="AH36" i="12"/>
  <c r="AG36" i="12"/>
  <c r="AF36" i="12"/>
  <c r="AF46" i="12" s="1"/>
  <c r="AE36" i="12"/>
  <c r="AE46" i="12" s="1"/>
  <c r="AD36" i="12"/>
  <c r="AD46" i="12" s="1"/>
  <c r="AC36" i="12"/>
  <c r="AB36" i="12"/>
  <c r="AB46" i="12" s="1"/>
  <c r="AA36" i="12"/>
  <c r="Z36" i="12"/>
  <c r="Y36" i="12"/>
  <c r="X36" i="12"/>
  <c r="W36" i="12"/>
  <c r="V36" i="12"/>
  <c r="U36" i="12"/>
  <c r="T36" i="12"/>
  <c r="BC35" i="12"/>
  <c r="BC45" i="12" s="1"/>
  <c r="BB35" i="12"/>
  <c r="BB45" i="12" s="1"/>
  <c r="BA35" i="12"/>
  <c r="AZ35" i="12"/>
  <c r="AX35" i="12"/>
  <c r="AX45" i="12" s="1"/>
  <c r="AW35" i="12"/>
  <c r="AV35" i="12"/>
  <c r="AU35" i="12"/>
  <c r="AS35" i="12"/>
  <c r="AS45" i="12" s="1"/>
  <c r="AR35" i="12"/>
  <c r="AQ35" i="12"/>
  <c r="AP35" i="12"/>
  <c r="AN35" i="12"/>
  <c r="AM35" i="12"/>
  <c r="AJ35" i="12"/>
  <c r="AJ45" i="12" s="1"/>
  <c r="AI35" i="12"/>
  <c r="AH35" i="12"/>
  <c r="AG35" i="12"/>
  <c r="AF35" i="12"/>
  <c r="AE35" i="12"/>
  <c r="AE45" i="12" s="1"/>
  <c r="AD35" i="12"/>
  <c r="AC35" i="12"/>
  <c r="AB35" i="12"/>
  <c r="AA35" i="12"/>
  <c r="AA45" i="12" s="1"/>
  <c r="Z35" i="12"/>
  <c r="Z45" i="12" s="1"/>
  <c r="Y35" i="12"/>
  <c r="Y45" i="12" s="1"/>
  <c r="X35" i="12"/>
  <c r="X45" i="12" s="1"/>
  <c r="W35" i="12"/>
  <c r="V35" i="12"/>
  <c r="U35" i="12"/>
  <c r="T35" i="12"/>
  <c r="BC33" i="12"/>
  <c r="BC42" i="12" s="1"/>
  <c r="BB33" i="12"/>
  <c r="BB42" i="12" s="1"/>
  <c r="BA33" i="12"/>
  <c r="AZ33" i="12"/>
  <c r="AX33" i="12"/>
  <c r="AX42" i="12" s="1"/>
  <c r="AW33" i="12"/>
  <c r="AW42" i="12" s="1"/>
  <c r="AV33" i="12"/>
  <c r="AV42" i="12" s="1"/>
  <c r="AU33" i="12"/>
  <c r="AS33" i="12"/>
  <c r="AR33" i="12"/>
  <c r="AR42" i="12" s="1"/>
  <c r="AQ33" i="12"/>
  <c r="AP33" i="12"/>
  <c r="AP42" i="12" s="1"/>
  <c r="AN33" i="12"/>
  <c r="AM33" i="12"/>
  <c r="AJ33" i="12"/>
  <c r="AI33" i="12"/>
  <c r="AH33" i="12"/>
  <c r="AH42" i="12" s="1"/>
  <c r="AG33" i="12"/>
  <c r="AG42" i="12" s="1"/>
  <c r="AF33" i="12"/>
  <c r="AF42" i="12" s="1"/>
  <c r="AE33" i="12"/>
  <c r="AD33" i="12"/>
  <c r="AC33" i="12"/>
  <c r="AC42" i="12" s="1"/>
  <c r="AB33" i="12"/>
  <c r="AB42" i="12" s="1"/>
  <c r="AA33" i="12"/>
  <c r="Z33" i="12"/>
  <c r="Z42" i="12" s="1"/>
  <c r="Y33" i="12"/>
  <c r="Y42" i="12" s="1"/>
  <c r="X33" i="12"/>
  <c r="W33" i="12"/>
  <c r="V33" i="12"/>
  <c r="V42" i="12" s="1"/>
  <c r="U33" i="12"/>
  <c r="F70" i="12" s="1"/>
  <c r="T33" i="12"/>
  <c r="R31" i="12"/>
  <c r="Q31" i="12"/>
  <c r="P31" i="12"/>
  <c r="O31" i="12"/>
  <c r="N31" i="12"/>
  <c r="M31" i="12"/>
  <c r="L31" i="12"/>
  <c r="K31" i="12"/>
  <c r="J31" i="12"/>
  <c r="I31" i="12"/>
  <c r="H31" i="12"/>
  <c r="G31" i="12"/>
  <c r="F31" i="12"/>
  <c r="E31" i="12"/>
  <c r="D31" i="12"/>
  <c r="C31" i="12"/>
  <c r="R30" i="12"/>
  <c r="Q30" i="12"/>
  <c r="P30" i="12"/>
  <c r="O30" i="12"/>
  <c r="N30" i="12"/>
  <c r="M30" i="12"/>
  <c r="L30" i="12"/>
  <c r="K30" i="12"/>
  <c r="J30" i="12"/>
  <c r="I30" i="12"/>
  <c r="H30" i="12"/>
  <c r="G30" i="12"/>
  <c r="F30" i="12"/>
  <c r="E30" i="12"/>
  <c r="D30" i="12"/>
  <c r="C30" i="12"/>
  <c r="BC29" i="12"/>
  <c r="BB29" i="12"/>
  <c r="BA29" i="12"/>
  <c r="AX29" i="12"/>
  <c r="AW29" i="12"/>
  <c r="AV29" i="12"/>
  <c r="AS29" i="12"/>
  <c r="AR29" i="12"/>
  <c r="AQ29" i="12"/>
  <c r="AJ29" i="12"/>
  <c r="AI29" i="12"/>
  <c r="AH29" i="12"/>
  <c r="AG29" i="12"/>
  <c r="AF29" i="12"/>
  <c r="AE29" i="12"/>
  <c r="AD29" i="12"/>
  <c r="AC29" i="12"/>
  <c r="AB29" i="12"/>
  <c r="AA29" i="12"/>
  <c r="Z29" i="12"/>
  <c r="Y29" i="12"/>
  <c r="X29" i="12"/>
  <c r="W29" i="12"/>
  <c r="V29" i="12"/>
  <c r="R29" i="12"/>
  <c r="Q29" i="12"/>
  <c r="P29" i="12"/>
  <c r="O29" i="12"/>
  <c r="N29" i="12"/>
  <c r="M29" i="12"/>
  <c r="L29" i="12"/>
  <c r="K29" i="12"/>
  <c r="J29" i="12"/>
  <c r="I29" i="12"/>
  <c r="H29" i="12"/>
  <c r="G29" i="12"/>
  <c r="F29" i="12"/>
  <c r="E29" i="12"/>
  <c r="D29" i="12"/>
  <c r="BK28" i="12"/>
  <c r="BL28" i="12" s="1"/>
  <c r="BM28" i="12" s="1"/>
  <c r="BN28" i="12" s="1"/>
  <c r="BO28" i="12" s="1"/>
  <c r="BP28" i="12" s="1"/>
  <c r="BC28" i="12"/>
  <c r="BB28" i="12"/>
  <c r="BA28" i="12"/>
  <c r="AX28" i="12"/>
  <c r="AW28" i="12"/>
  <c r="AV28" i="12"/>
  <c r="AS28" i="12"/>
  <c r="AR28" i="12"/>
  <c r="AQ28" i="12"/>
  <c r="AJ28" i="12"/>
  <c r="AI28" i="12"/>
  <c r="AH28" i="12"/>
  <c r="AG28" i="12"/>
  <c r="AF28" i="12"/>
  <c r="AE28" i="12"/>
  <c r="AD28" i="12"/>
  <c r="AC28" i="12"/>
  <c r="AB28" i="12"/>
  <c r="AA28" i="12"/>
  <c r="Z28" i="12"/>
  <c r="Y28" i="12"/>
  <c r="X28" i="12"/>
  <c r="W28" i="12"/>
  <c r="V28" i="12"/>
  <c r="R28" i="12"/>
  <c r="Q28" i="12"/>
  <c r="P28" i="12"/>
  <c r="O28" i="12"/>
  <c r="N28" i="12"/>
  <c r="M28" i="12"/>
  <c r="L28" i="12"/>
  <c r="K28" i="12"/>
  <c r="J28" i="12"/>
  <c r="I28" i="12"/>
  <c r="H28" i="12"/>
  <c r="G28" i="12"/>
  <c r="F28" i="12"/>
  <c r="E28" i="12"/>
  <c r="D28" i="12"/>
  <c r="BC27" i="12"/>
  <c r="BB27" i="12"/>
  <c r="BA27" i="12"/>
  <c r="AX27" i="12"/>
  <c r="AW27" i="12"/>
  <c r="AV27" i="12"/>
  <c r="AS27" i="12"/>
  <c r="AR27" i="12"/>
  <c r="AQ27" i="12"/>
  <c r="AJ27" i="12"/>
  <c r="AI27" i="12"/>
  <c r="AH27" i="12"/>
  <c r="AG27" i="12"/>
  <c r="AF27" i="12"/>
  <c r="AE27" i="12"/>
  <c r="AD27" i="12"/>
  <c r="AC27" i="12"/>
  <c r="AB27" i="12"/>
  <c r="AA27" i="12"/>
  <c r="Z27" i="12"/>
  <c r="Y27" i="12"/>
  <c r="X27" i="12"/>
  <c r="W27" i="12"/>
  <c r="V27" i="12"/>
  <c r="R27" i="12"/>
  <c r="Q27" i="12"/>
  <c r="P27" i="12"/>
  <c r="O27" i="12"/>
  <c r="N27" i="12"/>
  <c r="M27" i="12"/>
  <c r="L27" i="12"/>
  <c r="K27" i="12"/>
  <c r="J27" i="12"/>
  <c r="I27" i="12"/>
  <c r="H27" i="12"/>
  <c r="G27" i="12"/>
  <c r="F27" i="12"/>
  <c r="E27" i="12"/>
  <c r="D27" i="12"/>
  <c r="BC26" i="12"/>
  <c r="BB26" i="12"/>
  <c r="BA26" i="12"/>
  <c r="AX26" i="12"/>
  <c r="AW26" i="12"/>
  <c r="AV26" i="12"/>
  <c r="AS26" i="12"/>
  <c r="AR26" i="12"/>
  <c r="AQ26" i="12"/>
  <c r="AJ26" i="12"/>
  <c r="AI26" i="12"/>
  <c r="AH26" i="12"/>
  <c r="AG26" i="12"/>
  <c r="AF26" i="12"/>
  <c r="AE26" i="12"/>
  <c r="AD26" i="12"/>
  <c r="AC26" i="12"/>
  <c r="AB26" i="12"/>
  <c r="AA26" i="12"/>
  <c r="Z26" i="12"/>
  <c r="Y26" i="12"/>
  <c r="X26" i="12"/>
  <c r="W26" i="12"/>
  <c r="V26" i="12"/>
  <c r="R26" i="12"/>
  <c r="Q26" i="12"/>
  <c r="P26" i="12"/>
  <c r="O26" i="12"/>
  <c r="N26" i="12"/>
  <c r="M26" i="12"/>
  <c r="L26" i="12"/>
  <c r="K26" i="12"/>
  <c r="J26" i="12"/>
  <c r="I26" i="12"/>
  <c r="H26" i="12"/>
  <c r="G26" i="12"/>
  <c r="F26" i="12"/>
  <c r="E26" i="12"/>
  <c r="D26" i="12"/>
  <c r="BC23" i="12"/>
  <c r="BB23" i="12"/>
  <c r="BA23" i="12"/>
  <c r="AX23" i="12"/>
  <c r="AW23" i="12"/>
  <c r="AV23" i="12"/>
  <c r="AS23" i="12"/>
  <c r="AR23" i="12"/>
  <c r="AQ23" i="12"/>
  <c r="AP23" i="12"/>
  <c r="AN23" i="12"/>
  <c r="AM23" i="12"/>
  <c r="AJ23" i="12"/>
  <c r="AI23" i="12"/>
  <c r="AH23" i="12"/>
  <c r="AG23" i="12"/>
  <c r="AF23" i="12"/>
  <c r="AE23" i="12"/>
  <c r="AD23" i="12"/>
  <c r="AC23" i="12"/>
  <c r="AB23" i="12"/>
  <c r="AA23" i="12"/>
  <c r="Z23" i="12"/>
  <c r="Y23" i="12"/>
  <c r="X23" i="12"/>
  <c r="W23" i="12"/>
  <c r="V23" i="12"/>
  <c r="U23" i="12"/>
  <c r="R23" i="12"/>
  <c r="Q23" i="12"/>
  <c r="P23" i="12"/>
  <c r="O23" i="12"/>
  <c r="N23" i="12"/>
  <c r="M23" i="12"/>
  <c r="L23" i="12"/>
  <c r="K23" i="12"/>
  <c r="J23" i="12"/>
  <c r="I23" i="12"/>
  <c r="H23" i="12"/>
  <c r="G23" i="12"/>
  <c r="F23" i="12"/>
  <c r="E23" i="12"/>
  <c r="D23" i="12"/>
  <c r="BC21" i="12"/>
  <c r="BB21" i="12"/>
  <c r="BA21" i="12"/>
  <c r="AX21" i="12"/>
  <c r="AW21" i="12"/>
  <c r="AV21" i="12"/>
  <c r="AS21" i="12"/>
  <c r="AR21" i="12"/>
  <c r="AQ21" i="12"/>
  <c r="BC20" i="12"/>
  <c r="BB20" i="12"/>
  <c r="BA20" i="12"/>
  <c r="AX20" i="12"/>
  <c r="AW20" i="12"/>
  <c r="AV20" i="12"/>
  <c r="AT20" i="12"/>
  <c r="AS20" i="12"/>
  <c r="AR20" i="12"/>
  <c r="AQ20" i="12"/>
  <c r="AJ20" i="12"/>
  <c r="AI20" i="12"/>
  <c r="AH20" i="12"/>
  <c r="AG20" i="12"/>
  <c r="AF20" i="12"/>
  <c r="AE20" i="12"/>
  <c r="AD20" i="12"/>
  <c r="AC20" i="12"/>
  <c r="AB20" i="12"/>
  <c r="AA20" i="12"/>
  <c r="Z20" i="12"/>
  <c r="Y20" i="12"/>
  <c r="X20" i="12"/>
  <c r="W20" i="12"/>
  <c r="V20" i="12"/>
  <c r="R20" i="12"/>
  <c r="Q20" i="12"/>
  <c r="P20" i="12"/>
  <c r="O20" i="12"/>
  <c r="N20" i="12"/>
  <c r="M20" i="12"/>
  <c r="L20" i="12"/>
  <c r="K20" i="12"/>
  <c r="J20" i="12"/>
  <c r="I20" i="12"/>
  <c r="H20" i="12"/>
  <c r="G20" i="12"/>
  <c r="F20" i="12"/>
  <c r="E20" i="12"/>
  <c r="D20" i="12"/>
  <c r="AY19" i="12"/>
  <c r="AY38" i="12" s="1"/>
  <c r="AY48" i="12" s="1"/>
  <c r="AT19" i="12"/>
  <c r="AT38" i="12" s="1"/>
  <c r="AT48" i="12" s="1"/>
  <c r="AO19" i="12"/>
  <c r="AP20" i="12" s="1"/>
  <c r="AY18" i="12"/>
  <c r="AY28" i="12" s="1"/>
  <c r="AT18" i="12"/>
  <c r="AO18" i="12"/>
  <c r="BK17" i="12"/>
  <c r="AY17" i="12"/>
  <c r="AT17" i="12"/>
  <c r="AU27" i="12" s="1"/>
  <c r="AO17" i="12"/>
  <c r="AO21" i="12" s="1"/>
  <c r="AY16" i="12"/>
  <c r="AT16" i="12"/>
  <c r="AO16" i="12"/>
  <c r="AY14" i="12"/>
  <c r="AY23" i="12" s="1"/>
  <c r="AT14" i="12"/>
  <c r="AO14" i="12"/>
  <c r="AO33" i="12" s="1"/>
  <c r="AO42" i="12" s="1"/>
  <c r="I10" i="12"/>
  <c r="T23" i="12" s="1"/>
  <c r="AN116" i="10"/>
  <c r="AM116" i="10"/>
  <c r="AO116" i="10" s="1"/>
  <c r="N116" i="10"/>
  <c r="M116" i="10"/>
  <c r="L116" i="10"/>
  <c r="AN115" i="10"/>
  <c r="AM115" i="10"/>
  <c r="AO115" i="10" s="1"/>
  <c r="N115" i="10"/>
  <c r="M115" i="10"/>
  <c r="L115" i="10"/>
  <c r="M118" i="10" s="1" a="1"/>
  <c r="AN114" i="10"/>
  <c r="AM114" i="10"/>
  <c r="AO114" i="10" s="1"/>
  <c r="N114" i="10"/>
  <c r="M114" i="10"/>
  <c r="L114" i="10"/>
  <c r="AB110" i="10"/>
  <c r="AA110" i="10"/>
  <c r="AR110" i="10" s="1"/>
  <c r="AU110" i="10" s="1"/>
  <c r="Z110" i="10"/>
  <c r="AQ110" i="10" s="1"/>
  <c r="AT110" i="10" s="1"/>
  <c r="N110" i="10"/>
  <c r="M110" i="10"/>
  <c r="L110" i="10"/>
  <c r="AB109" i="10"/>
  <c r="AA109" i="10"/>
  <c r="AR109" i="10" s="1"/>
  <c r="AU109" i="10" s="1"/>
  <c r="Z109" i="10"/>
  <c r="AQ109" i="10" s="1"/>
  <c r="AT109" i="10" s="1"/>
  <c r="N109" i="10"/>
  <c r="M109" i="10"/>
  <c r="L109" i="10"/>
  <c r="AL109" i="10" s="1"/>
  <c r="AB108" i="10"/>
  <c r="AA108" i="10"/>
  <c r="AR108" i="10" s="1"/>
  <c r="AU108" i="10" s="1"/>
  <c r="Z108" i="10"/>
  <c r="N108" i="10"/>
  <c r="M108" i="10"/>
  <c r="AQ108" i="10" s="1"/>
  <c r="AT108" i="10" s="1"/>
  <c r="L108" i="10"/>
  <c r="AL108" i="10" s="1"/>
  <c r="AL107" i="10"/>
  <c r="AB107" i="10"/>
  <c r="AA107" i="10"/>
  <c r="AR107" i="10" s="1"/>
  <c r="AU107" i="10" s="1"/>
  <c r="Z107" i="10"/>
  <c r="AQ107" i="10" s="1"/>
  <c r="AT107" i="10" s="1"/>
  <c r="N107" i="10"/>
  <c r="M107" i="10"/>
  <c r="L107" i="10"/>
  <c r="AQ106" i="10"/>
  <c r="AT106" i="10" s="1"/>
  <c r="AL106" i="10"/>
  <c r="AB106" i="10"/>
  <c r="AA106" i="10"/>
  <c r="Z106" i="10"/>
  <c r="N106" i="10"/>
  <c r="AR106" i="10" s="1"/>
  <c r="AU106" i="10" s="1"/>
  <c r="M106" i="10"/>
  <c r="L106" i="10"/>
  <c r="AB105" i="10"/>
  <c r="AA105" i="10"/>
  <c r="AR105" i="10" s="1"/>
  <c r="AU105" i="10" s="1"/>
  <c r="Z105" i="10"/>
  <c r="AQ105" i="10" s="1"/>
  <c r="AT105" i="10" s="1"/>
  <c r="N105" i="10"/>
  <c r="M105" i="10"/>
  <c r="L105" i="10"/>
  <c r="AR104" i="10"/>
  <c r="AU104" i="10" s="1"/>
  <c r="AL104" i="10"/>
  <c r="AB104" i="10"/>
  <c r="AA104" i="10"/>
  <c r="Z104" i="10"/>
  <c r="AQ104" i="10" s="1"/>
  <c r="AT104" i="10" s="1"/>
  <c r="N104" i="10"/>
  <c r="M104" i="10"/>
  <c r="L104" i="10"/>
  <c r="AB103" i="10"/>
  <c r="AA103" i="10"/>
  <c r="AR103" i="10" s="1"/>
  <c r="AU103" i="10" s="1"/>
  <c r="Z103" i="10"/>
  <c r="AQ103" i="10" s="1"/>
  <c r="AT103" i="10" s="1"/>
  <c r="N103" i="10"/>
  <c r="M103" i="10"/>
  <c r="L103" i="10"/>
  <c r="AL103" i="10" s="1"/>
  <c r="AB102" i="10"/>
  <c r="AA102" i="10"/>
  <c r="AR102" i="10" s="1"/>
  <c r="AU102" i="10" s="1"/>
  <c r="Z102" i="10"/>
  <c r="AQ102" i="10" s="1"/>
  <c r="AT102" i="10" s="1"/>
  <c r="N102" i="10"/>
  <c r="M102" i="10"/>
  <c r="L102" i="10"/>
  <c r="AL101" i="10"/>
  <c r="AB101" i="10"/>
  <c r="AA101" i="10"/>
  <c r="Z101" i="10"/>
  <c r="AQ101" i="10" s="1"/>
  <c r="AT101" i="10" s="1"/>
  <c r="N101" i="10"/>
  <c r="AR101" i="10" s="1"/>
  <c r="AU101" i="10" s="1"/>
  <c r="M101" i="10"/>
  <c r="L101" i="10"/>
  <c r="AB100" i="10"/>
  <c r="AA100" i="10"/>
  <c r="AR100" i="10" s="1"/>
  <c r="AU100" i="10" s="1"/>
  <c r="Z100" i="10"/>
  <c r="AQ100" i="10" s="1"/>
  <c r="AT100" i="10" s="1"/>
  <c r="N100" i="10"/>
  <c r="M100" i="10"/>
  <c r="L100" i="10"/>
  <c r="AR99" i="10"/>
  <c r="AU99" i="10" s="1"/>
  <c r="AQ99" i="10"/>
  <c r="AT99" i="10" s="1"/>
  <c r="AB99" i="10"/>
  <c r="AA99" i="10"/>
  <c r="X19" i="10" s="1"/>
  <c r="Z99" i="10"/>
  <c r="N99" i="10"/>
  <c r="M99" i="10"/>
  <c r="L99" i="10"/>
  <c r="AL99" i="10" s="1"/>
  <c r="AB98" i="10"/>
  <c r="AA98" i="10"/>
  <c r="AR98" i="10" s="1"/>
  <c r="AU98" i="10" s="1"/>
  <c r="Z98" i="10"/>
  <c r="AQ98" i="10" s="1"/>
  <c r="AT98" i="10" s="1"/>
  <c r="N98" i="10"/>
  <c r="M98" i="10"/>
  <c r="L98" i="10"/>
  <c r="AB97" i="10"/>
  <c r="AA97" i="10"/>
  <c r="AR97" i="10" s="1"/>
  <c r="AU97" i="10" s="1"/>
  <c r="Z97" i="10"/>
  <c r="AQ97" i="10" s="1"/>
  <c r="AT97" i="10" s="1"/>
  <c r="N97" i="10"/>
  <c r="M97" i="10"/>
  <c r="L97" i="10"/>
  <c r="AL97" i="10" s="1"/>
  <c r="AB96" i="10"/>
  <c r="AA96" i="10"/>
  <c r="AR96" i="10" s="1"/>
  <c r="AU96" i="10" s="1"/>
  <c r="Z96" i="10"/>
  <c r="N96" i="10"/>
  <c r="M96" i="10"/>
  <c r="AQ96" i="10" s="1"/>
  <c r="AT96" i="10" s="1"/>
  <c r="L96" i="10"/>
  <c r="AL96" i="10" s="1"/>
  <c r="AB95" i="10"/>
  <c r="AA95" i="10"/>
  <c r="AR95" i="10" s="1"/>
  <c r="AU95" i="10" s="1"/>
  <c r="Z95" i="10"/>
  <c r="AQ95" i="10" s="1"/>
  <c r="AT95" i="10" s="1"/>
  <c r="N95" i="10"/>
  <c r="M95" i="10"/>
  <c r="L95" i="10"/>
  <c r="AQ94" i="10"/>
  <c r="AT94" i="10" s="1"/>
  <c r="AL94" i="10"/>
  <c r="AB94" i="10"/>
  <c r="AA94" i="10"/>
  <c r="AR94" i="10" s="1"/>
  <c r="AU94" i="10" s="1"/>
  <c r="Z94" i="10"/>
  <c r="N94" i="10"/>
  <c r="M94" i="10"/>
  <c r="L94" i="10"/>
  <c r="AB93" i="10"/>
  <c r="AA93" i="10"/>
  <c r="AR93" i="10" s="1"/>
  <c r="AU93" i="10" s="1"/>
  <c r="Z93" i="10"/>
  <c r="AQ93" i="10" s="1"/>
  <c r="AT93" i="10" s="1"/>
  <c r="N93" i="10"/>
  <c r="M93" i="10"/>
  <c r="L93" i="10"/>
  <c r="AR92" i="10"/>
  <c r="AU92" i="10" s="1"/>
  <c r="AL92" i="10"/>
  <c r="AB92" i="10"/>
  <c r="AA92" i="10"/>
  <c r="Z92" i="10"/>
  <c r="AQ92" i="10" s="1"/>
  <c r="AT92" i="10" s="1"/>
  <c r="N92" i="10"/>
  <c r="M92" i="10"/>
  <c r="L92" i="10"/>
  <c r="AB91" i="10"/>
  <c r="AA91" i="10"/>
  <c r="AR91" i="10" s="1"/>
  <c r="AU91" i="10" s="1"/>
  <c r="Z91" i="10"/>
  <c r="AQ91" i="10" s="1"/>
  <c r="AT91" i="10" s="1"/>
  <c r="N91" i="10"/>
  <c r="M91" i="10"/>
  <c r="L91" i="10"/>
  <c r="AB90" i="10"/>
  <c r="AA90" i="10"/>
  <c r="AR90" i="10" s="1"/>
  <c r="AU90" i="10" s="1"/>
  <c r="Z90" i="10"/>
  <c r="AQ90" i="10" s="1"/>
  <c r="AT90" i="10" s="1"/>
  <c r="N90" i="10"/>
  <c r="M90" i="10"/>
  <c r="L90" i="10"/>
  <c r="AL89" i="10"/>
  <c r="AB89" i="10"/>
  <c r="AA89" i="10"/>
  <c r="Z89" i="10"/>
  <c r="N89" i="10"/>
  <c r="M89" i="10"/>
  <c r="AQ89" i="10" s="1"/>
  <c r="AT89" i="10" s="1"/>
  <c r="L89" i="10"/>
  <c r="AB88" i="10"/>
  <c r="AA88" i="10"/>
  <c r="AR88" i="10" s="1"/>
  <c r="AU88" i="10" s="1"/>
  <c r="Z88" i="10"/>
  <c r="AQ88" i="10" s="1"/>
  <c r="AT88" i="10" s="1"/>
  <c r="N88" i="10"/>
  <c r="M88" i="10"/>
  <c r="L88" i="10"/>
  <c r="AR87" i="10"/>
  <c r="AU87" i="10" s="1"/>
  <c r="AQ87" i="10"/>
  <c r="AT87" i="10" s="1"/>
  <c r="AB87" i="10"/>
  <c r="AA87" i="10"/>
  <c r="Z87" i="10"/>
  <c r="N87" i="10"/>
  <c r="M87" i="10"/>
  <c r="L87" i="10"/>
  <c r="AL87" i="10" s="1"/>
  <c r="AB86" i="10"/>
  <c r="AA86" i="10"/>
  <c r="AR86" i="10" s="1"/>
  <c r="AU86" i="10" s="1"/>
  <c r="Z86" i="10"/>
  <c r="AQ86" i="10" s="1"/>
  <c r="AT86" i="10" s="1"/>
  <c r="N86" i="10"/>
  <c r="M86" i="10"/>
  <c r="L86" i="10"/>
  <c r="AL86" i="10" s="1"/>
  <c r="AU85" i="10"/>
  <c r="AB85" i="10"/>
  <c r="AA85" i="10"/>
  <c r="AR85" i="10" s="1"/>
  <c r="Z85" i="10"/>
  <c r="AQ85" i="10" s="1"/>
  <c r="AT85" i="10" s="1"/>
  <c r="N85" i="10"/>
  <c r="M85" i="10"/>
  <c r="L85" i="10"/>
  <c r="AL85" i="10" s="1"/>
  <c r="AB84" i="10"/>
  <c r="AA84" i="10"/>
  <c r="AR84" i="10" s="1"/>
  <c r="AU84" i="10" s="1"/>
  <c r="Z84" i="10"/>
  <c r="N84" i="10"/>
  <c r="M84" i="10"/>
  <c r="L84" i="10"/>
  <c r="AL84" i="10" s="1"/>
  <c r="AB83" i="10"/>
  <c r="AA83" i="10"/>
  <c r="AR83" i="10" s="1"/>
  <c r="AU83" i="10" s="1"/>
  <c r="Z83" i="10"/>
  <c r="AQ83" i="10" s="1"/>
  <c r="AT83" i="10" s="1"/>
  <c r="N83" i="10"/>
  <c r="M83" i="10"/>
  <c r="L83" i="10"/>
  <c r="AQ82" i="10"/>
  <c r="AT82" i="10" s="1"/>
  <c r="AL82" i="10"/>
  <c r="AB82" i="10"/>
  <c r="AA82" i="10"/>
  <c r="AR82" i="10" s="1"/>
  <c r="AU82" i="10" s="1"/>
  <c r="Z82" i="10"/>
  <c r="N82" i="10"/>
  <c r="M82" i="10"/>
  <c r="L82" i="10"/>
  <c r="AB81" i="10"/>
  <c r="AA81" i="10"/>
  <c r="AR81" i="10" s="1"/>
  <c r="AU81" i="10" s="1"/>
  <c r="Z81" i="10"/>
  <c r="AQ81" i="10" s="1"/>
  <c r="AT81" i="10" s="1"/>
  <c r="N81" i="10"/>
  <c r="M81" i="10"/>
  <c r="L81" i="10"/>
  <c r="AR80" i="10"/>
  <c r="AU80" i="10" s="1"/>
  <c r="AL80" i="10"/>
  <c r="AB80" i="10"/>
  <c r="AA80" i="10"/>
  <c r="Z80" i="10"/>
  <c r="AQ80" i="10" s="1"/>
  <c r="AT80" i="10" s="1"/>
  <c r="N80" i="10"/>
  <c r="M80" i="10"/>
  <c r="L80" i="10"/>
  <c r="AB79" i="10"/>
  <c r="AA79" i="10"/>
  <c r="AR79" i="10" s="1"/>
  <c r="AU79" i="10" s="1"/>
  <c r="Z79" i="10"/>
  <c r="AQ79" i="10" s="1"/>
  <c r="AT79" i="10" s="1"/>
  <c r="N79" i="10"/>
  <c r="M79" i="10"/>
  <c r="L79" i="10"/>
  <c r="AB78" i="10"/>
  <c r="AA78" i="10"/>
  <c r="AR78" i="10" s="1"/>
  <c r="AU78" i="10" s="1"/>
  <c r="Z78" i="10"/>
  <c r="AQ78" i="10" s="1"/>
  <c r="AT78" i="10" s="1"/>
  <c r="N78" i="10"/>
  <c r="M78" i="10"/>
  <c r="L78" i="10"/>
  <c r="AL77" i="10"/>
  <c r="AB77" i="10"/>
  <c r="AA77" i="10"/>
  <c r="Z77" i="10"/>
  <c r="AQ77" i="10" s="1"/>
  <c r="AT77" i="10" s="1"/>
  <c r="N77" i="10"/>
  <c r="M77" i="10"/>
  <c r="L77" i="10"/>
  <c r="AB76" i="10"/>
  <c r="AA76" i="10"/>
  <c r="AR76" i="10" s="1"/>
  <c r="AU76" i="10" s="1"/>
  <c r="Z76" i="10"/>
  <c r="AQ76" i="10" s="1"/>
  <c r="AT76" i="10" s="1"/>
  <c r="N76" i="10"/>
  <c r="M76" i="10"/>
  <c r="L76" i="10"/>
  <c r="AR75" i="10"/>
  <c r="AU75" i="10" s="1"/>
  <c r="AQ75" i="10"/>
  <c r="AT75" i="10" s="1"/>
  <c r="AB75" i="10"/>
  <c r="AA75" i="10"/>
  <c r="Z75" i="10"/>
  <c r="N75" i="10"/>
  <c r="M75" i="10"/>
  <c r="L75" i="10"/>
  <c r="AL75" i="10" s="1"/>
  <c r="N74" i="10"/>
  <c r="M74" i="10"/>
  <c r="L74" i="10"/>
  <c r="AR73" i="10"/>
  <c r="AL73" i="10"/>
  <c r="N73" i="10"/>
  <c r="M73" i="10"/>
  <c r="L73" i="10"/>
  <c r="N72" i="10"/>
  <c r="M72" i="10"/>
  <c r="L72" i="10"/>
  <c r="AQ71" i="10"/>
  <c r="AQ73" i="10" s="1"/>
  <c r="N71" i="10"/>
  <c r="M71" i="10"/>
  <c r="L71" i="10"/>
  <c r="N70" i="10"/>
  <c r="M70" i="10"/>
  <c r="L70" i="10"/>
  <c r="N69" i="10"/>
  <c r="M69" i="10"/>
  <c r="L69" i="10"/>
  <c r="N68" i="10"/>
  <c r="M68" i="10"/>
  <c r="L68" i="10"/>
  <c r="N67" i="10"/>
  <c r="M67" i="10"/>
  <c r="L67" i="10"/>
  <c r="N66" i="10"/>
  <c r="M66" i="10"/>
  <c r="L66" i="10"/>
  <c r="N65" i="10"/>
  <c r="M65" i="10"/>
  <c r="L65" i="10"/>
  <c r="N64" i="10"/>
  <c r="M64" i="10"/>
  <c r="L64" i="10"/>
  <c r="N63" i="10"/>
  <c r="M63" i="10"/>
  <c r="L63" i="10"/>
  <c r="N62" i="10"/>
  <c r="M62" i="10"/>
  <c r="L62" i="10"/>
  <c r="N61" i="10"/>
  <c r="M61" i="10"/>
  <c r="L61" i="10"/>
  <c r="N60" i="10"/>
  <c r="M60" i="10"/>
  <c r="L60" i="10"/>
  <c r="N59" i="10"/>
  <c r="M59" i="10"/>
  <c r="L59" i="10"/>
  <c r="N58" i="10"/>
  <c r="M58" i="10"/>
  <c r="L58" i="10"/>
  <c r="N57" i="10"/>
  <c r="M57" i="10"/>
  <c r="L57" i="10"/>
  <c r="N56" i="10"/>
  <c r="M56" i="10"/>
  <c r="L56" i="10"/>
  <c r="N55" i="10"/>
  <c r="M55" i="10"/>
  <c r="L55" i="10"/>
  <c r="N54" i="10"/>
  <c r="M54" i="10"/>
  <c r="L54" i="10"/>
  <c r="N53" i="10"/>
  <c r="M53" i="10"/>
  <c r="L53" i="10"/>
  <c r="N52" i="10"/>
  <c r="M52" i="10"/>
  <c r="L52" i="10"/>
  <c r="N51" i="10"/>
  <c r="M51" i="10"/>
  <c r="L51" i="10"/>
  <c r="N50" i="10"/>
  <c r="M50" i="10"/>
  <c r="L50" i="10"/>
  <c r="N49" i="10"/>
  <c r="M49" i="10"/>
  <c r="L49" i="10"/>
  <c r="N48" i="10"/>
  <c r="M48" i="10"/>
  <c r="L48" i="10"/>
  <c r="N47" i="10"/>
  <c r="M47" i="10"/>
  <c r="L47" i="10"/>
  <c r="N46" i="10"/>
  <c r="M46" i="10"/>
  <c r="L46" i="10"/>
  <c r="N45" i="10"/>
  <c r="M45" i="10"/>
  <c r="L45" i="10"/>
  <c r="N44" i="10"/>
  <c r="M44" i="10"/>
  <c r="L44" i="10"/>
  <c r="N43" i="10"/>
  <c r="M43" i="10"/>
  <c r="L43" i="10"/>
  <c r="N42" i="10"/>
  <c r="M42" i="10"/>
  <c r="L42" i="10"/>
  <c r="N41" i="10"/>
  <c r="M41" i="10"/>
  <c r="L41" i="10"/>
  <c r="N40" i="10"/>
  <c r="M40" i="10"/>
  <c r="L40" i="10"/>
  <c r="N39" i="10"/>
  <c r="M39" i="10"/>
  <c r="L39" i="10"/>
  <c r="N38" i="10"/>
  <c r="M38" i="10"/>
  <c r="L38" i="10"/>
  <c r="N37" i="10"/>
  <c r="M37" i="10"/>
  <c r="L37" i="10"/>
  <c r="N36" i="10"/>
  <c r="M36" i="10"/>
  <c r="L36" i="10"/>
  <c r="N35" i="10"/>
  <c r="M35" i="10"/>
  <c r="L35" i="10"/>
  <c r="N34" i="10"/>
  <c r="M34" i="10"/>
  <c r="L34" i="10"/>
  <c r="N33" i="10"/>
  <c r="M33" i="10"/>
  <c r="L33" i="10"/>
  <c r="N32" i="10"/>
  <c r="M32" i="10"/>
  <c r="L32" i="10"/>
  <c r="N31" i="10"/>
  <c r="M31" i="10"/>
  <c r="L31" i="10"/>
  <c r="N30" i="10"/>
  <c r="M30" i="10"/>
  <c r="L30" i="10"/>
  <c r="N29" i="10"/>
  <c r="M29" i="10"/>
  <c r="L29" i="10"/>
  <c r="N28" i="10"/>
  <c r="M28" i="10"/>
  <c r="L28" i="10"/>
  <c r="N27" i="10"/>
  <c r="M27" i="10"/>
  <c r="L27" i="10"/>
  <c r="Z19" i="10"/>
  <c r="Y19" i="10"/>
  <c r="W19" i="10"/>
  <c r="AJ17" i="10"/>
  <c r="Q17" i="10" a="1"/>
  <c r="R19" i="10" s="1"/>
  <c r="AL15" i="10"/>
  <c r="AJ14" i="10"/>
  <c r="AJ15" i="10" s="1"/>
  <c r="AJ16" i="10" s="1"/>
  <c r="AJ13" i="10"/>
  <c r="Z11" i="10"/>
  <c r="Y11" i="10"/>
  <c r="X11" i="10"/>
  <c r="W11" i="10"/>
  <c r="V9" i="10"/>
  <c r="AI8" i="10"/>
  <c r="AC7" i="10"/>
  <c r="V7" i="10"/>
  <c r="W3" i="10"/>
  <c r="W4" i="10" s="1"/>
  <c r="W2" i="10"/>
  <c r="T63" i="9"/>
  <c r="E63" i="9"/>
  <c r="L63" i="9" s="1"/>
  <c r="D63" i="9"/>
  <c r="U63" i="9" s="1"/>
  <c r="T62" i="9"/>
  <c r="E62" i="9"/>
  <c r="L62" i="9" s="1"/>
  <c r="D62" i="9"/>
  <c r="U62" i="9" s="1"/>
  <c r="T61" i="9"/>
  <c r="E61" i="9"/>
  <c r="L61" i="9" s="1"/>
  <c r="D61" i="9"/>
  <c r="T60" i="9"/>
  <c r="E60" i="9"/>
  <c r="L60" i="9" s="1"/>
  <c r="D60" i="9"/>
  <c r="U60" i="9" s="1"/>
  <c r="T59" i="9"/>
  <c r="E59" i="9"/>
  <c r="L59" i="9" s="1"/>
  <c r="D59" i="9"/>
  <c r="U59" i="9" s="1"/>
  <c r="T57" i="9"/>
  <c r="E57" i="9"/>
  <c r="L57" i="9" s="1"/>
  <c r="D57" i="9"/>
  <c r="U57" i="9" s="1"/>
  <c r="T56" i="9"/>
  <c r="E56" i="9"/>
  <c r="L56" i="9" s="1"/>
  <c r="D56" i="9"/>
  <c r="U56" i="9" s="1"/>
  <c r="T55" i="9"/>
  <c r="E55" i="9"/>
  <c r="L55" i="9" s="1"/>
  <c r="D55" i="9"/>
  <c r="U55" i="9" s="1"/>
  <c r="T54" i="9"/>
  <c r="E54" i="9"/>
  <c r="L54" i="9" s="1"/>
  <c r="D54" i="9"/>
  <c r="K54" i="9" s="1"/>
  <c r="S54" i="9" s="1"/>
  <c r="T52" i="9"/>
  <c r="E52" i="9"/>
  <c r="L52" i="9" s="1"/>
  <c r="D52" i="9"/>
  <c r="U52" i="9" s="1"/>
  <c r="T51" i="9"/>
  <c r="E51" i="9"/>
  <c r="L51" i="9" s="1"/>
  <c r="D51" i="9"/>
  <c r="T50" i="9"/>
  <c r="E50" i="9"/>
  <c r="L50" i="9" s="1"/>
  <c r="D50" i="9"/>
  <c r="U50" i="9" s="1"/>
  <c r="T49" i="9"/>
  <c r="E49" i="9"/>
  <c r="L49" i="9" s="1"/>
  <c r="D49" i="9"/>
  <c r="T48" i="9"/>
  <c r="E48" i="9"/>
  <c r="L48" i="9" s="1"/>
  <c r="D48" i="9"/>
  <c r="T47" i="9"/>
  <c r="E47" i="9"/>
  <c r="L47" i="9" s="1"/>
  <c r="D47" i="9"/>
  <c r="T46" i="9"/>
  <c r="E46" i="9"/>
  <c r="L46" i="9" s="1"/>
  <c r="D46" i="9"/>
  <c r="T45" i="9"/>
  <c r="E45" i="9"/>
  <c r="L45" i="9" s="1"/>
  <c r="D45" i="9"/>
  <c r="U45" i="9" s="1"/>
  <c r="T43" i="9"/>
  <c r="E43" i="9"/>
  <c r="L43" i="9" s="1"/>
  <c r="D43" i="9"/>
  <c r="U43" i="9" s="1"/>
  <c r="T42" i="9"/>
  <c r="E42" i="9"/>
  <c r="L42" i="9" s="1"/>
  <c r="D42" i="9"/>
  <c r="U42" i="9" s="1"/>
  <c r="T41" i="9"/>
  <c r="E41" i="9"/>
  <c r="L41" i="9" s="1"/>
  <c r="D41" i="9"/>
  <c r="K41" i="9" s="1"/>
  <c r="S41" i="9" s="1"/>
  <c r="T40" i="9"/>
  <c r="E40" i="9"/>
  <c r="L40" i="9" s="1"/>
  <c r="D40" i="9"/>
  <c r="K40" i="9" s="1"/>
  <c r="S40" i="9" s="1"/>
  <c r="T39" i="9"/>
  <c r="E39" i="9"/>
  <c r="L39" i="9" s="1"/>
  <c r="D39" i="9"/>
  <c r="T38" i="9"/>
  <c r="E38" i="9"/>
  <c r="L38" i="9" s="1"/>
  <c r="D38" i="9"/>
  <c r="K38" i="9" s="1"/>
  <c r="S38" i="9" s="1"/>
  <c r="T37" i="9"/>
  <c r="E37" i="9"/>
  <c r="L37" i="9" s="1"/>
  <c r="D37" i="9"/>
  <c r="U37" i="9" s="1"/>
  <c r="T36" i="9"/>
  <c r="E36" i="9"/>
  <c r="L36" i="9" s="1"/>
  <c r="D36" i="9"/>
  <c r="U36" i="9" s="1"/>
  <c r="T34" i="9"/>
  <c r="E34" i="9"/>
  <c r="L34" i="9" s="1"/>
  <c r="D34" i="9"/>
  <c r="U34" i="9" s="1"/>
  <c r="T33" i="9"/>
  <c r="E33" i="9"/>
  <c r="L33" i="9" s="1"/>
  <c r="D33" i="9"/>
  <c r="E32" i="9"/>
  <c r="L32" i="9" s="1"/>
  <c r="D32" i="9"/>
  <c r="U32" i="9" s="1"/>
  <c r="T27" i="9"/>
  <c r="E27" i="9"/>
  <c r="L27" i="9" s="1"/>
  <c r="D27" i="9"/>
  <c r="K27" i="9" s="1"/>
  <c r="S27" i="9" s="1"/>
  <c r="T26" i="9"/>
  <c r="E26" i="9"/>
  <c r="L26" i="9" s="1"/>
  <c r="D26" i="9"/>
  <c r="K26" i="9" s="1"/>
  <c r="S26" i="9" s="1"/>
  <c r="T25" i="9"/>
  <c r="E25" i="9"/>
  <c r="L25" i="9" s="1"/>
  <c r="D25" i="9"/>
  <c r="T24" i="9"/>
  <c r="E24" i="9"/>
  <c r="L24" i="9" s="1"/>
  <c r="D24" i="9"/>
  <c r="U24" i="9" s="1"/>
  <c r="T23" i="9"/>
  <c r="E23" i="9"/>
  <c r="L23" i="9" s="1"/>
  <c r="D23" i="9"/>
  <c r="K23" i="9" s="1"/>
  <c r="S23" i="9" s="1"/>
  <c r="T22" i="9"/>
  <c r="E22" i="9"/>
  <c r="L22" i="9" s="1"/>
  <c r="D22" i="9"/>
  <c r="K22" i="9" s="1"/>
  <c r="S22" i="9" s="1"/>
  <c r="T19" i="9"/>
  <c r="E19" i="9"/>
  <c r="L19" i="9" s="1"/>
  <c r="D19" i="9"/>
  <c r="K19" i="9" s="1"/>
  <c r="S19" i="9" s="1"/>
  <c r="T18" i="9"/>
  <c r="E18" i="9"/>
  <c r="L18" i="9" s="1"/>
  <c r="D18" i="9"/>
  <c r="U18" i="9" s="1"/>
  <c r="T17" i="9"/>
  <c r="E17" i="9"/>
  <c r="L17" i="9" s="1"/>
  <c r="D17" i="9"/>
  <c r="U17" i="9" s="1"/>
  <c r="T16" i="9"/>
  <c r="E16" i="9"/>
  <c r="L16" i="9" s="1"/>
  <c r="D16" i="9"/>
  <c r="U16" i="9" s="1"/>
  <c r="T15" i="9"/>
  <c r="E15" i="9"/>
  <c r="L15" i="9" s="1"/>
  <c r="D15" i="9"/>
  <c r="T14" i="9"/>
  <c r="E14" i="9"/>
  <c r="L14" i="9" s="1"/>
  <c r="D14" i="9"/>
  <c r="K14" i="9" s="1"/>
  <c r="S14" i="9" s="1"/>
  <c r="T13" i="9"/>
  <c r="E13" i="9"/>
  <c r="L13" i="9" s="1"/>
  <c r="D13" i="9"/>
  <c r="T12" i="9"/>
  <c r="E12" i="9"/>
  <c r="L12" i="9" s="1"/>
  <c r="D12" i="9"/>
  <c r="U12" i="9" s="1"/>
  <c r="T11" i="9"/>
  <c r="E11" i="9"/>
  <c r="L11" i="9" s="1"/>
  <c r="D11" i="9"/>
  <c r="K11" i="9" s="1"/>
  <c r="S11" i="9" s="1"/>
  <c r="T10" i="9"/>
  <c r="E10" i="9"/>
  <c r="L10" i="9" s="1"/>
  <c r="D10" i="9"/>
  <c r="K10" i="9" s="1"/>
  <c r="S10" i="9" s="1"/>
  <c r="T9" i="9"/>
  <c r="E9" i="9"/>
  <c r="L9" i="9" s="1"/>
  <c r="D9" i="9"/>
  <c r="BB49" i="8"/>
  <c r="BA49" i="8"/>
  <c r="F144" i="7"/>
  <c r="C144" i="7"/>
  <c r="J143" i="7"/>
  <c r="K143" i="7" s="1"/>
  <c r="L143" i="7" s="1"/>
  <c r="G143" i="7"/>
  <c r="D143" i="7"/>
  <c r="H143" i="7" s="1"/>
  <c r="G142" i="7"/>
  <c r="E142" i="7"/>
  <c r="J142" i="7" s="1"/>
  <c r="K142" i="7" s="1"/>
  <c r="L142" i="7" s="1"/>
  <c r="D142" i="7"/>
  <c r="H142" i="7" s="1"/>
  <c r="G141" i="7"/>
  <c r="E141" i="7"/>
  <c r="J141" i="7" s="1"/>
  <c r="K141" i="7" s="1"/>
  <c r="L141" i="7" s="1"/>
  <c r="D141" i="7"/>
  <c r="H141" i="7" s="1"/>
  <c r="H140" i="7"/>
  <c r="G140" i="7"/>
  <c r="E140" i="7"/>
  <c r="D140" i="7"/>
  <c r="G139" i="7"/>
  <c r="E139" i="7"/>
  <c r="I139" i="7" s="1"/>
  <c r="D139" i="7"/>
  <c r="H139" i="7" s="1"/>
  <c r="G138" i="7"/>
  <c r="H138" i="7" s="1"/>
  <c r="E138" i="7"/>
  <c r="D138" i="7"/>
  <c r="J137" i="7"/>
  <c r="G137" i="7"/>
  <c r="H137" i="7" s="1"/>
  <c r="E137" i="7"/>
  <c r="D137" i="7"/>
  <c r="G136" i="7"/>
  <c r="E136" i="7"/>
  <c r="D136" i="7"/>
  <c r="G135" i="7"/>
  <c r="H135" i="7" s="1"/>
  <c r="E135" i="7"/>
  <c r="J135" i="7" s="1"/>
  <c r="D135" i="7"/>
  <c r="G134" i="7"/>
  <c r="E134" i="7"/>
  <c r="J134" i="7" s="1"/>
  <c r="D134" i="7"/>
  <c r="H133" i="7"/>
  <c r="G133" i="7"/>
  <c r="E133" i="7"/>
  <c r="J133" i="7" s="1"/>
  <c r="K133" i="7" s="1"/>
  <c r="L133" i="7" s="1"/>
  <c r="D133" i="7"/>
  <c r="D144" i="7" s="1"/>
  <c r="K129" i="7"/>
  <c r="J129" i="7"/>
  <c r="F129" i="7"/>
  <c r="N129" i="7" s="1"/>
  <c r="V128" i="7"/>
  <c r="V131" i="7" s="1"/>
  <c r="V141" i="7" s="1"/>
  <c r="S60" i="5" s="1"/>
  <c r="K128" i="7"/>
  <c r="J128" i="7"/>
  <c r="F128" i="7"/>
  <c r="V127" i="7"/>
  <c r="V130" i="7" s="1"/>
  <c r="K127" i="7"/>
  <c r="N127" i="7" s="1"/>
  <c r="J127" i="7"/>
  <c r="F127" i="7"/>
  <c r="D127" i="7" s="1"/>
  <c r="K126" i="7"/>
  <c r="J126" i="7"/>
  <c r="F126" i="7"/>
  <c r="L126" i="7" s="1"/>
  <c r="M126" i="7" s="1"/>
  <c r="K125" i="7"/>
  <c r="J125" i="7"/>
  <c r="F125" i="7"/>
  <c r="N125" i="7" s="1"/>
  <c r="K124" i="7"/>
  <c r="J124" i="7"/>
  <c r="F124" i="7"/>
  <c r="L124" i="7" s="1"/>
  <c r="M124" i="7" s="1"/>
  <c r="D124" i="7"/>
  <c r="K123" i="7"/>
  <c r="J123" i="7"/>
  <c r="F123" i="7"/>
  <c r="K122" i="7"/>
  <c r="J122" i="7"/>
  <c r="F122" i="7"/>
  <c r="G122" i="7" s="1"/>
  <c r="E122" i="7"/>
  <c r="V121" i="7"/>
  <c r="K121" i="7"/>
  <c r="J121" i="7"/>
  <c r="G121" i="7"/>
  <c r="F121" i="7"/>
  <c r="L121" i="7" s="1"/>
  <c r="M121" i="7" s="1"/>
  <c r="D121" i="7"/>
  <c r="K120" i="7"/>
  <c r="N120" i="7" s="1"/>
  <c r="J120" i="7"/>
  <c r="F120" i="7"/>
  <c r="G120" i="7" s="1"/>
  <c r="E120" i="7"/>
  <c r="I119" i="7"/>
  <c r="K119" i="7" s="1"/>
  <c r="F119" i="7"/>
  <c r="L119" i="7" s="1"/>
  <c r="M119" i="7" s="1"/>
  <c r="E119" i="7"/>
  <c r="D119" i="7"/>
  <c r="Q118" i="7"/>
  <c r="N117" i="7"/>
  <c r="K104" i="7"/>
  <c r="E82" i="7"/>
  <c r="D82" i="7"/>
  <c r="E81" i="7"/>
  <c r="D81" i="7"/>
  <c r="E80" i="7"/>
  <c r="D80" i="7"/>
  <c r="D70" i="7"/>
  <c r="A70" i="7"/>
  <c r="G69" i="7"/>
  <c r="E69" i="7"/>
  <c r="A69" i="7"/>
  <c r="A73" i="7" s="1"/>
  <c r="E68" i="7"/>
  <c r="E70" i="7" s="1"/>
  <c r="F67" i="7"/>
  <c r="E67" i="7"/>
  <c r="D67" i="7"/>
  <c r="D69" i="7" s="1"/>
  <c r="D71" i="7" s="1"/>
  <c r="H59" i="7"/>
  <c r="H58" i="7"/>
  <c r="H57" i="7"/>
  <c r="H56" i="7"/>
  <c r="H55" i="7"/>
  <c r="H54" i="7"/>
  <c r="G49" i="7"/>
  <c r="H49" i="7" s="1"/>
  <c r="F49" i="7"/>
  <c r="E49" i="7"/>
  <c r="O48" i="7"/>
  <c r="Q48" i="7" s="1"/>
  <c r="R48" i="7" s="1"/>
  <c r="N48" i="7"/>
  <c r="P48" i="7" s="1"/>
  <c r="M48" i="7"/>
  <c r="G48" i="7"/>
  <c r="F48" i="7"/>
  <c r="E48" i="7"/>
  <c r="P47" i="7"/>
  <c r="O47" i="7"/>
  <c r="Q47" i="7" s="1"/>
  <c r="N47" i="7"/>
  <c r="M47" i="7"/>
  <c r="G47" i="7"/>
  <c r="F47" i="7"/>
  <c r="E47" i="7"/>
  <c r="O46" i="7"/>
  <c r="Q46" i="7" s="1"/>
  <c r="N46" i="7"/>
  <c r="P46" i="7" s="1"/>
  <c r="M46" i="7"/>
  <c r="L46" i="7"/>
  <c r="G46" i="7"/>
  <c r="F46" i="7"/>
  <c r="H46" i="7" s="1"/>
  <c r="O45" i="7"/>
  <c r="Q45" i="7" s="1"/>
  <c r="W45" i="7" s="1"/>
  <c r="N45" i="7"/>
  <c r="P45" i="7" s="1"/>
  <c r="M45" i="7"/>
  <c r="G45" i="7"/>
  <c r="F45" i="7"/>
  <c r="E45" i="7"/>
  <c r="P44" i="7"/>
  <c r="O44" i="7"/>
  <c r="Q44" i="7" s="1"/>
  <c r="N44" i="7"/>
  <c r="M44" i="7"/>
  <c r="G44" i="7"/>
  <c r="F44" i="7"/>
  <c r="E44" i="7"/>
  <c r="A44" i="7"/>
  <c r="O43" i="7"/>
  <c r="Q43" i="7" s="1"/>
  <c r="W43" i="7" s="1"/>
  <c r="N43" i="7"/>
  <c r="P43" i="7" s="1"/>
  <c r="M43" i="7"/>
  <c r="G43" i="7"/>
  <c r="H43" i="7" s="1"/>
  <c r="F43" i="7"/>
  <c r="E43" i="7"/>
  <c r="O42" i="7"/>
  <c r="Q42" i="7" s="1"/>
  <c r="S42" i="7" s="1"/>
  <c r="N42" i="7"/>
  <c r="P42" i="7" s="1"/>
  <c r="M42" i="7"/>
  <c r="G42" i="7"/>
  <c r="F42" i="7"/>
  <c r="E42" i="7"/>
  <c r="O41" i="7"/>
  <c r="Q41" i="7" s="1"/>
  <c r="W41" i="7" s="1"/>
  <c r="N41" i="7"/>
  <c r="P41" i="7" s="1"/>
  <c r="M41" i="7"/>
  <c r="G41" i="7"/>
  <c r="F41" i="7"/>
  <c r="E41" i="7"/>
  <c r="O40" i="7"/>
  <c r="Q40" i="7" s="1"/>
  <c r="V40" i="7" s="1"/>
  <c r="N40" i="7"/>
  <c r="P40" i="7" s="1"/>
  <c r="M40" i="7"/>
  <c r="G40" i="7"/>
  <c r="F40" i="7"/>
  <c r="E40" i="7"/>
  <c r="O39" i="7"/>
  <c r="Q39" i="7" s="1"/>
  <c r="N39" i="7"/>
  <c r="P39" i="7" s="1"/>
  <c r="M39" i="7"/>
  <c r="G39" i="7"/>
  <c r="H39" i="7" s="1"/>
  <c r="F39" i="7"/>
  <c r="E39" i="7"/>
  <c r="W38" i="7"/>
  <c r="P38" i="7"/>
  <c r="O38" i="7"/>
  <c r="Q38" i="7" s="1"/>
  <c r="S38" i="7" s="1"/>
  <c r="N38" i="7"/>
  <c r="M38" i="7"/>
  <c r="G38" i="7"/>
  <c r="F38" i="7"/>
  <c r="H38" i="7" s="1"/>
  <c r="E38" i="7"/>
  <c r="Q37" i="7"/>
  <c r="W37" i="7" s="1"/>
  <c r="O37" i="7"/>
  <c r="N37" i="7"/>
  <c r="P37" i="7" s="1"/>
  <c r="M37" i="7"/>
  <c r="G37" i="7"/>
  <c r="H37" i="7" s="1"/>
  <c r="F37" i="7"/>
  <c r="E37" i="7"/>
  <c r="O36" i="7"/>
  <c r="Q36" i="7" s="1"/>
  <c r="N36" i="7"/>
  <c r="P36" i="7" s="1"/>
  <c r="M36" i="7"/>
  <c r="L36" i="7"/>
  <c r="G36" i="7"/>
  <c r="F36" i="7"/>
  <c r="E36" i="7"/>
  <c r="AD29" i="7"/>
  <c r="AD28" i="7"/>
  <c r="AD27" i="7"/>
  <c r="V45" i="7" s="1"/>
  <c r="AD21" i="7"/>
  <c r="W20" i="7"/>
  <c r="X18" i="7"/>
  <c r="W18" i="7"/>
  <c r="V18" i="7"/>
  <c r="AD17" i="7"/>
  <c r="AD18" i="7" s="1"/>
  <c r="AA17" i="7"/>
  <c r="Z17" i="7"/>
  <c r="Y17" i="7"/>
  <c r="X17" i="7"/>
  <c r="W17" i="7"/>
  <c r="V17" i="7"/>
  <c r="AA16" i="7"/>
  <c r="Z16" i="7"/>
  <c r="Y16" i="7"/>
  <c r="X16" i="7"/>
  <c r="W16" i="7"/>
  <c r="V16" i="7"/>
  <c r="X15" i="7"/>
  <c r="W15" i="7"/>
  <c r="V15" i="7"/>
  <c r="E14" i="7"/>
  <c r="AD13" i="7"/>
  <c r="AA13" i="7"/>
  <c r="Z13" i="7"/>
  <c r="Y13" i="7"/>
  <c r="X13" i="7"/>
  <c r="W13" i="7"/>
  <c r="V13" i="7"/>
  <c r="E13" i="7"/>
  <c r="AA12" i="7"/>
  <c r="Z12" i="7"/>
  <c r="Y12" i="7"/>
  <c r="X12" i="7"/>
  <c r="W12" i="7"/>
  <c r="V12" i="7"/>
  <c r="E12" i="7"/>
  <c r="AA11" i="7"/>
  <c r="Z11" i="7"/>
  <c r="Y11" i="7"/>
  <c r="X11" i="7"/>
  <c r="W11" i="7"/>
  <c r="V11" i="7"/>
  <c r="O11" i="7"/>
  <c r="O13" i="7" s="1"/>
  <c r="E11" i="7"/>
  <c r="AA10" i="7"/>
  <c r="Z10" i="7"/>
  <c r="Y10" i="7"/>
  <c r="X10" i="7"/>
  <c r="W10" i="7"/>
  <c r="V10" i="7"/>
  <c r="E10" i="7"/>
  <c r="AD7" i="7"/>
  <c r="AD26" i="7" s="1"/>
  <c r="C104" i="5"/>
  <c r="A104" i="5" s="1"/>
  <c r="C103" i="5"/>
  <c r="A103" i="5" s="1"/>
  <c r="C102" i="5"/>
  <c r="A102" i="5" s="1"/>
  <c r="C101" i="5"/>
  <c r="A101" i="5" s="1"/>
  <c r="C51" i="15" s="1"/>
  <c r="C100" i="5"/>
  <c r="A100" i="5" s="1"/>
  <c r="C99" i="5"/>
  <c r="A99" i="5" s="1"/>
  <c r="C98" i="5"/>
  <c r="G97" i="5"/>
  <c r="C97" i="5"/>
  <c r="A97" i="5" s="1"/>
  <c r="D95" i="5"/>
  <c r="A95" i="5" s="1"/>
  <c r="D94" i="5"/>
  <c r="D92" i="5"/>
  <c r="D91" i="5"/>
  <c r="D90" i="5"/>
  <c r="A90" i="5" s="1"/>
  <c r="D89" i="5"/>
  <c r="A89" i="5" s="1"/>
  <c r="D88" i="5"/>
  <c r="A88" i="5" s="1"/>
  <c r="C38" i="15" s="1"/>
  <c r="D87" i="5"/>
  <c r="A87" i="5" s="1"/>
  <c r="C37" i="15" s="1"/>
  <c r="D86" i="5"/>
  <c r="A86" i="5" s="1"/>
  <c r="D85" i="5"/>
  <c r="A85" i="5" s="1"/>
  <c r="C35" i="15" s="1"/>
  <c r="D84" i="5"/>
  <c r="A84" i="5" s="1"/>
  <c r="H83" i="5"/>
  <c r="I83" i="5" s="1"/>
  <c r="D83" i="5"/>
  <c r="B81" i="5"/>
  <c r="D80" i="5"/>
  <c r="D79" i="5" s="1"/>
  <c r="G78" i="5"/>
  <c r="G98" i="5" s="1"/>
  <c r="D78" i="5"/>
  <c r="D76" i="5"/>
  <c r="D75" i="5"/>
  <c r="A75" i="5" s="1"/>
  <c r="D74" i="5"/>
  <c r="H73" i="5"/>
  <c r="I73" i="5" s="1"/>
  <c r="D73" i="5"/>
  <c r="A73" i="5" s="1"/>
  <c r="H72" i="5"/>
  <c r="I72" i="5" s="1"/>
  <c r="D72" i="5"/>
  <c r="G71" i="5"/>
  <c r="D71" i="5"/>
  <c r="D70" i="5"/>
  <c r="D69" i="5"/>
  <c r="D67" i="5"/>
  <c r="A67" i="5" s="1"/>
  <c r="C19" i="15" s="1"/>
  <c r="D66" i="5"/>
  <c r="D65" i="5"/>
  <c r="A65" i="5" s="1"/>
  <c r="L64" i="5"/>
  <c r="K64" i="5"/>
  <c r="D64" i="5"/>
  <c r="D63" i="5"/>
  <c r="A63" i="5" s="1"/>
  <c r="D62" i="5"/>
  <c r="D61" i="5"/>
  <c r="Q60" i="5"/>
  <c r="H60" i="5"/>
  <c r="H71" i="5" s="1"/>
  <c r="D60" i="5"/>
  <c r="O57" i="5"/>
  <c r="O56" i="5" s="1"/>
  <c r="N57" i="5"/>
  <c r="N56" i="5" s="1"/>
  <c r="L56" i="5"/>
  <c r="M56" i="5"/>
  <c r="K56" i="5"/>
  <c r="J56" i="5"/>
  <c r="I56" i="5"/>
  <c r="H56" i="5"/>
  <c r="G56" i="5"/>
  <c r="F56" i="5"/>
  <c r="E56" i="5"/>
  <c r="AI55" i="5"/>
  <c r="AH55" i="5"/>
  <c r="AP55" i="5" s="1"/>
  <c r="AG55" i="5"/>
  <c r="AO55" i="5" s="1"/>
  <c r="AF55" i="5"/>
  <c r="AN55" i="5" s="1"/>
  <c r="AE55" i="5"/>
  <c r="AM55" i="5" s="1"/>
  <c r="AD55" i="5"/>
  <c r="AL55" i="5" s="1"/>
  <c r="AC55" i="5"/>
  <c r="AK55" i="5" s="1"/>
  <c r="AB55" i="5"/>
  <c r="AA55" i="5"/>
  <c r="Z55" i="5"/>
  <c r="AI54" i="5"/>
  <c r="AQ54" i="5" s="1"/>
  <c r="AH54" i="5"/>
  <c r="AP54" i="5" s="1"/>
  <c r="AG54" i="5"/>
  <c r="AO54" i="5" s="1"/>
  <c r="AF54" i="5"/>
  <c r="AN54" i="5" s="1"/>
  <c r="AE54" i="5"/>
  <c r="AD54" i="5"/>
  <c r="AL54" i="5" s="1"/>
  <c r="AC54" i="5"/>
  <c r="AB54" i="5"/>
  <c r="AJ54" i="5" s="1"/>
  <c r="AA54" i="5"/>
  <c r="W53" i="5"/>
  <c r="AQ43" i="5"/>
  <c r="AP43" i="5"/>
  <c r="AO43" i="5"/>
  <c r="AN43" i="5"/>
  <c r="AM43" i="5"/>
  <c r="AL43" i="5"/>
  <c r="AK43" i="5"/>
  <c r="AJ43" i="5"/>
  <c r="O42" i="5"/>
  <c r="A42" i="5"/>
  <c r="D42" i="5" s="1"/>
  <c r="A41" i="5"/>
  <c r="D41" i="5" s="1"/>
  <c r="P40" i="5"/>
  <c r="A40" i="5"/>
  <c r="D40" i="5" s="1"/>
  <c r="AE39" i="5"/>
  <c r="AD39" i="5"/>
  <c r="AC39" i="5"/>
  <c r="AB39" i="5"/>
  <c r="AA39" i="5"/>
  <c r="Z39" i="5"/>
  <c r="P39" i="5"/>
  <c r="A39" i="5"/>
  <c r="D39" i="5" s="1"/>
  <c r="AE38" i="5"/>
  <c r="AD38" i="5"/>
  <c r="AC38" i="5"/>
  <c r="AB38" i="5"/>
  <c r="AA38" i="5"/>
  <c r="Z38" i="5"/>
  <c r="P38" i="5"/>
  <c r="AE37" i="5"/>
  <c r="AD37" i="5"/>
  <c r="AC37" i="5"/>
  <c r="AB37" i="5"/>
  <c r="AA37" i="5"/>
  <c r="Z37" i="5"/>
  <c r="P37" i="5"/>
  <c r="A37" i="5"/>
  <c r="D37" i="5" s="1"/>
  <c r="AE36" i="5"/>
  <c r="AD36" i="5"/>
  <c r="AC36" i="5"/>
  <c r="AB36" i="5"/>
  <c r="AA36" i="5"/>
  <c r="Z36" i="5"/>
  <c r="T36" i="5"/>
  <c r="S36" i="5"/>
  <c r="R36" i="5"/>
  <c r="AE35" i="5"/>
  <c r="AD35" i="5"/>
  <c r="AC35" i="5"/>
  <c r="AB35" i="5"/>
  <c r="AA35" i="5"/>
  <c r="Z35" i="5"/>
  <c r="AE34" i="5"/>
  <c r="AJ34" i="5" s="1"/>
  <c r="AD34" i="5"/>
  <c r="AI34" i="5" s="1"/>
  <c r="AC34" i="5"/>
  <c r="AH34" i="5" s="1"/>
  <c r="AB34" i="5"/>
  <c r="AG34" i="5" s="1"/>
  <c r="AA34" i="5"/>
  <c r="AF34" i="5" s="1"/>
  <c r="A34" i="5"/>
  <c r="AA33" i="5"/>
  <c r="A33" i="5"/>
  <c r="AE32" i="5"/>
  <c r="AD32" i="5"/>
  <c r="AC32" i="5"/>
  <c r="AB32" i="5"/>
  <c r="AA32" i="5"/>
  <c r="Z32" i="5"/>
  <c r="A32" i="5"/>
  <c r="AE31" i="5"/>
  <c r="AD31" i="5"/>
  <c r="AC31" i="5"/>
  <c r="AB31" i="5"/>
  <c r="AA31" i="5"/>
  <c r="Z31" i="5"/>
  <c r="A31" i="5"/>
  <c r="AE30" i="5"/>
  <c r="AD30" i="5"/>
  <c r="AC30" i="5"/>
  <c r="AB30" i="5"/>
  <c r="AA30" i="5"/>
  <c r="Z30" i="5"/>
  <c r="A30" i="5"/>
  <c r="AE29" i="5"/>
  <c r="AD29" i="5"/>
  <c r="AC29" i="5"/>
  <c r="AB29" i="5"/>
  <c r="AA29" i="5"/>
  <c r="Z29" i="5"/>
  <c r="AE28" i="5"/>
  <c r="AD28" i="5"/>
  <c r="AC28" i="5"/>
  <c r="AB28" i="5"/>
  <c r="AA28" i="5"/>
  <c r="Z28" i="5"/>
  <c r="E28" i="5"/>
  <c r="E34" i="5" s="1"/>
  <c r="AE27" i="5"/>
  <c r="AJ27" i="5" s="1"/>
  <c r="AD27" i="5"/>
  <c r="AI27" i="5" s="1"/>
  <c r="AC27" i="5"/>
  <c r="AH27" i="5" s="1"/>
  <c r="AB27" i="5"/>
  <c r="AG27" i="5" s="1"/>
  <c r="AA27" i="5"/>
  <c r="AF27" i="5" s="1"/>
  <c r="E27" i="5"/>
  <c r="E33" i="5" s="1"/>
  <c r="AA26" i="5"/>
  <c r="E26" i="5"/>
  <c r="E32" i="5" s="1"/>
  <c r="AE25" i="5"/>
  <c r="AD25" i="5"/>
  <c r="AC25" i="5"/>
  <c r="AB25" i="5"/>
  <c r="AA25" i="5"/>
  <c r="Z25" i="5"/>
  <c r="E25" i="5"/>
  <c r="E31" i="5" s="1"/>
  <c r="AE24" i="5"/>
  <c r="AD24" i="5"/>
  <c r="AC24" i="5"/>
  <c r="AB24" i="5"/>
  <c r="AA24" i="5"/>
  <c r="Z24" i="5"/>
  <c r="E24" i="5"/>
  <c r="AE23" i="5"/>
  <c r="AD23" i="5"/>
  <c r="AC23" i="5"/>
  <c r="AB23" i="5"/>
  <c r="AA23" i="5"/>
  <c r="Z23" i="5"/>
  <c r="AE22" i="5"/>
  <c r="AD22" i="5"/>
  <c r="AC22" i="5"/>
  <c r="AB22" i="5"/>
  <c r="AA22" i="5"/>
  <c r="Z22" i="5"/>
  <c r="E22" i="5"/>
  <c r="AE21" i="5"/>
  <c r="AD21" i="5"/>
  <c r="AC21" i="5"/>
  <c r="AB21" i="5"/>
  <c r="AA21" i="5"/>
  <c r="Z21" i="5"/>
  <c r="AE20" i="5"/>
  <c r="AD20" i="5"/>
  <c r="AC20" i="5"/>
  <c r="AB20" i="5"/>
  <c r="AA20" i="5"/>
  <c r="AA19" i="5"/>
  <c r="G15" i="5"/>
  <c r="Q14" i="5"/>
  <c r="AY7" i="5"/>
  <c r="AY8" i="5" s="1"/>
  <c r="AX7" i="5"/>
  <c r="AX8" i="5" s="1"/>
  <c r="AW7" i="5"/>
  <c r="AW8" i="5" s="1"/>
  <c r="AV7" i="5"/>
  <c r="AV8" i="5" s="1"/>
  <c r="AU7" i="5"/>
  <c r="AU8" i="5" s="1"/>
  <c r="AT7" i="5"/>
  <c r="AT8" i="5" s="1"/>
  <c r="AS7" i="5"/>
  <c r="AS8" i="5" s="1"/>
  <c r="AR7" i="5"/>
  <c r="AR8" i="5" s="1"/>
  <c r="AQ7" i="5"/>
  <c r="AQ8" i="5" s="1"/>
  <c r="AP7" i="5"/>
  <c r="AP8" i="5" s="1"/>
  <c r="AO7" i="5"/>
  <c r="AO8" i="5" s="1"/>
  <c r="AN7" i="5"/>
  <c r="AN8" i="5" s="1"/>
  <c r="AM7" i="5"/>
  <c r="AM8" i="5" s="1"/>
  <c r="AL7" i="5"/>
  <c r="AL8" i="5" s="1"/>
  <c r="AK7" i="5"/>
  <c r="AK8" i="5" s="1"/>
  <c r="AJ7" i="5"/>
  <c r="AJ8" i="5" s="1"/>
  <c r="AH7" i="5"/>
  <c r="AH8" i="5" s="1"/>
  <c r="AE7" i="5"/>
  <c r="AE8" i="5" s="1"/>
  <c r="AC7" i="5"/>
  <c r="AC8" i="5" s="1"/>
  <c r="AA7" i="5"/>
  <c r="AA8" i="5" s="1"/>
  <c r="Y7" i="5"/>
  <c r="Y8" i="5" s="1"/>
  <c r="X7" i="5"/>
  <c r="X8" i="5" s="1"/>
  <c r="W7" i="5"/>
  <c r="W8" i="5" s="1"/>
  <c r="V7" i="5"/>
  <c r="V8" i="5" s="1"/>
  <c r="U7" i="5"/>
  <c r="U8" i="5" s="1"/>
  <c r="R7" i="5"/>
  <c r="R8" i="5" s="1"/>
  <c r="Q7" i="5"/>
  <c r="Q8" i="5" s="1"/>
  <c r="M7" i="5"/>
  <c r="M8" i="5" s="1"/>
  <c r="L7" i="5"/>
  <c r="L8" i="5" s="1"/>
  <c r="K7" i="5"/>
  <c r="K8" i="5" s="1"/>
  <c r="J7" i="5"/>
  <c r="J8" i="5" s="1"/>
  <c r="I7" i="5"/>
  <c r="I8" i="5" s="1"/>
  <c r="H7" i="5"/>
  <c r="H8" i="5" s="1"/>
  <c r="G7" i="5"/>
  <c r="G8" i="5" s="1"/>
  <c r="F7" i="5"/>
  <c r="F8" i="5" s="1"/>
  <c r="E7" i="5"/>
  <c r="E8" i="5" s="1"/>
  <c r="D7" i="5"/>
  <c r="D8" i="5" s="1"/>
  <c r="C7" i="5"/>
  <c r="C8" i="5" s="1"/>
  <c r="D6" i="5"/>
  <c r="E6" i="5" s="1"/>
  <c r="F6" i="5" s="1"/>
  <c r="G6" i="5" s="1"/>
  <c r="H6" i="5" s="1"/>
  <c r="I6" i="5" s="1"/>
  <c r="J6" i="5" s="1"/>
  <c r="K6" i="5" s="1"/>
  <c r="L6" i="5" s="1"/>
  <c r="M6" i="5" s="1"/>
  <c r="N6" i="5" s="1"/>
  <c r="O6" i="5" s="1"/>
  <c r="P6" i="5" s="1"/>
  <c r="Q6" i="5" s="1"/>
  <c r="R6" i="5" s="1"/>
  <c r="S6" i="5" s="1"/>
  <c r="T6" i="5" s="1"/>
  <c r="U6" i="5" s="1"/>
  <c r="V6" i="5" s="1"/>
  <c r="W6" i="5" s="1"/>
  <c r="X6" i="5" s="1"/>
  <c r="Y6" i="5" s="1"/>
  <c r="Z6" i="5" s="1"/>
  <c r="AA6" i="5" s="1"/>
  <c r="AB6" i="5" s="1"/>
  <c r="AC6" i="5" s="1"/>
  <c r="AD6" i="5" s="1"/>
  <c r="AE6" i="5" s="1"/>
  <c r="AF6" i="5" s="1"/>
  <c r="AH6" i="5" s="1"/>
  <c r="AI6" i="5" s="1"/>
  <c r="AJ6" i="5" s="1"/>
  <c r="AK6" i="5" s="1"/>
  <c r="AL6" i="5" s="1"/>
  <c r="AM6" i="5" s="1"/>
  <c r="AN6" i="5" s="1"/>
  <c r="AO6" i="5" s="1"/>
  <c r="AP6" i="5" s="1"/>
  <c r="AQ6" i="5" s="1"/>
  <c r="AR6" i="5" s="1"/>
  <c r="AS6" i="5" s="1"/>
  <c r="AT6" i="5" s="1"/>
  <c r="AU6" i="5" s="1"/>
  <c r="AV6" i="5" s="1"/>
  <c r="AW6" i="5" s="1"/>
  <c r="AX6" i="5" s="1"/>
  <c r="AY6" i="5" s="1"/>
  <c r="C109" i="3"/>
  <c r="C108" i="3"/>
  <c r="C107" i="3"/>
  <c r="C106" i="3"/>
  <c r="C105" i="3"/>
  <c r="C104" i="3"/>
  <c r="C103" i="3"/>
  <c r="C102" i="3"/>
  <c r="C101" i="3"/>
  <c r="C100" i="3"/>
  <c r="C99" i="3"/>
  <c r="C98" i="3"/>
  <c r="C97" i="3"/>
  <c r="C96" i="3"/>
  <c r="C95" i="3"/>
  <c r="C94" i="3"/>
  <c r="C93" i="3"/>
  <c r="C92" i="3"/>
  <c r="C91" i="3"/>
  <c r="C90" i="3"/>
  <c r="C89" i="3"/>
  <c r="C88" i="3"/>
  <c r="C87" i="3"/>
  <c r="C86" i="3"/>
  <c r="C85" i="3"/>
  <c r="C84" i="3"/>
  <c r="C83" i="3"/>
  <c r="C82" i="3"/>
  <c r="C81" i="3"/>
  <c r="C80" i="3"/>
  <c r="C79" i="3"/>
  <c r="C78" i="3"/>
  <c r="C77" i="3"/>
  <c r="C76" i="3"/>
  <c r="C75" i="3"/>
  <c r="C74" i="3"/>
  <c r="C73" i="3"/>
  <c r="C72" i="3"/>
  <c r="C71" i="3"/>
  <c r="C70" i="3"/>
  <c r="A6" i="3"/>
  <c r="A7" i="3" s="1"/>
  <c r="A8" i="3" s="1"/>
  <c r="A9" i="3" s="1"/>
  <c r="A10" i="3" s="1"/>
  <c r="A11" i="3" s="1"/>
  <c r="A12" i="3" s="1"/>
  <c r="A13" i="3" s="1"/>
  <c r="A14" i="3" s="1"/>
  <c r="A15" i="3" s="1"/>
  <c r="A16" i="3" s="1"/>
  <c r="A17" i="3" s="1"/>
  <c r="A118" i="2"/>
  <c r="B26" i="2"/>
  <c r="U26" i="9" l="1"/>
  <c r="U23" i="9"/>
  <c r="A18" i="3"/>
  <c r="A19" i="3" s="1"/>
  <c r="A20" i="3" s="1"/>
  <c r="A21" i="3" s="1"/>
  <c r="A22" i="3" s="1"/>
  <c r="A23" i="3" s="1"/>
  <c r="A24" i="3" s="1"/>
  <c r="A25" i="3" s="1"/>
  <c r="A26" i="3" s="1"/>
  <c r="U11" i="9"/>
  <c r="K9" i="9"/>
  <c r="S9" i="9" s="1"/>
  <c r="AI36" i="5"/>
  <c r="H16" i="5"/>
  <c r="AJ30" i="14"/>
  <c r="AI31" i="14"/>
  <c r="AC30" i="14"/>
  <c r="AD31" i="14"/>
  <c r="AK7" i="14"/>
  <c r="AJ8" i="14"/>
  <c r="AE8" i="14"/>
  <c r="AD7" i="14"/>
  <c r="AI25" i="14"/>
  <c r="AJ24" i="14"/>
  <c r="AD24" i="14"/>
  <c r="AE25" i="14"/>
  <c r="C42" i="14"/>
  <c r="G80" i="14" s="1"/>
  <c r="G81" i="14" s="1"/>
  <c r="G82" i="14" s="1"/>
  <c r="D40" i="14"/>
  <c r="G40" i="14" s="1"/>
  <c r="F42" i="14"/>
  <c r="F32" i="14"/>
  <c r="K18" i="9"/>
  <c r="S18" i="9" s="1"/>
  <c r="U40" i="9"/>
  <c r="K37" i="9"/>
  <c r="S37" i="9" s="1"/>
  <c r="K52" i="9"/>
  <c r="S52" i="9" s="1"/>
  <c r="K17" i="9"/>
  <c r="S17" i="9" s="1"/>
  <c r="K50" i="9"/>
  <c r="S50" i="9" s="1"/>
  <c r="U10" i="9"/>
  <c r="K12" i="9"/>
  <c r="S12" i="9" s="1"/>
  <c r="U9" i="9"/>
  <c r="K43" i="9"/>
  <c r="S43" i="9" s="1"/>
  <c r="K32" i="9"/>
  <c r="S32" i="9" s="1"/>
  <c r="K63" i="9"/>
  <c r="S63" i="9" s="1"/>
  <c r="K24" i="9"/>
  <c r="S24" i="9" s="1"/>
  <c r="U41" i="9"/>
  <c r="K45" i="9"/>
  <c r="S45" i="9" s="1"/>
  <c r="U54" i="9"/>
  <c r="K57" i="9"/>
  <c r="S57" i="9" s="1"/>
  <c r="K60" i="9"/>
  <c r="S60" i="9" s="1"/>
  <c r="U27" i="9"/>
  <c r="K36" i="9"/>
  <c r="S36" i="9" s="1"/>
  <c r="K42" i="9"/>
  <c r="S42" i="9" s="1"/>
  <c r="K55" i="9"/>
  <c r="S55" i="9" s="1"/>
  <c r="U22" i="9"/>
  <c r="K62" i="9"/>
  <c r="S62" i="9" s="1"/>
  <c r="K59" i="9"/>
  <c r="S59" i="9" s="1"/>
  <c r="AH28" i="5"/>
  <c r="AG30" i="5"/>
  <c r="B98" i="5"/>
  <c r="B48" i="15" s="1"/>
  <c r="A98" i="5"/>
  <c r="C48" i="15" s="1"/>
  <c r="B86" i="5"/>
  <c r="B36" i="15" s="1"/>
  <c r="B94" i="5"/>
  <c r="B44" i="15" s="1"/>
  <c r="A94" i="5"/>
  <c r="C44" i="15" s="1"/>
  <c r="B61" i="5"/>
  <c r="A61" i="5"/>
  <c r="B70" i="5"/>
  <c r="B22" i="15" s="1"/>
  <c r="A70" i="5"/>
  <c r="C22" i="15" s="1"/>
  <c r="A81" i="5"/>
  <c r="C32" i="15" s="1"/>
  <c r="A80" i="5"/>
  <c r="C31" i="15" s="1"/>
  <c r="B64" i="5"/>
  <c r="B16" i="15" s="1"/>
  <c r="A64" i="5"/>
  <c r="C16" i="15" s="1"/>
  <c r="B72" i="5"/>
  <c r="B24" i="15" s="1"/>
  <c r="A72" i="5"/>
  <c r="C24" i="15" s="1"/>
  <c r="B91" i="5"/>
  <c r="B41" i="15" s="1"/>
  <c r="A91" i="5"/>
  <c r="C41" i="15" s="1"/>
  <c r="B83" i="5"/>
  <c r="B33" i="15" s="1"/>
  <c r="A83" i="5"/>
  <c r="C33" i="15" s="1"/>
  <c r="B92" i="5"/>
  <c r="B42" i="15" s="1"/>
  <c r="A92" i="5"/>
  <c r="C42" i="15" s="1"/>
  <c r="B62" i="5"/>
  <c r="A62" i="5"/>
  <c r="A14" i="15" s="1"/>
  <c r="C14" i="15" s="1"/>
  <c r="B74" i="5"/>
  <c r="B26" i="15" s="1"/>
  <c r="A74" i="5"/>
  <c r="C26" i="15" s="1"/>
  <c r="B71" i="5"/>
  <c r="B23" i="15" s="1"/>
  <c r="A71" i="5"/>
  <c r="C23" i="15" s="1"/>
  <c r="B60" i="5"/>
  <c r="A60" i="5"/>
  <c r="A12" i="15" s="1"/>
  <c r="A76" i="5"/>
  <c r="C28" i="15" s="1"/>
  <c r="B78" i="5"/>
  <c r="B30" i="15" s="1"/>
  <c r="A78" i="5"/>
  <c r="C30" i="15" s="1"/>
  <c r="B69" i="5"/>
  <c r="B21" i="15" s="1"/>
  <c r="A69" i="5"/>
  <c r="C21" i="15" s="1"/>
  <c r="AJ39" i="5"/>
  <c r="Q69" i="5"/>
  <c r="AG31" i="5"/>
  <c r="AH31" i="5"/>
  <c r="Q78" i="5"/>
  <c r="AG56" i="5"/>
  <c r="AO56" i="5" s="1"/>
  <c r="B63" i="5"/>
  <c r="Q72" i="5"/>
  <c r="B85" i="5"/>
  <c r="B35" i="15" s="1"/>
  <c r="Q86" i="5"/>
  <c r="AG38" i="5"/>
  <c r="B65" i="5"/>
  <c r="B17" i="15" s="1"/>
  <c r="Q70" i="5"/>
  <c r="Q80" i="5"/>
  <c r="B88" i="5"/>
  <c r="B38" i="15" s="1"/>
  <c r="Q98" i="5"/>
  <c r="Q74" i="5"/>
  <c r="C39" i="15"/>
  <c r="B67" i="5"/>
  <c r="C39" i="5" s="1"/>
  <c r="Q71" i="5"/>
  <c r="B95" i="5"/>
  <c r="B45" i="15" s="1"/>
  <c r="B100" i="5"/>
  <c r="B50" i="15" s="1"/>
  <c r="AJ28" i="5"/>
  <c r="AI30" i="5"/>
  <c r="Q61" i="5"/>
  <c r="B90" i="5"/>
  <c r="B40" i="15" s="1"/>
  <c r="B101" i="5"/>
  <c r="B51" i="15" s="1"/>
  <c r="Q75" i="5"/>
  <c r="Q90" i="5"/>
  <c r="Q83" i="5"/>
  <c r="B103" i="5"/>
  <c r="B53" i="15" s="1"/>
  <c r="AF36" i="5"/>
  <c r="AA56" i="5"/>
  <c r="AI56" i="5" s="1"/>
  <c r="Q62" i="5"/>
  <c r="B104" i="5"/>
  <c r="B54" i="15" s="1"/>
  <c r="AQ55" i="5"/>
  <c r="AD56" i="5"/>
  <c r="AL56" i="5" s="1"/>
  <c r="Q63" i="5"/>
  <c r="B76" i="5"/>
  <c r="B28" i="15" s="1"/>
  <c r="Q87" i="5"/>
  <c r="Q91" i="5"/>
  <c r="AF56" i="5"/>
  <c r="AN56" i="5" s="1"/>
  <c r="Q81" i="5"/>
  <c r="Q99" i="5"/>
  <c r="AI38" i="5"/>
  <c r="I60" i="5"/>
  <c r="B32" i="15"/>
  <c r="AF28" i="5"/>
  <c r="Q76" i="5"/>
  <c r="B89" i="5"/>
  <c r="B39" i="15" s="1"/>
  <c r="Q92" i="5"/>
  <c r="Q100" i="5"/>
  <c r="Z56" i="5"/>
  <c r="AH56" i="5" s="1"/>
  <c r="AG28" i="5"/>
  <c r="AJ32" i="5"/>
  <c r="Q73" i="5"/>
  <c r="AH37" i="5"/>
  <c r="Q89" i="5"/>
  <c r="AI29" i="5"/>
  <c r="AJ55" i="5"/>
  <c r="B80" i="5"/>
  <c r="Q85" i="5"/>
  <c r="Q103" i="5"/>
  <c r="AT27" i="12"/>
  <c r="W42" i="12"/>
  <c r="AI42" i="12"/>
  <c r="AB45" i="12"/>
  <c r="AQ45" i="12"/>
  <c r="AG46" i="12"/>
  <c r="AW46" i="12"/>
  <c r="BB47" i="12"/>
  <c r="AD48" i="12"/>
  <c r="X42" i="12"/>
  <c r="AJ42" i="12"/>
  <c r="AF43" i="12" s="1"/>
  <c r="BA42" i="12"/>
  <c r="AR45" i="12"/>
  <c r="AA47" i="12"/>
  <c r="BC47" i="12"/>
  <c r="AE48" i="12"/>
  <c r="CM130" i="12"/>
  <c r="AF48" i="12"/>
  <c r="CO132" i="12"/>
  <c r="CJ138" i="12"/>
  <c r="CM100" i="12"/>
  <c r="CQ132" i="12"/>
  <c r="AO20" i="12"/>
  <c r="AA42" i="12"/>
  <c r="Y46" i="12"/>
  <c r="BB46" i="12"/>
  <c r="AS47" i="12"/>
  <c r="V48" i="12"/>
  <c r="AH48" i="12"/>
  <c r="AX48" i="12"/>
  <c r="CO138" i="12"/>
  <c r="AF24" i="12"/>
  <c r="AZ28" i="12"/>
  <c r="AQ42" i="12"/>
  <c r="V45" i="12"/>
  <c r="AG45" i="12"/>
  <c r="AW45" i="12"/>
  <c r="Z46" i="12"/>
  <c r="BC46" i="12"/>
  <c r="AE47" i="12"/>
  <c r="CM136" i="12"/>
  <c r="CQ138" i="12"/>
  <c r="AZ23" i="12"/>
  <c r="AY24" i="12" s="1"/>
  <c r="CJ131" i="12"/>
  <c r="AD42" i="12"/>
  <c r="AS42" i="12"/>
  <c r="W45" i="12"/>
  <c r="AI45" i="12"/>
  <c r="AQ46" i="12"/>
  <c r="AG47" i="12"/>
  <c r="AW47" i="12"/>
  <c r="Y48" i="12"/>
  <c r="AE42" i="12"/>
  <c r="BA45" i="12"/>
  <c r="AC46" i="12"/>
  <c r="V47" i="12"/>
  <c r="AH47" i="12"/>
  <c r="AS46" i="12"/>
  <c r="AY37" i="12"/>
  <c r="E71" i="7"/>
  <c r="G71" i="7"/>
  <c r="E121" i="7"/>
  <c r="H41" i="7"/>
  <c r="L122" i="7"/>
  <c r="M122" i="7" s="1"/>
  <c r="K135" i="7"/>
  <c r="L135" i="7" s="1"/>
  <c r="R42" i="7"/>
  <c r="H44" i="7"/>
  <c r="H47" i="7"/>
  <c r="S48" i="7"/>
  <c r="G127" i="7"/>
  <c r="W42" i="7"/>
  <c r="T48" i="7"/>
  <c r="U48" i="7"/>
  <c r="N119" i="7"/>
  <c r="N121" i="7"/>
  <c r="L125" i="7"/>
  <c r="M125" i="7" s="1"/>
  <c r="H40" i="7"/>
  <c r="W48" i="7"/>
  <c r="D126" i="7"/>
  <c r="E124" i="7"/>
  <c r="E126" i="7"/>
  <c r="R38" i="7"/>
  <c r="H42" i="7"/>
  <c r="D122" i="7"/>
  <c r="I137" i="7"/>
  <c r="N124" i="7"/>
  <c r="N126" i="7"/>
  <c r="H36" i="7"/>
  <c r="K137" i="7"/>
  <c r="L137" i="7" s="1"/>
  <c r="D39" i="14"/>
  <c r="G39" i="14" s="1"/>
  <c r="D38" i="14"/>
  <c r="G38" i="14" s="1"/>
  <c r="AH29" i="5"/>
  <c r="AF31" i="5"/>
  <c r="AJ35" i="5"/>
  <c r="AJ31" i="5"/>
  <c r="AF39" i="5"/>
  <c r="I135" i="7"/>
  <c r="F21" i="5"/>
  <c r="F22" i="5" s="1"/>
  <c r="F34" i="5" s="1"/>
  <c r="I133" i="7"/>
  <c r="AG29" i="5"/>
  <c r="AJ30" i="5"/>
  <c r="AF32" i="5"/>
  <c r="AJ29" i="5"/>
  <c r="AH32" i="5"/>
  <c r="AI32" i="5"/>
  <c r="AI37" i="5"/>
  <c r="U39" i="5" s="1"/>
  <c r="S39" i="5" s="1"/>
  <c r="AI28" i="5"/>
  <c r="AI31" i="5"/>
  <c r="AG36" i="5"/>
  <c r="AJ37" i="5"/>
  <c r="I57" i="14"/>
  <c r="D91" i="14" s="1"/>
  <c r="AF35" i="5"/>
  <c r="AH36" i="5"/>
  <c r="AG39" i="5"/>
  <c r="I142" i="7"/>
  <c r="J57" i="14"/>
  <c r="E98" i="14" s="1"/>
  <c r="AF37" i="5"/>
  <c r="AF30" i="5"/>
  <c r="AH35" i="5"/>
  <c r="AJ36" i="5"/>
  <c r="AF38" i="5"/>
  <c r="AI39" i="5"/>
  <c r="AH30" i="5"/>
  <c r="AG32" i="5"/>
  <c r="AH38" i="5"/>
  <c r="C42" i="5"/>
  <c r="O12" i="7"/>
  <c r="C47" i="15"/>
  <c r="C54" i="15"/>
  <c r="C40" i="15"/>
  <c r="B73" i="5"/>
  <c r="B25" i="15" s="1"/>
  <c r="C25" i="15"/>
  <c r="B102" i="5"/>
  <c r="B52" i="15" s="1"/>
  <c r="C52" i="15"/>
  <c r="K102" i="5"/>
  <c r="R46" i="7"/>
  <c r="W46" i="7"/>
  <c r="U46" i="7"/>
  <c r="T46" i="7"/>
  <c r="S46" i="7"/>
  <c r="K99" i="5"/>
  <c r="U39" i="7"/>
  <c r="T39" i="7"/>
  <c r="S39" i="7"/>
  <c r="R39" i="7"/>
  <c r="W39" i="7"/>
  <c r="E123" i="7"/>
  <c r="L123" i="7"/>
  <c r="M123" i="7" s="1"/>
  <c r="G123" i="7"/>
  <c r="D123" i="7"/>
  <c r="G124" i="7"/>
  <c r="N123" i="7"/>
  <c r="V135" i="7"/>
  <c r="R61" i="5" s="1"/>
  <c r="V140" i="7"/>
  <c r="R60" i="5" s="1"/>
  <c r="H15" i="5"/>
  <c r="AG37" i="5"/>
  <c r="B75" i="5"/>
  <c r="B27" i="15" s="1"/>
  <c r="C27" i="15"/>
  <c r="AC56" i="5"/>
  <c r="AK56" i="5" s="1"/>
  <c r="AM54" i="5"/>
  <c r="C17" i="15"/>
  <c r="R44" i="7"/>
  <c r="U44" i="7"/>
  <c r="T44" i="7"/>
  <c r="S44" i="7"/>
  <c r="W44" i="7"/>
  <c r="B84" i="5"/>
  <c r="B34" i="15" s="1"/>
  <c r="C34" i="15"/>
  <c r="K84" i="5"/>
  <c r="H61" i="5"/>
  <c r="K85" i="5"/>
  <c r="B87" i="5"/>
  <c r="B37" i="15" s="1"/>
  <c r="U47" i="7"/>
  <c r="T47" i="7"/>
  <c r="S47" i="7"/>
  <c r="W47" i="7"/>
  <c r="R47" i="7"/>
  <c r="V20" i="7" s="1"/>
  <c r="V21" i="7" s="1"/>
  <c r="K13" i="9"/>
  <c r="S13" i="9" s="1"/>
  <c r="U13" i="9"/>
  <c r="E30" i="5"/>
  <c r="A15" i="15"/>
  <c r="K101" i="5"/>
  <c r="V27" i="9"/>
  <c r="V23" i="9"/>
  <c r="V25" i="9"/>
  <c r="V26" i="9"/>
  <c r="V24" i="9"/>
  <c r="V32" i="9"/>
  <c r="U43" i="7"/>
  <c r="T43" i="7"/>
  <c r="S43" i="7"/>
  <c r="R43" i="7"/>
  <c r="H45" i="7"/>
  <c r="G128" i="7"/>
  <c r="E128" i="7"/>
  <c r="L128" i="7"/>
  <c r="M128" i="7" s="1"/>
  <c r="D128" i="7"/>
  <c r="I138" i="7"/>
  <c r="J138" i="7"/>
  <c r="K138" i="7" s="1"/>
  <c r="L138" i="7" s="1"/>
  <c r="AI35" i="5"/>
  <c r="C50" i="15"/>
  <c r="W36" i="7"/>
  <c r="S36" i="7"/>
  <c r="R36" i="7"/>
  <c r="U36" i="7"/>
  <c r="T36" i="7"/>
  <c r="K25" i="9"/>
  <c r="S25" i="9" s="1"/>
  <c r="U25" i="9"/>
  <c r="AF29" i="5"/>
  <c r="AK54" i="5"/>
  <c r="C36" i="15"/>
  <c r="B97" i="5"/>
  <c r="B47" i="15" s="1"/>
  <c r="N128" i="7"/>
  <c r="C53" i="15"/>
  <c r="K104" i="5"/>
  <c r="V36" i="7"/>
  <c r="AG35" i="5"/>
  <c r="AB56" i="5"/>
  <c r="AJ56" i="5" s="1"/>
  <c r="Q102" i="5"/>
  <c r="Q97" i="5"/>
  <c r="Q101" i="5"/>
  <c r="Q84" i="5"/>
  <c r="Q88" i="5"/>
  <c r="K98" i="5"/>
  <c r="Q104" i="5"/>
  <c r="G129" i="7"/>
  <c r="J136" i="7"/>
  <c r="K136" i="7" s="1"/>
  <c r="L136" i="7" s="1"/>
  <c r="I136" i="7"/>
  <c r="E144" i="7"/>
  <c r="B6" i="5"/>
  <c r="A13" i="15"/>
  <c r="T42" i="5"/>
  <c r="N63" i="5"/>
  <c r="O63" i="5" s="1"/>
  <c r="B99" i="5"/>
  <c r="B49" i="15" s="1"/>
  <c r="C49" i="15"/>
  <c r="G144" i="7"/>
  <c r="H134" i="7"/>
  <c r="K100" i="5"/>
  <c r="K83" i="5"/>
  <c r="AH39" i="5"/>
  <c r="B66" i="5"/>
  <c r="H70" i="5"/>
  <c r="I70" i="5" s="1"/>
  <c r="H97" i="5"/>
  <c r="T41" i="7"/>
  <c r="U41" i="7"/>
  <c r="S41" i="7"/>
  <c r="R41" i="7"/>
  <c r="K134" i="7"/>
  <c r="J140" i="7"/>
  <c r="K140" i="7" s="1"/>
  <c r="L140" i="7" s="1"/>
  <c r="I140" i="7"/>
  <c r="AJ38" i="5"/>
  <c r="AE56" i="5"/>
  <c r="AM56" i="5" s="1"/>
  <c r="H78" i="5"/>
  <c r="H98" i="5" s="1"/>
  <c r="T37" i="7"/>
  <c r="U37" i="7"/>
  <c r="S37" i="7"/>
  <c r="R37" i="7"/>
  <c r="W40" i="7"/>
  <c r="S40" i="7"/>
  <c r="R40" i="7"/>
  <c r="U40" i="7"/>
  <c r="T40" i="7"/>
  <c r="W21" i="7"/>
  <c r="X21" i="7" s="1"/>
  <c r="X20" i="7"/>
  <c r="E127" i="7"/>
  <c r="L127" i="7"/>
  <c r="M127" i="7" s="1"/>
  <c r="D129" i="7"/>
  <c r="P75" i="12"/>
  <c r="Q75" i="12" s="1"/>
  <c r="R75" i="12" s="1"/>
  <c r="S75" i="12" s="1"/>
  <c r="T75" i="12" s="1"/>
  <c r="U75" i="12" s="1"/>
  <c r="V75" i="12" s="1"/>
  <c r="W75" i="12" s="1"/>
  <c r="X75" i="12" s="1"/>
  <c r="Y75" i="12" s="1"/>
  <c r="Y73" i="12" s="1"/>
  <c r="L120" i="7"/>
  <c r="M120" i="7" s="1"/>
  <c r="M130" i="7" s="1"/>
  <c r="P130" i="7" s="1"/>
  <c r="E129" i="7"/>
  <c r="V136" i="7"/>
  <c r="S61" i="5" s="1"/>
  <c r="BB50" i="8"/>
  <c r="BA50" i="8"/>
  <c r="U47" i="9"/>
  <c r="K47" i="9"/>
  <c r="S47" i="9" s="1"/>
  <c r="T38" i="7"/>
  <c r="T42" i="7"/>
  <c r="U45" i="7"/>
  <c r="S45" i="7"/>
  <c r="V41" i="7"/>
  <c r="V37" i="7"/>
  <c r="V48" i="7"/>
  <c r="V44" i="7"/>
  <c r="V43" i="7"/>
  <c r="V39" i="7"/>
  <c r="V46" i="7"/>
  <c r="U38" i="7"/>
  <c r="U42" i="7"/>
  <c r="R45" i="7"/>
  <c r="V47" i="7"/>
  <c r="J119" i="7"/>
  <c r="N122" i="7"/>
  <c r="N130" i="7" s="1"/>
  <c r="L129" i="7"/>
  <c r="M129" i="7" s="1"/>
  <c r="J139" i="7"/>
  <c r="K139" i="7" s="1"/>
  <c r="L139" i="7" s="1"/>
  <c r="I141" i="7"/>
  <c r="U14" i="9"/>
  <c r="U19" i="9"/>
  <c r="U61" i="9"/>
  <c r="K61" i="9"/>
  <c r="S61" i="9" s="1"/>
  <c r="AQ84" i="10"/>
  <c r="AT84" i="10" s="1"/>
  <c r="E17" i="10" a="1"/>
  <c r="V38" i="7"/>
  <c r="V42" i="7"/>
  <c r="T45" i="7"/>
  <c r="G126" i="7"/>
  <c r="I134" i="7"/>
  <c r="K15" i="9"/>
  <c r="S15" i="9" s="1"/>
  <c r="U15" i="9"/>
  <c r="U38" i="9"/>
  <c r="K48" i="9"/>
  <c r="S48" i="9" s="1"/>
  <c r="U48" i="9"/>
  <c r="K33" i="9"/>
  <c r="S33" i="9" s="1"/>
  <c r="U33" i="9"/>
  <c r="K39" i="9"/>
  <c r="S39" i="9" s="1"/>
  <c r="U39" i="9"/>
  <c r="H48" i="7"/>
  <c r="D120" i="7"/>
  <c r="H136" i="7"/>
  <c r="U51" i="9"/>
  <c r="K51" i="9"/>
  <c r="S51" i="9" s="1"/>
  <c r="E125" i="7"/>
  <c r="D125" i="7"/>
  <c r="U49" i="9"/>
  <c r="K49" i="9"/>
  <c r="S49" i="9" s="1"/>
  <c r="G125" i="7"/>
  <c r="U46" i="9"/>
  <c r="K46" i="9"/>
  <c r="S46" i="9" s="1"/>
  <c r="AL91" i="10"/>
  <c r="AR89" i="10"/>
  <c r="AU89" i="10" s="1"/>
  <c r="M7" i="10" a="1"/>
  <c r="K16" i="9"/>
  <c r="S16" i="9" s="1"/>
  <c r="K34" i="9"/>
  <c r="S34" i="9" s="1"/>
  <c r="M17" i="10" a="1"/>
  <c r="N120" i="10"/>
  <c r="M120" i="10"/>
  <c r="N119" i="10"/>
  <c r="M119" i="10"/>
  <c r="N118" i="10"/>
  <c r="M118" i="10"/>
  <c r="AL79" i="10"/>
  <c r="E12" i="10" a="1"/>
  <c r="E7" i="10" a="1"/>
  <c r="I12" i="10" a="1"/>
  <c r="I7" i="10" a="1"/>
  <c r="M12" i="10" a="1"/>
  <c r="AR77" i="10"/>
  <c r="AU77" i="10" s="1"/>
  <c r="I17" i="10" a="1"/>
  <c r="K56" i="9"/>
  <c r="S56" i="9" s="1"/>
  <c r="AL98" i="10"/>
  <c r="AL110" i="10"/>
  <c r="AY35" i="12"/>
  <c r="AY26" i="12"/>
  <c r="V24" i="12"/>
  <c r="AF25" i="12" s="1"/>
  <c r="CM96" i="12"/>
  <c r="CK102" i="12" s="1"/>
  <c r="CK101" i="12"/>
  <c r="AL81" i="10"/>
  <c r="AL93" i="10"/>
  <c r="AL105" i="10"/>
  <c r="AO36" i="12"/>
  <c r="AO46" i="12" s="1"/>
  <c r="AP27" i="12"/>
  <c r="AO27" i="12"/>
  <c r="AP21" i="12"/>
  <c r="I24" i="12"/>
  <c r="AL76" i="10"/>
  <c r="AL88" i="10"/>
  <c r="AL100" i="10"/>
  <c r="Z47" i="12"/>
  <c r="Q7" i="10" a="1"/>
  <c r="Q17" i="10"/>
  <c r="Z15" i="10" s="1"/>
  <c r="AL83" i="10"/>
  <c r="AL95" i="10"/>
  <c r="AY27" i="12"/>
  <c r="AZ21" i="12"/>
  <c r="AY36" i="12"/>
  <c r="AZ27" i="12"/>
  <c r="AY20" i="12"/>
  <c r="AY21" i="12"/>
  <c r="V46" i="12"/>
  <c r="AH46" i="12"/>
  <c r="AX46" i="12"/>
  <c r="G73" i="12"/>
  <c r="H77" i="12"/>
  <c r="I77" i="12" s="1"/>
  <c r="J77" i="12" s="1"/>
  <c r="K77" i="12" s="1"/>
  <c r="L77" i="12" s="1"/>
  <c r="M77" i="12" s="1"/>
  <c r="N77" i="12" s="1"/>
  <c r="R17" i="10"/>
  <c r="Z16" i="10" s="1"/>
  <c r="AL78" i="10"/>
  <c r="AL90" i="10"/>
  <c r="AL102" i="10"/>
  <c r="W46" i="12"/>
  <c r="X46" i="12"/>
  <c r="AI46" i="12"/>
  <c r="AJ46" i="12"/>
  <c r="AU48" i="12"/>
  <c r="Q18" i="10"/>
  <c r="AO37" i="12"/>
  <c r="AO47" i="12" s="1"/>
  <c r="AO28" i="12"/>
  <c r="N24" i="12"/>
  <c r="AA24" i="12"/>
  <c r="AA25" i="12" s="1"/>
  <c r="AZ26" i="12"/>
  <c r="R18" i="10"/>
  <c r="AJ18" i="10"/>
  <c r="AU28" i="12"/>
  <c r="AT28" i="12"/>
  <c r="AT37" i="12"/>
  <c r="AT47" i="12" s="1"/>
  <c r="AA43" i="12"/>
  <c r="AF45" i="12"/>
  <c r="AV45" i="12"/>
  <c r="J73" i="12"/>
  <c r="Q12" i="10" a="1"/>
  <c r="Q19" i="10"/>
  <c r="AO43" i="12"/>
  <c r="D24" i="12"/>
  <c r="AH45" i="12"/>
  <c r="AT33" i="12"/>
  <c r="AT42" i="12" s="1"/>
  <c r="AT23" i="12"/>
  <c r="AP29" i="12"/>
  <c r="AO29" i="12"/>
  <c r="AU23" i="12"/>
  <c r="AA46" i="12"/>
  <c r="AZ48" i="12"/>
  <c r="AP26" i="12"/>
  <c r="AO35" i="12"/>
  <c r="AO45" i="12" s="1"/>
  <c r="AZ29" i="12"/>
  <c r="AZ20" i="12"/>
  <c r="AO26" i="12"/>
  <c r="AX47" i="12"/>
  <c r="Z48" i="12"/>
  <c r="CM101" i="12"/>
  <c r="Q17" i="5" s="1"/>
  <c r="CR96" i="12"/>
  <c r="CM102" i="12" s="1"/>
  <c r="Q18" i="5" s="1"/>
  <c r="AT35" i="12"/>
  <c r="AT45" i="12" s="1"/>
  <c r="AU26" i="12"/>
  <c r="AT26" i="12"/>
  <c r="AU20" i="12"/>
  <c r="AT21" i="12"/>
  <c r="AP28" i="12"/>
  <c r="AY29" i="12"/>
  <c r="W47" i="12"/>
  <c r="X47" i="12"/>
  <c r="AI47" i="12"/>
  <c r="AJ47" i="12"/>
  <c r="AY47" i="12"/>
  <c r="AZ47" i="12"/>
  <c r="AB48" i="12"/>
  <c r="AA48" i="12"/>
  <c r="AO38" i="12"/>
  <c r="AO48" i="12" s="1"/>
  <c r="BB48" i="12"/>
  <c r="BN61" i="12"/>
  <c r="O73" i="12"/>
  <c r="AO23" i="12"/>
  <c r="AO24" i="12" s="1"/>
  <c r="AY33" i="12"/>
  <c r="AY42" i="12" s="1"/>
  <c r="AT29" i="12"/>
  <c r="CJ124" i="12"/>
  <c r="CK137" i="12"/>
  <c r="CO137" i="12" s="1"/>
  <c r="AU29" i="12"/>
  <c r="CJ118" i="12"/>
  <c r="AT36" i="12"/>
  <c r="AT46" i="12" s="1"/>
  <c r="F11" i="14"/>
  <c r="D41" i="14"/>
  <c r="H76" i="14"/>
  <c r="CJ120" i="12"/>
  <c r="AU21" i="12"/>
  <c r="AF84" i="12"/>
  <c r="AG84" i="12" s="1"/>
  <c r="AH84" i="12" s="1"/>
  <c r="AI84" i="12" s="1"/>
  <c r="AJ84" i="12" s="1"/>
  <c r="AK84" i="12" s="1"/>
  <c r="AL84" i="12" s="1"/>
  <c r="AM84" i="12" s="1"/>
  <c r="AN84" i="12" s="1"/>
  <c r="AX84" i="12" s="1"/>
  <c r="AY84" i="12" s="1"/>
  <c r="AZ84" i="12" s="1"/>
  <c r="BA84" i="12" s="1"/>
  <c r="BB84" i="12" s="1"/>
  <c r="A30" i="3" l="1"/>
  <c r="A31" i="3" s="1"/>
  <c r="A32" i="3" s="1"/>
  <c r="A33" i="3" s="1"/>
  <c r="A34" i="3" s="1"/>
  <c r="A35" i="3" s="1"/>
  <c r="A36" i="3" s="1"/>
  <c r="A37" i="3" s="1"/>
  <c r="A38" i="3" s="1"/>
  <c r="A39" i="3" s="1"/>
  <c r="A40" i="3" s="1"/>
  <c r="A41" i="3" s="1"/>
  <c r="A42" i="3" s="1"/>
  <c r="A43" i="3" s="1"/>
  <c r="A44" i="3" s="1"/>
  <c r="A45" i="3" s="1"/>
  <c r="A46" i="3" s="1"/>
  <c r="A47" i="3" s="1"/>
  <c r="I16" i="5"/>
  <c r="F100" i="5"/>
  <c r="F28" i="5"/>
  <c r="F103" i="5" s="1"/>
  <c r="AJ31" i="14"/>
  <c r="AK30" i="14"/>
  <c r="AB30" i="14"/>
  <c r="AC31" i="14"/>
  <c r="AC24" i="14"/>
  <c r="AD25" i="14"/>
  <c r="AJ25" i="14"/>
  <c r="AK24" i="14"/>
  <c r="AD8" i="14"/>
  <c r="AC7" i="14"/>
  <c r="H32" i="14"/>
  <c r="AL7" i="14"/>
  <c r="AL8" i="14" s="1"/>
  <c r="AK8" i="14"/>
  <c r="D42" i="14"/>
  <c r="H80" i="14" s="1"/>
  <c r="I80" i="14" s="1"/>
  <c r="D92" i="14"/>
  <c r="B14" i="15"/>
  <c r="C45" i="15"/>
  <c r="B19" i="15"/>
  <c r="C37" i="5"/>
  <c r="B31" i="15"/>
  <c r="C41" i="5"/>
  <c r="C40" i="5"/>
  <c r="C38" i="5"/>
  <c r="B18" i="15"/>
  <c r="C15" i="15"/>
  <c r="B15" i="15"/>
  <c r="C12" i="15"/>
  <c r="B12" i="15"/>
  <c r="U41" i="5"/>
  <c r="U37" i="5" s="1"/>
  <c r="C13" i="15"/>
  <c r="B13" i="15"/>
  <c r="R42" i="5"/>
  <c r="I78" i="5"/>
  <c r="I98" i="5" s="1"/>
  <c r="I97" i="5"/>
  <c r="I71" i="5"/>
  <c r="E97" i="14"/>
  <c r="AU42" i="12"/>
  <c r="CQ137" i="12"/>
  <c r="AT24" i="12"/>
  <c r="AT25" i="12" s="1"/>
  <c r="AT43" i="12"/>
  <c r="AA44" i="12"/>
  <c r="N25" i="12"/>
  <c r="CM137" i="12"/>
  <c r="AP48" i="12"/>
  <c r="AU46" i="12"/>
  <c r="AY25" i="12"/>
  <c r="T73" i="12"/>
  <c r="AP47" i="12"/>
  <c r="V43" i="12"/>
  <c r="AF44" i="12" s="1"/>
  <c r="AP46" i="12"/>
  <c r="H144" i="7"/>
  <c r="F63" i="5"/>
  <c r="T39" i="5"/>
  <c r="R39" i="5"/>
  <c r="E39" i="5"/>
  <c r="I144" i="7"/>
  <c r="F85" i="5"/>
  <c r="P134" i="7"/>
  <c r="Q134" i="7" s="1"/>
  <c r="Q130" i="7"/>
  <c r="AY46" i="12"/>
  <c r="AZ46" i="12"/>
  <c r="AZ42" i="12"/>
  <c r="AY43" i="12" s="1"/>
  <c r="AY44" i="12" s="1"/>
  <c r="I25" i="12"/>
  <c r="J19" i="10"/>
  <c r="I19" i="10"/>
  <c r="J18" i="10"/>
  <c r="I18" i="10"/>
  <c r="I17" i="10"/>
  <c r="J17" i="10"/>
  <c r="X16" i="10" s="1"/>
  <c r="I61" i="5"/>
  <c r="N7" i="10"/>
  <c r="Y8" i="10" s="1"/>
  <c r="M9" i="10"/>
  <c r="N8" i="10"/>
  <c r="N9" i="10"/>
  <c r="M8" i="10"/>
  <c r="M7" i="10"/>
  <c r="Y7" i="10" s="1"/>
  <c r="M18" i="10"/>
  <c r="M17" i="10"/>
  <c r="N19" i="10"/>
  <c r="M19" i="10"/>
  <c r="N17" i="10"/>
  <c r="Y16" i="10" s="1"/>
  <c r="N18" i="10"/>
  <c r="H28" i="14"/>
  <c r="H27" i="14"/>
  <c r="H25" i="14"/>
  <c r="H30" i="14"/>
  <c r="H26" i="14"/>
  <c r="H31" i="14"/>
  <c r="H29" i="14"/>
  <c r="BO61" i="12"/>
  <c r="Q13" i="10"/>
  <c r="Q12" i="10"/>
  <c r="R14" i="10"/>
  <c r="Q14" i="10"/>
  <c r="R13" i="10"/>
  <c r="R12" i="10"/>
  <c r="I14" i="10"/>
  <c r="I13" i="10"/>
  <c r="J12" i="10"/>
  <c r="I12" i="10"/>
  <c r="J14" i="10"/>
  <c r="J13" i="10"/>
  <c r="AU47" i="12"/>
  <c r="AU45" i="12"/>
  <c r="N14" i="10"/>
  <c r="M14" i="10"/>
  <c r="N13" i="10"/>
  <c r="M13" i="10"/>
  <c r="M12" i="10"/>
  <c r="N12" i="10"/>
  <c r="P77" i="12"/>
  <c r="Q77" i="12" s="1"/>
  <c r="R77" i="12" s="1"/>
  <c r="S77" i="12" s="1"/>
  <c r="T77" i="12" s="1"/>
  <c r="U77" i="12" s="1"/>
  <c r="V77" i="12" s="1"/>
  <c r="W77" i="12" s="1"/>
  <c r="X77" i="12" s="1"/>
  <c r="Z75" i="12"/>
  <c r="AA75" i="12" s="1"/>
  <c r="AB75" i="12" s="1"/>
  <c r="AC75" i="12" s="1"/>
  <c r="AD75" i="12" s="1"/>
  <c r="I15" i="5"/>
  <c r="H21" i="5"/>
  <c r="Q9" i="10"/>
  <c r="R8" i="10"/>
  <c r="Q8" i="10"/>
  <c r="R7" i="10"/>
  <c r="Z8" i="10" s="1"/>
  <c r="Q7" i="10"/>
  <c r="Z7" i="10" s="1"/>
  <c r="R9" i="10"/>
  <c r="AY45" i="12"/>
  <c r="AZ45" i="12"/>
  <c r="J9" i="10"/>
  <c r="I9" i="10"/>
  <c r="J8" i="10"/>
  <c r="I8" i="10"/>
  <c r="J7" i="10"/>
  <c r="X8" i="10" s="1"/>
  <c r="I7" i="10"/>
  <c r="G21" i="5"/>
  <c r="F8" i="10"/>
  <c r="F7" i="10"/>
  <c r="W8" i="10" s="1"/>
  <c r="E7" i="10"/>
  <c r="F9" i="10"/>
  <c r="E9" i="10"/>
  <c r="E8" i="10"/>
  <c r="BB51" i="8"/>
  <c r="BA51" i="8"/>
  <c r="J144" i="7"/>
  <c r="G41" i="14"/>
  <c r="G42" i="14" s="1"/>
  <c r="L134" i="7"/>
  <c r="K144" i="7"/>
  <c r="S42" i="5"/>
  <c r="H86" i="14"/>
  <c r="F14" i="10"/>
  <c r="E14" i="10"/>
  <c r="E13" i="10"/>
  <c r="F12" i="10"/>
  <c r="F13" i="10"/>
  <c r="E12" i="10"/>
  <c r="E19" i="10"/>
  <c r="E18" i="10"/>
  <c r="F17" i="10"/>
  <c r="W16" i="10" s="1"/>
  <c r="E17" i="10"/>
  <c r="F19" i="10"/>
  <c r="F18" i="10"/>
  <c r="H77" i="14"/>
  <c r="I77" i="14" s="1"/>
  <c r="I76" i="14"/>
  <c r="AT44" i="12"/>
  <c r="AP45" i="12"/>
  <c r="T37" i="5"/>
  <c r="S37" i="5"/>
  <c r="R37" i="5"/>
  <c r="I21" i="5" l="1"/>
  <c r="I25" i="5" s="1"/>
  <c r="E37" i="5"/>
  <c r="G37" i="5" s="1"/>
  <c r="G65" i="5" s="1"/>
  <c r="F88" i="5"/>
  <c r="AL30" i="14"/>
  <c r="AL31" i="14" s="1"/>
  <c r="AK31" i="14"/>
  <c r="AC8" i="14"/>
  <c r="AB7" i="14"/>
  <c r="AK25" i="14"/>
  <c r="AL24" i="14"/>
  <c r="AL25" i="14" s="1"/>
  <c r="AB24" i="14"/>
  <c r="AC25" i="14"/>
  <c r="AB31" i="14"/>
  <c r="AA30" i="14"/>
  <c r="H81" i="14"/>
  <c r="H82" i="14" s="1"/>
  <c r="I82" i="14" s="1"/>
  <c r="F39" i="5"/>
  <c r="G39" i="5" s="1"/>
  <c r="U42" i="5"/>
  <c r="E42" i="5" s="1"/>
  <c r="U38" i="5"/>
  <c r="U40" i="5"/>
  <c r="E41" i="5"/>
  <c r="BB52" i="8"/>
  <c r="BA52" i="8"/>
  <c r="P101" i="10"/>
  <c r="P89" i="10"/>
  <c r="P77" i="10"/>
  <c r="P106" i="10"/>
  <c r="P94" i="10"/>
  <c r="P82" i="10"/>
  <c r="P64" i="10"/>
  <c r="P52" i="10"/>
  <c r="P40" i="10"/>
  <c r="P28" i="10"/>
  <c r="P99" i="10"/>
  <c r="P104" i="10"/>
  <c r="P92" i="10"/>
  <c r="P80" i="10"/>
  <c r="P73" i="10"/>
  <c r="P66" i="10"/>
  <c r="P54" i="10"/>
  <c r="P42" i="10"/>
  <c r="P30" i="10"/>
  <c r="P109" i="10"/>
  <c r="P97" i="10"/>
  <c r="P85" i="10"/>
  <c r="P61" i="10"/>
  <c r="P49" i="10"/>
  <c r="P37" i="10"/>
  <c r="P102" i="10"/>
  <c r="P90" i="10"/>
  <c r="P78" i="10"/>
  <c r="P68" i="10"/>
  <c r="P56" i="10"/>
  <c r="P44" i="10"/>
  <c r="P32" i="10"/>
  <c r="P107" i="10"/>
  <c r="P95" i="10"/>
  <c r="P83" i="10"/>
  <c r="P63" i="10"/>
  <c r="P51" i="10"/>
  <c r="P39" i="10"/>
  <c r="P27" i="10"/>
  <c r="P100" i="10"/>
  <c r="P88" i="10"/>
  <c r="P76" i="10"/>
  <c r="P74" i="10"/>
  <c r="P70" i="10"/>
  <c r="P58" i="10"/>
  <c r="P46" i="10"/>
  <c r="P34" i="10"/>
  <c r="P105" i="10"/>
  <c r="P93" i="10"/>
  <c r="P81" i="10"/>
  <c r="P72" i="10"/>
  <c r="P65" i="10"/>
  <c r="P53" i="10"/>
  <c r="P41" i="10"/>
  <c r="P29" i="10"/>
  <c r="P110" i="10"/>
  <c r="P98" i="10"/>
  <c r="P86" i="10"/>
  <c r="P60" i="10"/>
  <c r="P48" i="10"/>
  <c r="P36" i="10"/>
  <c r="P103" i="10"/>
  <c r="P91" i="10"/>
  <c r="P79" i="10"/>
  <c r="P67" i="10"/>
  <c r="P55" i="10"/>
  <c r="P43" i="10"/>
  <c r="P31" i="10"/>
  <c r="P108" i="10"/>
  <c r="P96" i="10"/>
  <c r="P84" i="10"/>
  <c r="P62" i="10"/>
  <c r="P50" i="10"/>
  <c r="P38" i="10"/>
  <c r="X7" i="10"/>
  <c r="P87" i="10"/>
  <c r="P45" i="10"/>
  <c r="P59" i="10"/>
  <c r="P69" i="10"/>
  <c r="P75" i="10"/>
  <c r="P57" i="10"/>
  <c r="P71" i="10"/>
  <c r="P35" i="10"/>
  <c r="P33" i="10"/>
  <c r="P47" i="10"/>
  <c r="I32" i="14"/>
  <c r="AD109" i="10"/>
  <c r="AD97" i="10"/>
  <c r="AD85" i="10"/>
  <c r="AD107" i="10"/>
  <c r="AD95" i="10"/>
  <c r="AD100" i="10"/>
  <c r="AD88" i="10"/>
  <c r="AD76" i="10"/>
  <c r="AD110" i="10"/>
  <c r="AD98" i="10"/>
  <c r="AD86" i="10"/>
  <c r="AD83" i="10"/>
  <c r="AD92" i="10"/>
  <c r="AD93" i="10"/>
  <c r="AD99" i="10"/>
  <c r="AD108" i="10"/>
  <c r="AD103" i="10"/>
  <c r="AD78" i="10"/>
  <c r="AD89" i="10"/>
  <c r="AD82" i="10"/>
  <c r="AD94" i="10"/>
  <c r="AD104" i="10"/>
  <c r="AD105" i="10"/>
  <c r="AD79" i="10"/>
  <c r="AD75" i="10"/>
  <c r="AD101" i="10"/>
  <c r="AD84" i="10"/>
  <c r="AD80" i="10"/>
  <c r="AD87" i="10"/>
  <c r="AD106" i="10"/>
  <c r="AD91" i="10"/>
  <c r="AD90" i="10"/>
  <c r="AD77" i="10"/>
  <c r="AD96" i="10"/>
  <c r="AD102" i="10"/>
  <c r="AD81" i="10"/>
  <c r="E96" i="14"/>
  <c r="E101" i="14" s="1"/>
  <c r="H87" i="14"/>
  <c r="H88" i="14"/>
  <c r="C96" i="14" s="1"/>
  <c r="G22" i="5"/>
  <c r="G25" i="5"/>
  <c r="G27" i="5"/>
  <c r="G24" i="5"/>
  <c r="H22" i="5"/>
  <c r="H27" i="5"/>
  <c r="H24" i="5"/>
  <c r="H30" i="5" s="1"/>
  <c r="H25" i="5"/>
  <c r="BP61" i="12"/>
  <c r="O108" i="10"/>
  <c r="O96" i="10"/>
  <c r="O84" i="10"/>
  <c r="O101" i="10"/>
  <c r="O89" i="10"/>
  <c r="O77" i="10"/>
  <c r="O69" i="10"/>
  <c r="O57" i="10"/>
  <c r="O45" i="10"/>
  <c r="O33" i="10"/>
  <c r="O106" i="10"/>
  <c r="O94" i="10"/>
  <c r="O99" i="10"/>
  <c r="O87" i="10"/>
  <c r="O75" i="10"/>
  <c r="O71" i="10"/>
  <c r="O59" i="10"/>
  <c r="O47" i="10"/>
  <c r="O35" i="10"/>
  <c r="O104" i="10"/>
  <c r="O92" i="10"/>
  <c r="O80" i="10"/>
  <c r="O73" i="10"/>
  <c r="O66" i="10"/>
  <c r="O54" i="10"/>
  <c r="O42" i="10"/>
  <c r="O30" i="10"/>
  <c r="O109" i="10"/>
  <c r="O97" i="10"/>
  <c r="O85" i="10"/>
  <c r="O61" i="10"/>
  <c r="O49" i="10"/>
  <c r="O37" i="10"/>
  <c r="O102" i="10"/>
  <c r="O90" i="10"/>
  <c r="O78" i="10"/>
  <c r="O68" i="10"/>
  <c r="O56" i="10"/>
  <c r="O44" i="10"/>
  <c r="O32" i="10"/>
  <c r="O107" i="10"/>
  <c r="O95" i="10"/>
  <c r="O83" i="10"/>
  <c r="O63" i="10"/>
  <c r="O51" i="10"/>
  <c r="O39" i="10"/>
  <c r="O27" i="10"/>
  <c r="O100" i="10"/>
  <c r="O88" i="10"/>
  <c r="O76" i="10"/>
  <c r="O74" i="10"/>
  <c r="O70" i="10"/>
  <c r="O58" i="10"/>
  <c r="O46" i="10"/>
  <c r="O34" i="10"/>
  <c r="O105" i="10"/>
  <c r="O93" i="10"/>
  <c r="O81" i="10"/>
  <c r="O72" i="10"/>
  <c r="O65" i="10"/>
  <c r="O53" i="10"/>
  <c r="O41" i="10"/>
  <c r="O29" i="10"/>
  <c r="O110" i="10"/>
  <c r="O98" i="10"/>
  <c r="O86" i="10"/>
  <c r="O60" i="10"/>
  <c r="O48" i="10"/>
  <c r="O36" i="10"/>
  <c r="O103" i="10"/>
  <c r="O91" i="10"/>
  <c r="O79" i="10"/>
  <c r="O67" i="10"/>
  <c r="O55" i="10"/>
  <c r="O43" i="10"/>
  <c r="O31" i="10"/>
  <c r="O52" i="10"/>
  <c r="O82" i="10"/>
  <c r="O62" i="10"/>
  <c r="W7" i="10"/>
  <c r="H26" i="5" s="1"/>
  <c r="H32" i="5" s="1"/>
  <c r="O50" i="10"/>
  <c r="O64" i="10"/>
  <c r="O28" i="10"/>
  <c r="O40" i="10"/>
  <c r="O38" i="10"/>
  <c r="F27" i="5"/>
  <c r="Z9" i="10"/>
  <c r="AF107" i="10"/>
  <c r="AF95" i="10"/>
  <c r="AF83" i="10"/>
  <c r="AF105" i="10"/>
  <c r="AF93" i="10"/>
  <c r="AF110" i="10"/>
  <c r="AF98" i="10"/>
  <c r="AF86" i="10"/>
  <c r="AF81" i="10"/>
  <c r="AF104" i="10"/>
  <c r="AF92" i="10"/>
  <c r="AF94" i="10"/>
  <c r="AF97" i="10"/>
  <c r="AF106" i="10"/>
  <c r="AF87" i="10"/>
  <c r="AF89" i="10"/>
  <c r="AF79" i="10"/>
  <c r="AF102" i="10"/>
  <c r="AF103" i="10"/>
  <c r="AF101" i="10"/>
  <c r="AF109" i="10"/>
  <c r="AF76" i="10"/>
  <c r="AF77" i="10"/>
  <c r="AF99" i="10"/>
  <c r="AF84" i="10"/>
  <c r="AF82" i="10"/>
  <c r="AF96" i="10"/>
  <c r="AF91" i="10"/>
  <c r="AF78" i="10"/>
  <c r="AF85" i="10"/>
  <c r="AF80" i="10"/>
  <c r="AF88" i="10"/>
  <c r="AF75" i="10"/>
  <c r="AF108" i="10"/>
  <c r="AF100" i="10"/>
  <c r="AF90" i="10"/>
  <c r="AJ110" i="10"/>
  <c r="AJ98" i="10"/>
  <c r="AJ86" i="10"/>
  <c r="AJ103" i="10"/>
  <c r="AJ91" i="10"/>
  <c r="AJ79" i="10"/>
  <c r="AJ108" i="10"/>
  <c r="AJ96" i="10"/>
  <c r="AJ101" i="10"/>
  <c r="AJ89" i="10"/>
  <c r="AJ77" i="10"/>
  <c r="Y15" i="10"/>
  <c r="AJ106" i="10"/>
  <c r="AJ94" i="10"/>
  <c r="AJ82" i="10"/>
  <c r="AJ99" i="10"/>
  <c r="AJ87" i="10"/>
  <c r="AJ75" i="10"/>
  <c r="AJ104" i="10"/>
  <c r="AJ92" i="10"/>
  <c r="AJ80" i="10"/>
  <c r="AJ109" i="10"/>
  <c r="AJ97" i="10"/>
  <c r="AJ85" i="10"/>
  <c r="AJ102" i="10"/>
  <c r="AJ90" i="10"/>
  <c r="AJ78" i="10"/>
  <c r="AJ107" i="10"/>
  <c r="AJ95" i="10"/>
  <c r="AJ83" i="10"/>
  <c r="AJ100" i="10"/>
  <c r="AJ88" i="10"/>
  <c r="AJ76" i="10"/>
  <c r="AJ105" i="10"/>
  <c r="AJ93" i="10"/>
  <c r="AJ81" i="10"/>
  <c r="AJ84" i="10"/>
  <c r="AI105" i="10"/>
  <c r="AI93" i="10"/>
  <c r="AI81" i="10"/>
  <c r="AI110" i="10"/>
  <c r="AI103" i="10"/>
  <c r="AI108" i="10"/>
  <c r="AI96" i="10"/>
  <c r="AI84" i="10"/>
  <c r="X15" i="10"/>
  <c r="AI109" i="10"/>
  <c r="AI91" i="10"/>
  <c r="AI79" i="10"/>
  <c r="AI78" i="10"/>
  <c r="AI104" i="10"/>
  <c r="AI82" i="10"/>
  <c r="AI76" i="10"/>
  <c r="AI107" i="10"/>
  <c r="AI95" i="10"/>
  <c r="AI83" i="10"/>
  <c r="AI97" i="10"/>
  <c r="AI90" i="10"/>
  <c r="AI101" i="10"/>
  <c r="AI99" i="10"/>
  <c r="AI89" i="10"/>
  <c r="AI100" i="10"/>
  <c r="AI94" i="10"/>
  <c r="AI98" i="10"/>
  <c r="AI75" i="10"/>
  <c r="AI80" i="10"/>
  <c r="AI88" i="10"/>
  <c r="AI106" i="10"/>
  <c r="AI86" i="10"/>
  <c r="AI85" i="10"/>
  <c r="AI77" i="10"/>
  <c r="AI87" i="10"/>
  <c r="AI102" i="10"/>
  <c r="AI92" i="10"/>
  <c r="AE75" i="12"/>
  <c r="AF75" i="12" s="1"/>
  <c r="AG75" i="12" s="1"/>
  <c r="AH75" i="12" s="1"/>
  <c r="AI75" i="12" s="1"/>
  <c r="AD73" i="12"/>
  <c r="AE102" i="10"/>
  <c r="AE90" i="10"/>
  <c r="AE78" i="10"/>
  <c r="AE107" i="10"/>
  <c r="AE100" i="10"/>
  <c r="AE86" i="10"/>
  <c r="AE88" i="10"/>
  <c r="AE76" i="10"/>
  <c r="AE96" i="10"/>
  <c r="AE97" i="10"/>
  <c r="AE75" i="10"/>
  <c r="AE83" i="10"/>
  <c r="AE104" i="10"/>
  <c r="AE108" i="10"/>
  <c r="AE105" i="10"/>
  <c r="AE93" i="10"/>
  <c r="AE95" i="10"/>
  <c r="AE79" i="10"/>
  <c r="AE94" i="10"/>
  <c r="AE98" i="10"/>
  <c r="AE87" i="10"/>
  <c r="AE81" i="10"/>
  <c r="AE110" i="10"/>
  <c r="AE109" i="10"/>
  <c r="AE77" i="10"/>
  <c r="AE80" i="10"/>
  <c r="AE99" i="10"/>
  <c r="AE106" i="10"/>
  <c r="AE89" i="10"/>
  <c r="AE103" i="10"/>
  <c r="AE91" i="10"/>
  <c r="AE85" i="10"/>
  <c r="AE92" i="10"/>
  <c r="AE82" i="10"/>
  <c r="AE101" i="10"/>
  <c r="AE84" i="10"/>
  <c r="AH100" i="10"/>
  <c r="AH88" i="10"/>
  <c r="AH76" i="10"/>
  <c r="AH110" i="10"/>
  <c r="AH98" i="10"/>
  <c r="AH103" i="10"/>
  <c r="AH91" i="10"/>
  <c r="AH79" i="10"/>
  <c r="W15" i="10"/>
  <c r="AH86" i="10"/>
  <c r="AH84" i="10"/>
  <c r="AH97" i="10"/>
  <c r="AH104" i="10"/>
  <c r="AH80" i="10"/>
  <c r="AH99" i="10"/>
  <c r="AH87" i="10"/>
  <c r="AH96" i="10"/>
  <c r="AH109" i="10"/>
  <c r="AH92" i="10"/>
  <c r="AH106" i="10"/>
  <c r="AH101" i="10"/>
  <c r="AH102" i="10"/>
  <c r="AH94" i="10"/>
  <c r="AH108" i="10"/>
  <c r="AH89" i="10"/>
  <c r="AH105" i="10"/>
  <c r="AH107" i="10"/>
  <c r="AH78" i="10"/>
  <c r="AH83" i="10"/>
  <c r="AH85" i="10"/>
  <c r="AH81" i="10"/>
  <c r="AH82" i="10"/>
  <c r="AH93" i="10"/>
  <c r="AH75" i="10"/>
  <c r="AH95" i="10"/>
  <c r="AH77" i="10"/>
  <c r="AH90" i="10"/>
  <c r="F25" i="5"/>
  <c r="Y9" i="10"/>
  <c r="I37" i="5" l="1"/>
  <c r="I65" i="5" s="1"/>
  <c r="I27" i="5"/>
  <c r="I22" i="5"/>
  <c r="I26" i="5"/>
  <c r="I32" i="5" s="1"/>
  <c r="G23" i="5"/>
  <c r="G30" i="5"/>
  <c r="H37" i="5"/>
  <c r="H65" i="5" s="1"/>
  <c r="F37" i="5"/>
  <c r="F65" i="5" s="1"/>
  <c r="F42" i="5"/>
  <c r="F81" i="5" s="1"/>
  <c r="I42" i="5"/>
  <c r="I81" i="5" s="1"/>
  <c r="I81" i="14"/>
  <c r="D86" i="14" s="1"/>
  <c r="D87" i="14" s="1"/>
  <c r="D96" i="14" s="1"/>
  <c r="D101" i="14" s="1"/>
  <c r="AB8" i="14"/>
  <c r="S19" i="14"/>
  <c r="S18" i="14" s="1"/>
  <c r="AA7" i="14"/>
  <c r="Z30" i="14"/>
  <c r="AA31" i="14"/>
  <c r="AB25" i="14"/>
  <c r="AA24" i="14"/>
  <c r="F41" i="5"/>
  <c r="F80" i="5" s="1"/>
  <c r="F79" i="5" s="1"/>
  <c r="H42" i="5"/>
  <c r="H81" i="5" s="1"/>
  <c r="G42" i="5"/>
  <c r="G81" i="5" s="1"/>
  <c r="G41" i="5"/>
  <c r="G80" i="5" s="1"/>
  <c r="G79" i="5" s="1"/>
  <c r="H41" i="5"/>
  <c r="H80" i="5" s="1"/>
  <c r="H79" i="5" s="1"/>
  <c r="E40" i="5"/>
  <c r="T40" i="5"/>
  <c r="R40" i="5"/>
  <c r="S40" i="5"/>
  <c r="I41" i="5"/>
  <c r="I80" i="5" s="1"/>
  <c r="I79" i="5" s="1"/>
  <c r="E38" i="5"/>
  <c r="R38" i="5"/>
  <c r="T38" i="5"/>
  <c r="S38" i="5"/>
  <c r="H102" i="5"/>
  <c r="H99" i="5" s="1"/>
  <c r="H87" i="5"/>
  <c r="H39" i="5"/>
  <c r="Z10" i="10"/>
  <c r="Z17" i="10"/>
  <c r="Z18" i="10" s="1"/>
  <c r="I31" i="5"/>
  <c r="I90" i="5"/>
  <c r="I104" i="5"/>
  <c r="BQ61" i="12"/>
  <c r="H89" i="14"/>
  <c r="F96" i="14" s="1"/>
  <c r="H31" i="5"/>
  <c r="H90" i="5"/>
  <c r="H104" i="5"/>
  <c r="AJ75" i="12"/>
  <c r="Z77" i="12"/>
  <c r="AA77" i="12" s="1"/>
  <c r="AB77" i="12" s="1"/>
  <c r="AC77" i="12" s="1"/>
  <c r="AD77" i="12" s="1"/>
  <c r="AI73" i="12"/>
  <c r="H86" i="5"/>
  <c r="H91" i="5" s="1"/>
  <c r="H101" i="5"/>
  <c r="G29" i="5"/>
  <c r="G86" i="5"/>
  <c r="G91" i="5" s="1"/>
  <c r="G101" i="5"/>
  <c r="H33" i="5"/>
  <c r="H89" i="5"/>
  <c r="G33" i="5"/>
  <c r="G89" i="5"/>
  <c r="H34" i="5"/>
  <c r="H85" i="5"/>
  <c r="H28" i="5"/>
  <c r="H100" i="5"/>
  <c r="H63" i="5"/>
  <c r="G31" i="5"/>
  <c r="G90" i="5"/>
  <c r="G104" i="5"/>
  <c r="Y10" i="10"/>
  <c r="Y17" i="10"/>
  <c r="Y18" i="10" s="1"/>
  <c r="G34" i="5"/>
  <c r="G100" i="5"/>
  <c r="G28" i="5"/>
  <c r="G85" i="5"/>
  <c r="G63" i="5"/>
  <c r="F31" i="5"/>
  <c r="F104" i="5"/>
  <c r="F90" i="5"/>
  <c r="AU3" i="10"/>
  <c r="AW3" i="10" s="1"/>
  <c r="W12" i="10"/>
  <c r="F26" i="5"/>
  <c r="W9" i="10"/>
  <c r="G26" i="5"/>
  <c r="G32" i="5" s="1"/>
  <c r="I33" i="5"/>
  <c r="I89" i="5"/>
  <c r="AU4" i="10"/>
  <c r="AW4" i="10" s="1"/>
  <c r="X12" i="10"/>
  <c r="X9" i="10"/>
  <c r="F24" i="5"/>
  <c r="I85" i="5"/>
  <c r="I28" i="5"/>
  <c r="I34" i="5"/>
  <c r="I63" i="5"/>
  <c r="I100" i="5"/>
  <c r="I102" i="5"/>
  <c r="I99" i="5" s="1"/>
  <c r="I87" i="5"/>
  <c r="F33" i="5"/>
  <c r="F89" i="5"/>
  <c r="I24" i="5"/>
  <c r="I30" i="5" s="1"/>
  <c r="C101" i="14"/>
  <c r="G96" i="14"/>
  <c r="BB53" i="8"/>
  <c r="BA53" i="8"/>
  <c r="H82" i="5" l="1"/>
  <c r="H95" i="5"/>
  <c r="G82" i="5"/>
  <c r="G95" i="5"/>
  <c r="I82" i="5"/>
  <c r="I95" i="5"/>
  <c r="F82" i="5"/>
  <c r="F95" i="5"/>
  <c r="Z7" i="14"/>
  <c r="AA8" i="14"/>
  <c r="AA25" i="14"/>
  <c r="Z24" i="14"/>
  <c r="F86" i="14"/>
  <c r="Y30" i="14"/>
  <c r="Z31" i="14"/>
  <c r="F38" i="5"/>
  <c r="F40" i="5"/>
  <c r="G40" i="5" s="1"/>
  <c r="H40" i="5" s="1"/>
  <c r="AE85" i="12"/>
  <c r="AF85" i="12" s="1"/>
  <c r="AG85" i="12" s="1"/>
  <c r="AH85" i="12" s="1"/>
  <c r="AI85" i="12" s="1"/>
  <c r="AJ85" i="12" s="1"/>
  <c r="AK85" i="12" s="1"/>
  <c r="AL85" i="12" s="1"/>
  <c r="AM85" i="12" s="1"/>
  <c r="AN85" i="12" s="1"/>
  <c r="AX85" i="12" s="1"/>
  <c r="AY85" i="12" s="1"/>
  <c r="AZ85" i="12" s="1"/>
  <c r="BA85" i="12" s="1"/>
  <c r="BB85" i="12" s="1"/>
  <c r="AE77" i="12"/>
  <c r="AF77" i="12" s="1"/>
  <c r="AG77" i="12" s="1"/>
  <c r="AH77" i="12" s="1"/>
  <c r="F97" i="5"/>
  <c r="F78" i="5"/>
  <c r="F98" i="5" s="1"/>
  <c r="F71" i="5"/>
  <c r="X17" i="10"/>
  <c r="X18" i="10" s="1"/>
  <c r="X10" i="10"/>
  <c r="X20" i="10"/>
  <c r="F102" i="5"/>
  <c r="F99" i="5" s="1"/>
  <c r="F87" i="5"/>
  <c r="G88" i="5"/>
  <c r="G103" i="5"/>
  <c r="W20" i="10"/>
  <c r="W17" i="10"/>
  <c r="W18" i="10" s="1"/>
  <c r="W10" i="10"/>
  <c r="F101" i="14"/>
  <c r="Y27" i="9"/>
  <c r="Y23" i="9"/>
  <c r="Y25" i="9"/>
  <c r="Y26" i="9"/>
  <c r="Y24" i="9"/>
  <c r="Y32" i="9"/>
  <c r="BB54" i="8"/>
  <c r="BA54" i="8"/>
  <c r="F101" i="5"/>
  <c r="F86" i="5"/>
  <c r="F91" i="5" s="1"/>
  <c r="I86" i="5"/>
  <c r="I91" i="5" s="1"/>
  <c r="I101" i="5"/>
  <c r="I39" i="5"/>
  <c r="I67" i="5" s="1"/>
  <c r="H67" i="5"/>
  <c r="I103" i="5"/>
  <c r="I88" i="5"/>
  <c r="BR61" i="12"/>
  <c r="H88" i="5"/>
  <c r="H103" i="5"/>
  <c r="AK75" i="12"/>
  <c r="AJ76" i="12"/>
  <c r="AJ77" i="12"/>
  <c r="G87" i="5"/>
  <c r="G102" i="5"/>
  <c r="G99" i="5" s="1"/>
  <c r="F64" i="5"/>
  <c r="D88" i="14"/>
  <c r="F87" i="14"/>
  <c r="I92" i="5"/>
  <c r="I84" i="5"/>
  <c r="H92" i="5"/>
  <c r="H84" i="5"/>
  <c r="G101" i="14"/>
  <c r="H96" i="14"/>
  <c r="I40" i="5" l="1"/>
  <c r="G67" i="5" s="1"/>
  <c r="F67" i="5"/>
  <c r="X30" i="14"/>
  <c r="Y31" i="14"/>
  <c r="Z25" i="14"/>
  <c r="Y24" i="14"/>
  <c r="Z8" i="14"/>
  <c r="Y7" i="14"/>
  <c r="G64" i="5"/>
  <c r="H64" i="5" s="1"/>
  <c r="I64" i="5" s="1"/>
  <c r="F66" i="5"/>
  <c r="G38" i="5"/>
  <c r="AK77" i="12"/>
  <c r="AK76" i="12"/>
  <c r="AL75" i="12"/>
  <c r="G92" i="5"/>
  <c r="G84" i="5"/>
  <c r="BB55" i="8"/>
  <c r="BA55" i="8"/>
  <c r="BS61" i="12"/>
  <c r="F84" i="5"/>
  <c r="F92" i="5"/>
  <c r="F88" i="14"/>
  <c r="D89" i="14"/>
  <c r="F89" i="14" s="1"/>
  <c r="Y25" i="14" l="1"/>
  <c r="X24" i="14"/>
  <c r="Y8" i="14"/>
  <c r="X7" i="14"/>
  <c r="W30" i="14"/>
  <c r="X31" i="14"/>
  <c r="H38" i="5"/>
  <c r="G66" i="5"/>
  <c r="AL76" i="12"/>
  <c r="AM75" i="12"/>
  <c r="AL77" i="12"/>
  <c r="BT61" i="12"/>
  <c r="BB56" i="8"/>
  <c r="BA56" i="8"/>
  <c r="X25" i="14" l="1"/>
  <c r="W24" i="14"/>
  <c r="W31" i="14"/>
  <c r="V30" i="14"/>
  <c r="X8" i="14"/>
  <c r="W7" i="14"/>
  <c r="H66" i="5"/>
  <c r="I38" i="5"/>
  <c r="I66" i="5" s="1"/>
  <c r="BA57" i="8"/>
  <c r="BB57" i="8"/>
  <c r="BU61" i="12"/>
  <c r="BV61" i="12" s="1"/>
  <c r="BW61" i="12" s="1"/>
  <c r="BX61" i="12" s="1"/>
  <c r="BY61" i="12" s="1"/>
  <c r="BZ61" i="12" s="1"/>
  <c r="CA61" i="12" s="1"/>
  <c r="CB61" i="12" s="1"/>
  <c r="CC61" i="12" s="1"/>
  <c r="CD61" i="12" s="1"/>
  <c r="CE61" i="12" s="1"/>
  <c r="CF61" i="12" s="1"/>
  <c r="CG61" i="12" s="1"/>
  <c r="CH61" i="12" s="1"/>
  <c r="CI61" i="12" s="1"/>
  <c r="CJ61" i="12" s="1"/>
  <c r="CK61" i="12" s="1"/>
  <c r="CL61" i="12" s="1"/>
  <c r="CM61" i="12" s="1"/>
  <c r="CN61" i="12" s="1"/>
  <c r="CO61" i="12" s="1"/>
  <c r="BL27" i="12"/>
  <c r="AM77" i="12"/>
  <c r="AN75" i="12"/>
  <c r="AM76" i="12"/>
  <c r="W8" i="14" l="1"/>
  <c r="V7" i="14"/>
  <c r="V31" i="14"/>
  <c r="U30" i="14"/>
  <c r="W25" i="14"/>
  <c r="V24" i="14"/>
  <c r="BJ23" i="12"/>
  <c r="BO24" i="12"/>
  <c r="BL26" i="12"/>
  <c r="BM24" i="12"/>
  <c r="BK23" i="12"/>
  <c r="BM26" i="12"/>
  <c r="BL25" i="12"/>
  <c r="BN23" i="12"/>
  <c r="BO23" i="12"/>
  <c r="BJ27" i="12"/>
  <c r="BN26" i="12"/>
  <c r="BN24" i="12"/>
  <c r="BK26" i="12"/>
  <c r="BO25" i="12"/>
  <c r="BK24" i="12"/>
  <c r="BP24" i="12"/>
  <c r="BJ25" i="12"/>
  <c r="BN27" i="12"/>
  <c r="BP25" i="12"/>
  <c r="BP23" i="12"/>
  <c r="BM23" i="12"/>
  <c r="AN77" i="12"/>
  <c r="AN76" i="12"/>
  <c r="AX75" i="12"/>
  <c r="BO26" i="12"/>
  <c r="BK27" i="12"/>
  <c r="BL23" i="12"/>
  <c r="BJ26" i="12"/>
  <c r="BP26" i="12"/>
  <c r="BN25" i="12"/>
  <c r="BJ24" i="12"/>
  <c r="BM27" i="12"/>
  <c r="BP27" i="12"/>
  <c r="BM25" i="12"/>
  <c r="BO27" i="12"/>
  <c r="BK25" i="12"/>
  <c r="BL24" i="12"/>
  <c r="BB58" i="8"/>
  <c r="BA58" i="8"/>
  <c r="V25" i="14" l="1"/>
  <c r="U24" i="14"/>
  <c r="U31" i="14"/>
  <c r="T30" i="14"/>
  <c r="V8" i="14"/>
  <c r="U7" i="14"/>
  <c r="BB59" i="8"/>
  <c r="BA59" i="8"/>
  <c r="AX77" i="12"/>
  <c r="AX76" i="12"/>
  <c r="AY75" i="12"/>
  <c r="U8" i="14" l="1"/>
  <c r="T7" i="14"/>
  <c r="T31" i="14"/>
  <c r="S30" i="14"/>
  <c r="S31" i="14" s="1"/>
  <c r="U25" i="14"/>
  <c r="T24" i="14"/>
  <c r="AY77" i="12"/>
  <c r="AY76" i="12"/>
  <c r="AZ75" i="12"/>
  <c r="BB60" i="8"/>
  <c r="BA60" i="8"/>
  <c r="T25" i="14" l="1"/>
  <c r="S24" i="14"/>
  <c r="S25" i="14" s="1"/>
  <c r="T8" i="14"/>
  <c r="S7" i="14"/>
  <c r="S8" i="14" s="1"/>
  <c r="AZ77" i="12"/>
  <c r="AZ76" i="12"/>
  <c r="BA75" i="12"/>
  <c r="BB61" i="8"/>
  <c r="BA61" i="8"/>
  <c r="BB62" i="8" l="1"/>
  <c r="BA62" i="8"/>
  <c r="BA76" i="12"/>
  <c r="BB75" i="12"/>
  <c r="BA77" i="12"/>
  <c r="BB76" i="12" l="1"/>
  <c r="BB77" i="12"/>
  <c r="BB63" i="8"/>
  <c r="BA63" i="8"/>
  <c r="BB64" i="8" l="1"/>
  <c r="BA64" i="8"/>
  <c r="BB65" i="8" l="1"/>
  <c r="BA65" i="8"/>
  <c r="BA66" i="8" l="1"/>
  <c r="BB66" i="8"/>
  <c r="BB67" i="8" l="1"/>
  <c r="BA67" i="8"/>
  <c r="BB68" i="8" l="1"/>
  <c r="BA68" i="8"/>
  <c r="BB69" i="8" l="1"/>
  <c r="BA69" i="8"/>
  <c r="BB70" i="8" l="1"/>
  <c r="BA70" i="8"/>
  <c r="BB71" i="8" l="1"/>
  <c r="BA71" i="8"/>
  <c r="BB72" i="8" l="1"/>
  <c r="BA72" i="8"/>
  <c r="BB73" i="8" l="1"/>
  <c r="BA73" i="8"/>
  <c r="BB74" i="8" l="1"/>
  <c r="BA74" i="8"/>
  <c r="BB75" i="8" l="1"/>
  <c r="BA75" i="8"/>
  <c r="BB76" i="8" l="1"/>
  <c r="BA76" i="8"/>
  <c r="BB77" i="8" l="1"/>
  <c r="BA77" i="8"/>
  <c r="BA78" i="8" l="1"/>
  <c r="BB78" i="8"/>
  <c r="BB79" i="8" l="1"/>
  <c r="BA79" i="8"/>
  <c r="BB80" i="8" l="1"/>
  <c r="BA80" i="8"/>
  <c r="BA81" i="8" l="1"/>
  <c r="BB81" i="8"/>
  <c r="BB82" i="8" l="1"/>
  <c r="BA82" i="8"/>
  <c r="BB83" i="8" l="1"/>
  <c r="BA83" i="8"/>
  <c r="BA84" i="8" l="1"/>
  <c r="BB84" i="8"/>
  <c r="BB85" i="8" l="1"/>
  <c r="BA85" i="8"/>
  <c r="BB86" i="8" l="1"/>
  <c r="BA86" i="8"/>
  <c r="BB87" i="8" l="1"/>
  <c r="BA87" i="8"/>
  <c r="BB88" i="8" l="1"/>
  <c r="BA88" i="8"/>
  <c r="BB89" i="8" l="1"/>
  <c r="BA89" i="8"/>
  <c r="BB90" i="8" l="1"/>
  <c r="BA90" i="8"/>
  <c r="BB91" i="8" l="1"/>
  <c r="BA91" i="8"/>
  <c r="BB92" i="8" l="1"/>
  <c r="BA92" i="8"/>
  <c r="BA93" i="8" l="1"/>
  <c r="BB93" i="8"/>
  <c r="BB94" i="8" l="1"/>
  <c r="BA94" i="8"/>
  <c r="BB95" i="8" l="1"/>
  <c r="BA95" i="8"/>
  <c r="BB96" i="8" l="1"/>
  <c r="BA96"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ESAP PC</author>
  </authors>
  <commentList>
    <comment ref="B73" authorId="0" shapeId="0" xr:uid="{C0A14BB3-227C-4E79-8D96-341BDCDA3941}">
      <text>
        <r>
          <rPr>
            <b/>
            <sz val="9"/>
            <color indexed="81"/>
            <rFont val="Tahoma"/>
            <family val="2"/>
          </rPr>
          <t>ESAP PC:</t>
        </r>
        <r>
          <rPr>
            <sz val="9"/>
            <color indexed="81"/>
            <rFont val="Tahoma"/>
            <family val="2"/>
          </rPr>
          <t xml:space="preserve">
 copy to next row then 'cut &amp; paste' as value to record log entry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tc={D4E3D0A9-A026-4E60-8205-5068650E6DD8}</author>
    <author>bruno merven</author>
    <author>Bruno Merven</author>
    <author>tc={0D627D3F-34ED-4758-AC67-0E90CB6B0E40}</author>
    <author>tc={6CE4519E-0EE1-488E-A0B3-B71572AE46A3}</author>
    <author>tc={8174276F-65FB-480C-9C32-A6C3A60A2E75}</author>
    <author>tc={54934D05-AB8B-43EA-94D5-DA4230739148}</author>
    <author>tc={2D025629-877F-4A51-97DF-4B63BC17F90B}</author>
    <author>tc={00B9291C-0286-423F-9703-F64CCB57F70F}</author>
    <author>tc={87179AE4-EC17-4370-98D7-F32C73BD771A}</author>
    <author>tc={E69A6D97-9056-4FB3-8A4E-00F5B2E78FD6}</author>
    <author>tc={F93D2D09-DC95-4216-81E9-77B6F290F34D}</author>
    <author>tc={8598790D-79A8-4FAB-8E0F-9A4DEE58CC36}</author>
    <author>tc={2FB1C6F0-AD57-4E16-BFAC-B7DB9955D691}</author>
    <author>tc={B0A60D28-BB18-4A91-9004-62133F119943}</author>
    <author>tc={E56230BC-BD11-4915-915B-9473750B9EC2}</author>
  </authors>
  <commentList>
    <comment ref="G23" authorId="0" shapeId="0" xr:uid="{D4E3D0A9-A026-4E60-8205-5068650E6DD8}">
      <text>
        <t>[Threaded comment]
Your version of Excel allows you to read this threaded comment; however, any edits to it will get removed if the file is opened in a newer version of Excel. Learn more: https://go.microsoft.com/fwlink/?linkid=870924
Comment:
    This looks ok, see: https://www.energy.gov.za/files/esources/petroleum/December2021/Basic-Fuel-Price.pdf</t>
      </text>
    </comment>
    <comment ref="A28" authorId="1" shapeId="0" xr:uid="{5E6D0E9E-5E19-44FF-AA7C-00B29BACDD69}">
      <text>
        <r>
          <rPr>
            <b/>
            <sz val="9"/>
            <color indexed="81"/>
            <rFont val="Tahoma"/>
            <family val="2"/>
          </rPr>
          <t>bruno merven:</t>
        </r>
        <r>
          <rPr>
            <sz val="9"/>
            <color indexed="81"/>
            <rFont val="Tahoma"/>
            <family val="2"/>
          </rPr>
          <t xml:space="preserve">
Price parity assumed with Crude</t>
        </r>
      </text>
    </comment>
    <comment ref="O36" authorId="2" shapeId="0" xr:uid="{5396FF8E-A358-49D3-B7EC-055AAAE83D6B}">
      <text>
        <r>
          <rPr>
            <b/>
            <sz val="8"/>
            <color indexed="81"/>
            <rFont val="Tahoma"/>
            <family val="2"/>
          </rPr>
          <t>Bruno Merven:</t>
        </r>
        <r>
          <rPr>
            <sz val="8"/>
            <color indexed="81"/>
            <rFont val="Tahoma"/>
            <family val="2"/>
          </rPr>
          <t xml:space="preserve">
Darryl Hunt</t>
        </r>
      </text>
    </comment>
    <comment ref="U37" authorId="1" shapeId="0" xr:uid="{857EE5A3-4840-4E13-95BE-AD897D4A614E}">
      <text>
        <r>
          <rPr>
            <b/>
            <sz val="9"/>
            <color indexed="81"/>
            <rFont val="Tahoma"/>
            <family val="2"/>
          </rPr>
          <t>bruno merven:</t>
        </r>
        <r>
          <rPr>
            <sz val="9"/>
            <color indexed="81"/>
            <rFont val="Tahoma"/>
            <family val="2"/>
          </rPr>
          <t xml:space="preserve">
LNG price - liquefaction cost
</t>
        </r>
      </text>
    </comment>
    <comment ref="U40" authorId="1" shapeId="0" xr:uid="{8475DF47-EA23-49EF-9A8C-8C30401A788B}">
      <text>
        <r>
          <rPr>
            <b/>
            <sz val="9"/>
            <color indexed="81"/>
            <rFont val="Tahoma"/>
            <family val="2"/>
          </rPr>
          <t>bruno merven:</t>
        </r>
        <r>
          <rPr>
            <sz val="9"/>
            <color indexed="81"/>
            <rFont val="Tahoma"/>
            <family val="2"/>
          </rPr>
          <t xml:space="preserve">
LNG price - liquefaction cost
</t>
        </r>
      </text>
    </comment>
    <comment ref="V41" authorId="2" shapeId="0" xr:uid="{FB8BC40E-BFD7-497F-B8DA-E3688A528017}">
      <text>
        <r>
          <rPr>
            <b/>
            <sz val="8"/>
            <color indexed="81"/>
            <rFont val="Tahoma"/>
            <family val="2"/>
          </rPr>
          <t>Bruno Merven:</t>
        </r>
        <r>
          <rPr>
            <sz val="8"/>
            <color indexed="81"/>
            <rFont val="Tahoma"/>
            <family val="2"/>
          </rPr>
          <t xml:space="preserve">
Regional LNG</t>
        </r>
      </text>
    </comment>
    <comment ref="C46" authorId="2" shapeId="0" xr:uid="{E3148B75-B579-4A27-9117-4AC06AA045D5}">
      <text>
        <r>
          <rPr>
            <b/>
            <sz val="8"/>
            <color indexed="81"/>
            <rFont val="Tahoma"/>
            <family val="2"/>
          </rPr>
          <t>Bruno Merven:</t>
        </r>
        <r>
          <rPr>
            <sz val="8"/>
            <color indexed="81"/>
            <rFont val="Tahoma"/>
            <family val="2"/>
          </rPr>
          <t xml:space="preserve">
Open Cast Mines</t>
        </r>
      </text>
    </comment>
    <comment ref="D46" authorId="2" shapeId="0" xr:uid="{CFE3450D-AD1C-4431-B340-73F9364D52CC}">
      <text>
        <r>
          <rPr>
            <b/>
            <sz val="8"/>
            <color indexed="81"/>
            <rFont val="Tahoma"/>
            <family val="2"/>
          </rPr>
          <t>Bruno Merven:</t>
        </r>
        <r>
          <rPr>
            <sz val="8"/>
            <color indexed="81"/>
            <rFont val="Tahoma"/>
            <family val="2"/>
          </rPr>
          <t xml:space="preserve">
Underground mining</t>
        </r>
      </text>
    </comment>
    <comment ref="E46" authorId="2" shapeId="0" xr:uid="{6830515F-7130-41B9-95F9-722B078571C6}">
      <text>
        <r>
          <rPr>
            <b/>
            <sz val="8"/>
            <color indexed="81"/>
            <rFont val="Tahoma"/>
            <family val="2"/>
          </rPr>
          <t>Bruno Merven:</t>
        </r>
        <r>
          <rPr>
            <sz val="8"/>
            <color indexed="81"/>
            <rFont val="Tahoma"/>
            <family val="2"/>
          </rPr>
          <t xml:space="preserve">
Shale Gas</t>
        </r>
      </text>
    </comment>
    <comment ref="F46" authorId="2" shapeId="0" xr:uid="{58E93A86-31A8-4F2B-BBCF-DCD6852BBF0E}">
      <text>
        <r>
          <rPr>
            <b/>
            <sz val="8"/>
            <color indexed="81"/>
            <rFont val="Tahoma"/>
            <family val="2"/>
          </rPr>
          <t>Bruno Merven:</t>
        </r>
        <r>
          <rPr>
            <sz val="8"/>
            <color indexed="81"/>
            <rFont val="Tahoma"/>
            <family val="2"/>
          </rPr>
          <t xml:space="preserve">
Coal Bed Methane</t>
        </r>
      </text>
    </comment>
    <comment ref="E54" authorId="3" shapeId="0" xr:uid="{0D627D3F-34ED-4758-AC67-0E90CB6B0E40}">
      <text>
        <t>[Threaded comment]
Your version of Excel allows you to read this threaded comment; however, any edits to it will get removed if the file is opened in a newer version of Excel. Learn more: https://go.microsoft.com/fwlink/?linkid=870924
Comment:
    Use this cell to do any currency conversion adjustments.</t>
      </text>
    </comment>
    <comment ref="Q57" authorId="1" shapeId="0" xr:uid="{F37D00AD-C165-4852-BC16-6CBA566E85DA}">
      <text>
        <r>
          <rPr>
            <b/>
            <sz val="9"/>
            <color indexed="81"/>
            <rFont val="Tahoma"/>
            <family val="2"/>
          </rPr>
          <t>bruno merven:</t>
        </r>
        <r>
          <rPr>
            <sz val="9"/>
            <color indexed="81"/>
            <rFont val="Tahoma"/>
            <family val="2"/>
          </rPr>
          <t xml:space="preserve">
Gas Resource taken from Darryl's presentaion in October 2013</t>
        </r>
      </text>
    </comment>
    <comment ref="A60" authorId="1" shapeId="0" xr:uid="{2E132BFF-623C-4398-B008-268D21875680}">
      <text>
        <r>
          <rPr>
            <b/>
            <sz val="9"/>
            <color indexed="81"/>
            <rFont val="Tahoma"/>
            <family val="2"/>
          </rPr>
          <t>bruno merven:</t>
        </r>
        <r>
          <rPr>
            <sz val="9"/>
            <color indexed="81"/>
            <rFont val="Tahoma"/>
            <family val="2"/>
          </rPr>
          <t xml:space="preserve">
coal going to demand sectors</t>
        </r>
      </text>
    </comment>
    <comment ref="F60" authorId="4" shapeId="0" xr:uid="{6CE4519E-0EE1-488E-A0B3-B71572AE46A3}">
      <text>
        <t>[Threaded comment]
Your version of Excel allows you to read this threaded comment; however, any edits to it will get removed if the file is opened in a newer version of Excel. Learn more: https://go.microsoft.com/fwlink/?linkid=870924
Comment:
    from SUTCoal sheet in EB2017 google sheet. This includes transport costs, and then converted to 2022 Rands from 2017 rands.</t>
      </text>
    </comment>
    <comment ref="B64" authorId="1" shapeId="0" xr:uid="{D9427FA5-0DAA-4696-BB4F-7FF50CB1100B}">
      <text>
        <r>
          <rPr>
            <b/>
            <sz val="9"/>
            <color indexed="81"/>
            <rFont val="Tahoma"/>
            <family val="2"/>
          </rPr>
          <t>bruno merven:</t>
        </r>
        <r>
          <rPr>
            <sz val="9"/>
            <color indexed="81"/>
            <rFont val="Tahoma"/>
            <family val="2"/>
          </rPr>
          <t xml:space="preserve">
This is natural gas from Mossel Bay but gives out GIC</t>
        </r>
      </text>
    </comment>
    <comment ref="K64" authorId="5" shapeId="0" xr:uid="{8174276F-65FB-480C-9C32-A6C3A60A2E75}">
      <text>
        <t>[Threaded comment]
Your version of Excel allows you to read this threaded comment; however, any edits to it will get removed if the file is opened in a newer version of Excel. Learn more: https://go.microsoft.com/fwlink/?linkid=870924
Comment:
    amount required to meet lower bound on production (calibrated on DEFF GHG Inventory)</t>
      </text>
    </comment>
    <comment ref="P65" authorId="6" shapeId="0" xr:uid="{54934D05-AB8B-43EA-94D5-DA4230739148}">
      <text>
        <t>[Threaded comment]
Your version of Excel allows you to read this threaded comment; however, any edits to it will get removed if the file is opened in a newer version of Excel. Learn more: https://go.microsoft.com/fwlink/?linkid=870924
Comment:
    https://www.offshore-technology.com/marketdata/oil-gas-field-profile-ibhubesi-conventional-gas-field-south-africa/</t>
      </text>
    </comment>
    <comment ref="Q65" authorId="1" shapeId="0" xr:uid="{958404B5-6244-45E1-AF2A-E2093F727F53}">
      <text>
        <r>
          <rPr>
            <b/>
            <sz val="9"/>
            <color indexed="81"/>
            <rFont val="Tahoma"/>
            <family val="2"/>
          </rPr>
          <t>bruno merven:</t>
        </r>
        <r>
          <rPr>
            <sz val="9"/>
            <color indexed="81"/>
            <rFont val="Tahoma"/>
            <family val="2"/>
          </rPr>
          <t xml:space="preserve">
http://www.southafrica.info/business/investing/energy-190315.htm#.VSaJwvmUebM</t>
        </r>
      </text>
    </comment>
    <comment ref="Q67" authorId="1" shapeId="0" xr:uid="{8DADBFC1-6B22-4FD5-BF70-6CF52A0409BC}">
      <text>
        <r>
          <rPr>
            <b/>
            <sz val="9"/>
            <color indexed="81"/>
            <rFont val="Tahoma"/>
            <family val="2"/>
          </rPr>
          <t>bruno merven:</t>
        </r>
        <r>
          <rPr>
            <sz val="9"/>
            <color indexed="81"/>
            <rFont val="Tahoma"/>
            <family val="2"/>
          </rPr>
          <t xml:space="preserve">
Darryl had 18.5 in October 2013 presentation but this has been revised down since.</t>
        </r>
      </text>
    </comment>
    <comment ref="F69" authorId="7" shapeId="0" xr:uid="{2D025629-877F-4A51-97DF-4B63BC17F90B}">
      <text>
        <t>[Threaded comment]
Your version of Excel allows you to read this threaded comment; however, any edits to it will get removed if the file is opened in a newer version of Excel. Learn more: https://go.microsoft.com/fwlink/?linkid=870924
Comment:
    Needs to be checked</t>
      </text>
    </comment>
    <comment ref="F70" authorId="8" shapeId="0" xr:uid="{00B9291C-0286-423F-9703-F64CCB57F70F}">
      <text>
        <t>[Threaded comment]
Your version of Excel allows you to read this threaded comment; however, any edits to it will get removed if the file is opened in a newer version of Excel. Learn more: https://go.microsoft.com/fwlink/?linkid=870924
Comment:
    Parity with coal in R/GJ assumed</t>
      </text>
    </comment>
    <comment ref="K73" authorId="1" shapeId="0" xr:uid="{7AD99044-2159-464B-9AD0-B1D99E091866}">
      <text>
        <r>
          <rPr>
            <b/>
            <sz val="9"/>
            <color indexed="81"/>
            <rFont val="Tahoma"/>
            <family val="2"/>
          </rPr>
          <t>bruno merven:</t>
        </r>
        <r>
          <rPr>
            <sz val="9"/>
            <color indexed="81"/>
            <rFont val="Tahoma"/>
            <family val="2"/>
          </rPr>
          <t xml:space="preserve">
Added in August to cap production of Waste. This number needs further research.</t>
        </r>
      </text>
    </comment>
    <comment ref="B81" authorId="1" shapeId="0" xr:uid="{81F4B1C5-F7C2-4AA5-9738-F4B5688DC84B}">
      <text>
        <r>
          <rPr>
            <b/>
            <sz val="9"/>
            <color indexed="81"/>
            <rFont val="Tahoma"/>
            <family val="2"/>
          </rPr>
          <t>bruno merven:</t>
        </r>
        <r>
          <rPr>
            <sz val="9"/>
            <color indexed="81"/>
            <rFont val="Tahoma"/>
            <family val="2"/>
          </rPr>
          <t xml:space="preserve">
same commodity different price and start year</t>
        </r>
      </text>
    </comment>
    <comment ref="F83" authorId="9" shapeId="0" xr:uid="{87179AE4-EC17-4370-98D7-F32C73BD771A}">
      <text>
        <t>[Threaded comment]
Your version of Excel allows you to read this threaded comment; however, any edits to it will get removed if the file is opened in a newer version of Excel. Learn more: https://go.microsoft.com/fwlink/?linkid=870924
Comment:
    IRP 2019 costs adjusted to 2022</t>
      </text>
    </comment>
    <comment ref="K86" authorId="10" shapeId="0" xr:uid="{E69A6D97-9056-4FB3-8A4E-00F5B2E78FD6}">
      <text>
        <t>[Threaded comment]
Your version of Excel allows you to read this threaded comment; however, any edits to it will get removed if the file is opened in a newer version of Excel. Learn more: https://go.microsoft.com/fwlink/?linkid=870924
Comment:
    From EB</t>
      </text>
    </comment>
    <comment ref="K87" authorId="11" shapeId="0" xr:uid="{F93D2D09-DC95-4216-81E9-77B6F290F34D}">
      <text>
        <t>[Threaded comment]
Your version of Excel allows you to read this threaded comment; however, any edits to it will get removed if the file is opened in a newer version of Excel. Learn more: https://go.microsoft.com/fwlink/?linkid=870924
Comment:
    From EB</t>
      </text>
    </comment>
    <comment ref="K89" authorId="12" shapeId="0" xr:uid="{8598790D-79A8-4FAB-8E0F-9A4DEE58CC36}">
      <text>
        <t>[Threaded comment]
Your version of Excel allows you to read this threaded comment; however, any edits to it will get removed if the file is opened in a newer version of Excel. Learn more: https://go.microsoft.com/fwlink/?linkid=870924
Comment:
    Net imports from EB</t>
      </text>
    </comment>
    <comment ref="K90" authorId="13" shapeId="0" xr:uid="{2FB1C6F0-AD57-4E16-BFAC-B7DB9955D691}">
      <text>
        <t>[Threaded comment]
Your version of Excel allows you to read this threaded comment; however, any edits to it will get removed if the file is opened in a newer version of Excel. Learn more: https://go.microsoft.com/fwlink/?linkid=870924
Comment:
    From energy balance</t>
      </text>
    </comment>
    <comment ref="K94" authorId="14" shapeId="0" xr:uid="{B0A60D28-BB18-4A91-9004-62133F119943}">
      <text>
        <t>[Threaded comment]
Your version of Excel allows you to read this threaded comment; however, any edits to it will get removed if the file is opened in a newer version of Excel. Learn more: https://go.microsoft.com/fwlink/?linkid=870924
Comment:
    From gas balance</t>
      </text>
    </comment>
    <comment ref="F95" authorId="15" shapeId="0" xr:uid="{E56230BC-BD11-4915-915B-9473750B9EC2}">
      <text>
        <t>[Threaded comment]
Your version of Excel allows you to read this threaded comment; however, any edits to it will get removed if the file is opened in a newer version of Excel. Learn more: https://go.microsoft.com/fwlink/?linkid=870924
Comment:
    LNG price minus liquefaction costs</t>
      </text>
    </comment>
    <comment ref="A96" authorId="1" shapeId="0" xr:uid="{4B3F44B6-E3C0-42F9-9028-7EAF6027CA88}">
      <text>
        <r>
          <rPr>
            <b/>
            <sz val="9"/>
            <color indexed="81"/>
            <rFont val="Tahoma"/>
            <family val="2"/>
          </rPr>
          <t>bruno merven:</t>
        </r>
        <r>
          <rPr>
            <sz val="9"/>
            <color indexed="81"/>
            <rFont val="Tahoma"/>
            <family val="2"/>
          </rPr>
          <t xml:space="preserve">
exports are at a slight discount to stop model from feely exporting. In future versions of SATIM the exports will be capacity constrained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tc={550A2089-0999-4171-A490-3DF5B755EB72}</author>
    <author>tc={51431315-775B-4823-9525-A1C37E319A30}</author>
    <author>tc={8475357F-4B41-429D-8768-41B15F68D2DD}</author>
  </authors>
  <commentList>
    <comment ref="M19" authorId="0" shapeId="0" xr:uid="{550A2089-0999-4171-A490-3DF5B755EB72}">
      <text>
        <t>[Threaded comment]
Your version of Excel allows you to read this threaded comment; however, any edits to it will get removed if the file is opened in a newer version of Excel. Learn more: https://go.microsoft.com/fwlink/?linkid=870924
Comment:
    Hunt 2023</t>
      </text>
    </comment>
    <comment ref="O19" authorId="1" shapeId="0" xr:uid="{51431315-775B-4823-9525-A1C37E319A30}">
      <text>
        <t>[Threaded comment]
Your version of Excel allows you to read this threaded comment; however, any edits to it will get removed if the file is opened in a newer version of Excel. Learn more: https://go.microsoft.com/fwlink/?linkid=870924
Comment:
    FSRU rate of 250,000 USD/day Hunt 2023</t>
      </text>
    </comment>
    <comment ref="M20" authorId="2" shapeId="0" xr:uid="{8475357F-4B41-429D-8768-41B15F68D2DD}">
      <text>
        <t>[Threaded comment]
Your version of Excel allows you to read this threaded comment; however, any edits to it will get removed if the file is opened in a newer version of Excel. Learn more: https://go.microsoft.com/fwlink/?linkid=870924
Comment:
    From Poten estimate via Sasol</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tc={2B0CA28E-DAD9-4DD9-8216-72129FA150D1}</author>
    <author>tc={4B0A52FF-8F7F-4370-96F3-E62869F72766}</author>
  </authors>
  <commentList>
    <comment ref="J6" authorId="0" shapeId="0" xr:uid="{2B0CA28E-DAD9-4DD9-8216-72129FA150D1}">
      <text>
        <t>[Threaded comment]
Your version of Excel allows you to read this threaded comment; however, any edits to it will get removed if the file is opened in a newer version of Excel. Learn more: https://go.microsoft.com/fwlink/?linkid=870924
Comment:
    Richard's Bay to Secunda line from Sasol for 160 PJ Capacity (adjusted for 2018-2022)</t>
      </text>
    </comment>
    <comment ref="J8" authorId="1" shapeId="0" xr:uid="{4B0A52FF-8F7F-4370-96F3-E62869F72766}">
      <text>
        <t>[Threaded comment]
Your version of Excel allows you to read this threaded comment; however, any edits to it will get removed if the file is opened in a newer version of Excel. Learn more: https://go.microsoft.com/fwlink/?linkid=870924
Comment:
    5b$ estimate for pipeline - 500PJ</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Lana</author>
    <author>Pat DeLaquil</author>
    <author>01418624</author>
    <author>IRG</author>
  </authors>
  <commentList>
    <comment ref="F7" authorId="0" shapeId="0" xr:uid="{E93C975C-CC10-4CBD-9FD0-46EDEEE6BF89}">
      <text>
        <r>
          <rPr>
            <b/>
            <sz val="9"/>
            <color indexed="81"/>
            <rFont val="Tahoma"/>
            <family val="2"/>
          </rPr>
          <t>Lana:</t>
        </r>
        <r>
          <rPr>
            <sz val="9"/>
            <color indexed="81"/>
            <rFont val="Tahoma"/>
            <family val="2"/>
          </rPr>
          <t xml:space="preserve">
sum the GHG emissions from the five stages (DoE, 2014)</t>
        </r>
      </text>
    </comment>
    <comment ref="AD7" authorId="1" shapeId="0" xr:uid="{7320B3B2-BCA8-4749-8E0D-8D9DC05C78B2}">
      <text>
        <r>
          <rPr>
            <b/>
            <sz val="8"/>
            <color indexed="81"/>
            <rFont val="Tahoma"/>
            <family val="2"/>
          </rPr>
          <t>Pat DeLaquil:</t>
        </r>
        <r>
          <rPr>
            <sz val="8"/>
            <color indexed="81"/>
            <rFont val="Tahoma"/>
            <family val="2"/>
          </rPr>
          <t xml:space="preserve">
CH4 = 55 GJ/MT</t>
        </r>
      </text>
    </comment>
    <comment ref="V10" authorId="2" shapeId="0" xr:uid="{5DC71223-1219-4EB4-BED5-586579CFF28D}">
      <text>
        <r>
          <rPr>
            <b/>
            <sz val="9"/>
            <color indexed="81"/>
            <rFont val="Tahoma"/>
            <family val="2"/>
          </rPr>
          <t>01418624:</t>
        </r>
        <r>
          <rPr>
            <sz val="9"/>
            <color indexed="81"/>
            <rFont val="Tahoma"/>
            <family val="2"/>
          </rPr>
          <t xml:space="preserve">
For all scenarios, we assume that there is 1% unintentional leakage from natural gas system</t>
        </r>
      </text>
    </comment>
    <comment ref="C11" authorId="0" shapeId="0" xr:uid="{B64AE46C-A79E-4FCB-AF14-D93B7B47F0C9}">
      <text>
        <r>
          <rPr>
            <b/>
            <sz val="9"/>
            <color indexed="81"/>
            <rFont val="Tahoma"/>
            <family val="2"/>
          </rPr>
          <t>Lana:</t>
        </r>
        <r>
          <rPr>
            <sz val="9"/>
            <color indexed="81"/>
            <rFont val="Tahoma"/>
            <family val="2"/>
          </rPr>
          <t xml:space="preserve">
Original study was 0.1. The processing emission of 4.7  (from AEA, 2012) was added for comparability.</t>
        </r>
      </text>
    </comment>
    <comment ref="O13" authorId="2" shapeId="0" xr:uid="{B3AE1605-21A2-4FC4-BF2B-31AD9B60039F}">
      <text>
        <r>
          <rPr>
            <b/>
            <sz val="9"/>
            <color indexed="81"/>
            <rFont val="Tahoma"/>
            <family val="2"/>
          </rPr>
          <t>Senatla: Transmission lines had an efficiency of 0.96, based on some literature (literature to be found for documentation purposes)</t>
        </r>
        <r>
          <rPr>
            <sz val="9"/>
            <color indexed="81"/>
            <rFont val="Tahoma"/>
            <family val="2"/>
          </rPr>
          <t xml:space="preserve">
</t>
        </r>
      </text>
    </comment>
    <comment ref="A14" authorId="0" shapeId="0" xr:uid="{66F4098B-4AB9-458A-A931-6975D16E2250}">
      <text>
        <r>
          <rPr>
            <b/>
            <sz val="9"/>
            <color indexed="81"/>
            <rFont val="Tahoma"/>
            <family val="2"/>
          </rPr>
          <t>Lana:</t>
        </r>
        <r>
          <rPr>
            <sz val="9"/>
            <color indexed="81"/>
            <rFont val="Tahoma"/>
            <family val="2"/>
          </rPr>
          <t xml:space="preserve">
Most criticised study. Criticism includes overestimations of fugitive emissions and underestimation of the contribution of technology to reduce fugtive emissions (DoE, 2014).</t>
        </r>
      </text>
    </comment>
    <comment ref="V15" authorId="2" shapeId="0" xr:uid="{1EF27EC9-AA89-4289-8BB4-A6D9FA8948C1}">
      <text>
        <r>
          <rPr>
            <b/>
            <sz val="9"/>
            <color indexed="81"/>
            <rFont val="Tahoma"/>
            <family val="2"/>
          </rPr>
          <t>01418624:</t>
        </r>
        <r>
          <rPr>
            <sz val="9"/>
            <color indexed="81"/>
            <rFont val="Tahoma"/>
            <family val="2"/>
          </rPr>
          <t xml:space="preserve">
For all scenarios, we assume that there is 1% unintentional leakage from natural gas system</t>
        </r>
      </text>
    </comment>
    <comment ref="AD15" authorId="3" shapeId="0" xr:uid="{78004770-3669-4521-AA11-9628F15BE05C}">
      <text>
        <r>
          <rPr>
            <b/>
            <sz val="8"/>
            <color indexed="81"/>
            <rFont val="Tahoma"/>
            <family val="2"/>
          </rPr>
          <t>IRG:</t>
        </r>
        <r>
          <rPr>
            <sz val="8"/>
            <color indexed="81"/>
            <rFont val="Tahoma"/>
            <family val="2"/>
          </rPr>
          <t xml:space="preserve">
See GDP deflators below; where 2000 =&gt; 1995 used here.</t>
        </r>
      </text>
    </comment>
    <comment ref="AD22" authorId="1" shapeId="0" xr:uid="{E60A29E0-2BCC-4539-981D-F010B41AD3A9}">
      <text>
        <r>
          <rPr>
            <b/>
            <sz val="8"/>
            <color indexed="81"/>
            <rFont val="Tahoma"/>
            <family val="2"/>
          </rPr>
          <t>Pat DeLaquil:</t>
        </r>
        <r>
          <rPr>
            <sz val="8"/>
            <color indexed="81"/>
            <rFont val="Tahoma"/>
            <family val="2"/>
          </rPr>
          <t xml:space="preserve">
EIA approximate energy content of domestic oil</t>
        </r>
      </text>
    </comment>
    <comment ref="AD28" authorId="1" shapeId="0" xr:uid="{05CD6752-0B6B-4DC9-8532-2718B5CB02FA}">
      <text>
        <r>
          <rPr>
            <b/>
            <sz val="8"/>
            <color indexed="81"/>
            <rFont val="Tahoma"/>
            <family val="2"/>
          </rPr>
          <t>Pat DeLaquil:</t>
        </r>
        <r>
          <rPr>
            <sz val="8"/>
            <color indexed="81"/>
            <rFont val="Tahoma"/>
            <family val="2"/>
          </rPr>
          <t xml:space="preserve">
Assumed 20 kg C/GJ</t>
        </r>
      </text>
    </comment>
    <comment ref="R32" authorId="2" shapeId="0" xr:uid="{C7F0EA37-DE66-4E1E-9532-A05CE04E9FEF}">
      <text>
        <r>
          <rPr>
            <b/>
            <sz val="9"/>
            <color indexed="81"/>
            <rFont val="Tahoma"/>
            <family val="2"/>
          </rPr>
          <t>01418624:</t>
        </r>
        <r>
          <rPr>
            <sz val="9"/>
            <color indexed="81"/>
            <rFont val="Tahoma"/>
            <family val="2"/>
          </rPr>
          <t xml:space="preserve">
Assume that 90% of the gas is vented and 1% are unintentional leaks and 9% is due to flaring</t>
        </r>
      </text>
    </comment>
    <comment ref="L133" authorId="2" shapeId="0" xr:uid="{CF83AB27-F039-437B-9629-5AFE55E887AC}">
      <text>
        <r>
          <rPr>
            <b/>
            <sz val="9"/>
            <color indexed="81"/>
            <rFont val="Tahoma"/>
            <family val="2"/>
          </rPr>
          <t>01418624:</t>
        </r>
        <r>
          <rPr>
            <sz val="9"/>
            <color indexed="81"/>
            <rFont val="Tahoma"/>
            <family val="2"/>
          </rPr>
          <t xml:space="preserve">
this means that 2% of every PJ that is produced, 2% ends up as emissions from venting and flaring. </t>
        </r>
      </text>
    </comment>
    <comment ref="L134" authorId="2" shapeId="0" xr:uid="{C0D5765F-A127-496D-8259-3486F05FB919}">
      <text>
        <r>
          <rPr>
            <b/>
            <sz val="9"/>
            <color indexed="81"/>
            <rFont val="Tahoma"/>
            <family val="2"/>
          </rPr>
          <t>01418624:</t>
        </r>
        <r>
          <rPr>
            <sz val="9"/>
            <color indexed="81"/>
            <rFont val="Tahoma"/>
            <family val="2"/>
          </rPr>
          <t xml:space="preserve">
Venting is not well separated from flaring in PetroSa activities</t>
        </r>
      </text>
    </comment>
    <comment ref="G139" authorId="2" shapeId="0" xr:uid="{E7C5EED1-946B-41F5-B730-1C650476D906}">
      <text>
        <r>
          <rPr>
            <b/>
            <sz val="9"/>
            <color indexed="81"/>
            <rFont val="Tahoma"/>
            <family val="2"/>
          </rPr>
          <t>01418624:</t>
        </r>
        <r>
          <rPr>
            <sz val="9"/>
            <color indexed="81"/>
            <rFont val="Tahoma"/>
            <family val="2"/>
          </rPr>
          <t xml:space="preserve">
The energy balance has 72313.6 TJ, which is 20 000 PJ lower than this value</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U15" authorId="0" shapeId="0" xr:uid="{57DCEE7C-43BE-49E5-85CF-6BD53B841577}">
      <text>
        <r>
          <rPr>
            <b/>
            <sz val="9"/>
            <color indexed="81"/>
            <rFont val="Tahoma"/>
            <family val="2"/>
          </rPr>
          <t>bruno merven:</t>
        </r>
        <r>
          <rPr>
            <sz val="9"/>
            <color indexed="81"/>
            <rFont val="Tahoma"/>
            <family val="2"/>
          </rPr>
          <t xml:space="preserve">
To be modelled via distribution losses</t>
        </r>
      </text>
    </comment>
    <comment ref="U16" authorId="0" shapeId="0" xr:uid="{43F42748-6D1E-4B36-8643-45627B830DF9}">
      <text>
        <r>
          <rPr>
            <b/>
            <sz val="9"/>
            <color indexed="81"/>
            <rFont val="Tahoma"/>
            <family val="2"/>
          </rPr>
          <t>bruno merven:</t>
        </r>
        <r>
          <rPr>
            <sz val="9"/>
            <color indexed="81"/>
            <rFont val="Tahoma"/>
            <family val="2"/>
          </rPr>
          <t xml:space="preserve">
To be modelled by an activity cost in R/GJ</t>
        </r>
      </text>
    </comment>
    <comment ref="AC106" authorId="0" shapeId="0" xr:uid="{5A04518A-864D-4078-B616-3590A69D20D0}">
      <text>
        <r>
          <rPr>
            <b/>
            <sz val="9"/>
            <color indexed="81"/>
            <rFont val="Tahoma"/>
            <family val="2"/>
          </rPr>
          <t>bruno merven:</t>
        </r>
        <r>
          <rPr>
            <sz val="9"/>
            <color indexed="81"/>
            <rFont val="Tahoma"/>
            <family val="2"/>
          </rPr>
          <t xml:space="preserve">
Gauteng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tc={081AF5F1-6968-4068-99D8-72B04889E4E0}</author>
    <author>tc={56967827-8576-4C43-9CE7-1996777969C9}</author>
  </authors>
  <commentList>
    <comment ref="CM94" authorId="0" shapeId="0" xr:uid="{081AF5F1-6968-4068-99D8-72B04889E4E0}">
      <text>
        <t>[Threaded comment]
Your version of Excel allows you to read this threaded comment; however, any edits to it will get removed if the file is opened in a newer version of Excel. Learn more: https://go.microsoft.com/fwlink/?linkid=870924
Comment:
    average of Jan and Feb 2021</t>
      </text>
    </comment>
    <comment ref="CK99" authorId="1" shapeId="0" xr:uid="{56967827-8576-4C43-9CE7-1996777969C9}">
      <text>
        <t>[Threaded comment]
Your version of Excel allows you to read this threaded comment; however, any edits to it will get removed if the file is opened in a newer version of Excel. Learn more: https://go.microsoft.com/fwlink/?linkid=870924
Comment:
    Note, we're using 2021 as proxy for 2020, which is an outlier for interpolation purposes.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Bruno Merven</author>
    <author>Mamahloko</author>
    <author>01418624</author>
    <author>bruno merven</author>
  </authors>
  <commentList>
    <comment ref="AL6" authorId="0" shapeId="0" xr:uid="{519A666A-AD5E-4AD1-BDD4-39D2E70C19BA}">
      <text>
        <r>
          <rPr>
            <b/>
            <sz val="8"/>
            <color indexed="81"/>
            <rFont val="Tahoma"/>
            <family val="2"/>
          </rPr>
          <t>Bruno Merven:</t>
        </r>
        <r>
          <rPr>
            <sz val="8"/>
            <color indexed="81"/>
            <rFont val="Tahoma"/>
            <family val="2"/>
          </rPr>
          <t xml:space="preserve">
Is preliminary from BRICS publication (sourced from SA Reserve bank)
http://www.stats.gov.cn/english/statisticaldata/otherdata/brics2011/P020110412518875184109.pdf
this was checked against data found on imf.org</t>
        </r>
      </text>
    </comment>
    <comment ref="AC40" authorId="1" shapeId="0" xr:uid="{8B122266-7CF6-464F-813B-FC7587FB835F}">
      <text>
        <r>
          <rPr>
            <b/>
            <sz val="8"/>
            <color indexed="81"/>
            <rFont val="Tahoma"/>
            <family val="2"/>
          </rPr>
          <t>Mamahloko:</t>
        </r>
        <r>
          <rPr>
            <sz val="8"/>
            <color indexed="81"/>
            <rFont val="Tahoma"/>
            <family val="2"/>
          </rPr>
          <t xml:space="preserve">
 CPI index as of July 2011</t>
        </r>
      </text>
    </comment>
    <comment ref="D48" authorId="2" shapeId="0" xr:uid="{88663C17-103B-435C-B9D5-1FA9C05EFF16}">
      <text>
        <r>
          <rPr>
            <b/>
            <sz val="9"/>
            <color indexed="81"/>
            <rFont val="Tahoma"/>
            <family val="2"/>
          </rPr>
          <t>01418624:</t>
        </r>
        <r>
          <rPr>
            <sz val="9"/>
            <color indexed="81"/>
            <rFont val="Tahoma"/>
            <family val="2"/>
          </rPr>
          <t xml:space="preserve">
equal demand +% of reserve margin</t>
        </r>
      </text>
    </comment>
    <comment ref="D52" authorId="2" shapeId="0" xr:uid="{8F398260-41C6-4E56-B060-6BD2FD588694}">
      <text>
        <r>
          <rPr>
            <b/>
            <sz val="9"/>
            <color indexed="81"/>
            <rFont val="Tahoma"/>
            <family val="2"/>
          </rPr>
          <t>01418624:</t>
        </r>
        <r>
          <rPr>
            <sz val="9"/>
            <color indexed="81"/>
            <rFont val="Tahoma"/>
            <family val="2"/>
          </rPr>
          <t xml:space="preserve">
the values were pasted from the respective sheets and should be updated when the need arises</t>
        </r>
      </text>
    </comment>
    <comment ref="A62" authorId="2" shapeId="0" xr:uid="{07BC9879-E431-4BE9-B22D-957477731F69}">
      <text>
        <r>
          <rPr>
            <b/>
            <sz val="9"/>
            <color indexed="81"/>
            <rFont val="Tahoma"/>
            <family val="2"/>
          </rPr>
          <t>01418624:</t>
        </r>
        <r>
          <rPr>
            <sz val="9"/>
            <color indexed="81"/>
            <rFont val="Tahoma"/>
            <family val="2"/>
          </rPr>
          <t xml:space="preserve">
This check uses Adrian's sheet: name is Copy of Petroleum Products consumption  Distribution Age estimate</t>
        </r>
      </text>
    </comment>
    <comment ref="C62" authorId="2" shapeId="0" xr:uid="{4971B971-3DFD-46B5-B70F-B916692F91E7}">
      <text>
        <r>
          <rPr>
            <b/>
            <sz val="9"/>
            <color indexed="81"/>
            <rFont val="Tahoma"/>
            <family val="2"/>
          </rPr>
          <t>01418624:</t>
        </r>
        <r>
          <rPr>
            <sz val="9"/>
            <color indexed="81"/>
            <rFont val="Tahoma"/>
            <family val="2"/>
          </rPr>
          <t xml:space="preserve">
11279 million litres
 value comes from Adrian's consumption sheet</t>
        </r>
      </text>
    </comment>
    <comment ref="C63" authorId="2" shapeId="0" xr:uid="{BD3A4748-5C8E-4535-80AA-1D0EB6DEFF0B}">
      <text>
        <r>
          <rPr>
            <b/>
            <sz val="9"/>
            <color indexed="81"/>
            <rFont val="Tahoma"/>
            <family val="2"/>
          </rPr>
          <t>01418624:</t>
        </r>
        <r>
          <rPr>
            <sz val="9"/>
            <color indexed="81"/>
            <rFont val="Tahoma"/>
            <family val="2"/>
          </rPr>
          <t xml:space="preserve">
8708 million litres value comes from Adrian's consumption sheet</t>
        </r>
      </text>
    </comment>
    <comment ref="D76" authorId="2" shapeId="0" xr:uid="{397853B1-D250-4E79-A4DC-6B30FD1DACFA}">
      <text>
        <r>
          <rPr>
            <b/>
            <sz val="9"/>
            <color indexed="81"/>
            <rFont val="Tahoma"/>
            <family val="2"/>
          </rPr>
          <t>01418624:</t>
        </r>
        <r>
          <rPr>
            <sz val="9"/>
            <color indexed="81"/>
            <rFont val="Tahoma"/>
            <family val="2"/>
          </rPr>
          <t xml:space="preserve">
Atlantis is where Eskom's Ankerlig power station is</t>
        </r>
      </text>
    </comment>
    <comment ref="I76" authorId="2" shapeId="0" xr:uid="{BFCFCA5E-3594-4008-9659-299FCC2DAE27}">
      <text>
        <r>
          <rPr>
            <b/>
            <sz val="9"/>
            <color indexed="81"/>
            <rFont val="Tahoma"/>
            <family val="2"/>
          </rPr>
          <t>01418624:</t>
        </r>
        <r>
          <rPr>
            <sz val="9"/>
            <color indexed="81"/>
            <rFont val="Tahoma"/>
            <family val="2"/>
          </rPr>
          <t xml:space="preserve">
remember to use 2013 exchange rate</t>
        </r>
      </text>
    </comment>
    <comment ref="I80" authorId="2" shapeId="0" xr:uid="{AD96A4B7-933F-420F-B366-FA88D451F799}">
      <text>
        <r>
          <rPr>
            <b/>
            <sz val="9"/>
            <color indexed="81"/>
            <rFont val="Tahoma"/>
            <family val="2"/>
          </rPr>
          <t>01418624:</t>
        </r>
        <r>
          <rPr>
            <sz val="9"/>
            <color indexed="81"/>
            <rFont val="Tahoma"/>
            <family val="2"/>
          </rPr>
          <t xml:space="preserve">
remember to use 2013 exrate</t>
        </r>
      </text>
    </comment>
    <comment ref="H87" authorId="2" shapeId="0" xr:uid="{89ACB558-F071-4332-8DAC-241392921C28}">
      <text>
        <r>
          <rPr>
            <b/>
            <sz val="9"/>
            <color indexed="81"/>
            <rFont val="Tahoma"/>
            <family val="2"/>
          </rPr>
          <t>01418624:</t>
        </r>
        <r>
          <rPr>
            <sz val="9"/>
            <color indexed="81"/>
            <rFont val="Tahoma"/>
            <family val="2"/>
          </rPr>
          <t xml:space="preserve">
5 % cheaper</t>
        </r>
      </text>
    </comment>
    <comment ref="G91" authorId="2" shapeId="0" xr:uid="{98019A50-BF37-4A73-ADD1-8B0492E4C81C}">
      <text>
        <r>
          <rPr>
            <b/>
            <sz val="9"/>
            <color indexed="81"/>
            <rFont val="Tahoma"/>
            <family val="2"/>
          </rPr>
          <t>01418624:</t>
        </r>
        <r>
          <rPr>
            <sz val="9"/>
            <color indexed="81"/>
            <rFont val="Tahoma"/>
            <family val="2"/>
          </rPr>
          <t xml:space="preserve">
based on Adrian's analysis</t>
        </r>
      </text>
    </comment>
    <comment ref="G92" authorId="2" shapeId="0" xr:uid="{2F830E9A-3B85-4D6A-A686-10ABC4080D6D}">
      <text>
        <r>
          <rPr>
            <b/>
            <sz val="9"/>
            <color indexed="81"/>
            <rFont val="Tahoma"/>
            <family val="2"/>
          </rPr>
          <t>01418624:</t>
        </r>
        <r>
          <rPr>
            <sz val="9"/>
            <color indexed="81"/>
            <rFont val="Tahoma"/>
            <family val="2"/>
          </rPr>
          <t xml:space="preserve">
Based on Adrian's analysis</t>
        </r>
      </text>
    </comment>
    <comment ref="G96" authorId="3" shapeId="0" xr:uid="{4995FE86-BEFF-49BE-9910-1F48AA639A7F}">
      <text>
        <r>
          <rPr>
            <b/>
            <sz val="9"/>
            <color indexed="81"/>
            <rFont val="Tahoma"/>
            <family val="2"/>
          </rPr>
          <t>bruno merven:</t>
        </r>
        <r>
          <rPr>
            <sz val="9"/>
            <color indexed="81"/>
            <rFont val="Tahoma"/>
            <family val="2"/>
          </rPr>
          <t xml:space="preserve">
Assumes to be connected directly to transmission.</t>
        </r>
      </text>
    </comment>
  </commentList>
</comments>
</file>

<file path=xl/sharedStrings.xml><?xml version="1.0" encoding="utf-8"?>
<sst xmlns="http://schemas.openxmlformats.org/spreadsheetml/2006/main" count="2642" uniqueCount="1105">
  <si>
    <t>Agriculture</t>
  </si>
  <si>
    <t>Industry</t>
  </si>
  <si>
    <t>Transport</t>
  </si>
  <si>
    <t>Residential</t>
  </si>
  <si>
    <t>Liquid Fuels</t>
  </si>
  <si>
    <t>AGR</t>
  </si>
  <si>
    <t>COM</t>
  </si>
  <si>
    <t>IND</t>
  </si>
  <si>
    <t>TRA</t>
  </si>
  <si>
    <t>RES</t>
  </si>
  <si>
    <t>PWR</t>
  </si>
  <si>
    <t>UPS</t>
  </si>
  <si>
    <t>Change History _ Fill this in when anything is changed in this workbook</t>
  </si>
  <si>
    <t>NB: Since the SATIM Methodology workbook is linked to some of the sheets in this workbook, make sure you get hold of the latest version and have it open if you are moving cells around, adding rows, column, etc… to linked sheets</t>
  </si>
  <si>
    <t>Change</t>
  </si>
  <si>
    <t>Date</t>
  </si>
  <si>
    <t>Modeller</t>
  </si>
  <si>
    <t>Coking Coal mapped to Industry Sector in Sheet("NameConv")</t>
  </si>
  <si>
    <t>Adrian</t>
  </si>
  <si>
    <t>Crude Oil (OCR) that is input to conventional refineries is no longer prefixed with "UPS". This is because the crude oil is not actually burned and we don't want to track CO2 emissions against its consumption as feedstock for refineries.</t>
  </si>
  <si>
    <t>Power Sector - PS Dummy Commodity - Existing' &amp; 'Power Sector - PS Dummy Commodity - New' removed from Sheet("NameConv")</t>
  </si>
  <si>
    <t>Sheet("ITEMS_Stech") and Sheet("ITEMS_Comm") now read directly from Sheet("NameConv")</t>
  </si>
  <si>
    <t>Hydrogen added to Fuels</t>
  </si>
  <si>
    <t>SMR, Coal Gas and Electrolysis techs fro Hydrogen Production added as Technologies</t>
  </si>
  <si>
    <t>5 Transformation technologies added to transform gas to hydrogen feedstock added. Initially these have zero cost and 100% efficiency</t>
  </si>
  <si>
    <t>Added missing EPE and EPN fuels for pump storage</t>
  </si>
  <si>
    <t>Bruno</t>
  </si>
  <si>
    <t>Fixed Emission Factors that were previously broken by mistake</t>
  </si>
  <si>
    <t>Added losses by sector - linked to TIMESLICES</t>
  </si>
  <si>
    <t>Fixed Broken link of natural gas for material use into CTL plants: GMM-&gt;GMS (GMM is for mossgas, GMS is the gas for material use from southern mozambique</t>
  </si>
  <si>
    <t>Fixed the total coal input for material use in CTL - was using wrong calorific value</t>
  </si>
  <si>
    <t>Added waste as industrial fuel with IPCC  municipal waste  EF (non biomass fraction)</t>
  </si>
  <si>
    <t>Fadiel</t>
  </si>
  <si>
    <t>In full sector/industry mode, xINDELC adjusted for zero infrastructure cost and 100% efficiency.</t>
  </si>
  <si>
    <r>
      <t xml:space="preserve">Added option for activating specific demand sectors  and linked to DMD_PRJ. </t>
    </r>
    <r>
      <rPr>
        <sz val="11"/>
        <color rgb="FFFF0000"/>
        <rFont val="Calibri"/>
        <family val="2"/>
        <scheme val="minor"/>
      </rPr>
      <t>A separate control worksheet is required which contains all switches and links to apropriate sheets</t>
    </r>
  </si>
  <si>
    <t>Revised 2006  GTL energy figures based on PetroSA annual reports. Energy inputs. Should production capacity be revised as well to reflect reduced poerating capacity?</t>
  </si>
  <si>
    <t>sometime in between</t>
  </si>
  <si>
    <t>Updated Liquid fuel prices and method of calculation have replaced the old fuel prices sheet with "liq fuels prices"</t>
  </si>
  <si>
    <t>Updated  gas consumption data for synfuels based on recent data provided by SASOL (Derek Bultitude)</t>
  </si>
  <si>
    <t>Edited product slate for exising and new GTL. Added ELC to new crude oil refineries based on existing refineries</t>
  </si>
  <si>
    <t>Removed upper bound on Import of coking coal to allow for demand to be met</t>
  </si>
  <si>
    <t>Added a conditional comment on UPS emissions as otherwise we would have double-counting. This could be done better.</t>
  </si>
  <si>
    <t>Changed composition of CTL for 2010 and 2015 to track history</t>
  </si>
  <si>
    <t>Increased Shale Gas annual upper constraint and added a cumulative limit, also added cumul limit to other gas supply options</t>
  </si>
  <si>
    <t>Reviewed the distribution cost of gas to industry - and commerce based on electricity</t>
  </si>
  <si>
    <t>Checked coal distribution costs and it seems to already be captured by the wholesale supply cost</t>
  </si>
  <si>
    <t>reduced minimum run on CTL and GTL plants</t>
  </si>
  <si>
    <t>added CBM as a supply of Gas</t>
  </si>
  <si>
    <t>added 2015 to SUP</t>
  </si>
  <si>
    <t>Changed price of S Moz - as previous price included distribution costs</t>
  </si>
  <si>
    <t>Decoupled Shale and CBM from oil</t>
  </si>
  <si>
    <t>Added the emissions tracking parameters at the end of the workbook</t>
  </si>
  <si>
    <t>Shifted the parameters of gas distribution to industry sub-sectors to TCH_IND workbook</t>
  </si>
  <si>
    <t>Took out the emissions on XSUP* as they are already linked to U* processes</t>
  </si>
  <si>
    <t>Some Changes made to efficiency of piplines linked to fugitive emissions and other small changes?</t>
  </si>
  <si>
    <t>Mamahloko</t>
  </si>
  <si>
    <t>Addded waste production</t>
  </si>
  <si>
    <t>Added Industry gasoline link</t>
  </si>
  <si>
    <t>Capped waste production to 100PJ/annum - this number should be checked</t>
  </si>
  <si>
    <t>Added a cost to distribution of hydrogen, which was missing (set it to 3 times the gas infrastructure cost)</t>
  </si>
  <si>
    <t>Added a time series on the upper limit of exports</t>
  </si>
  <si>
    <t>Changed the CTL Emissions to fugitive emissions</t>
  </si>
  <si>
    <t>Changed NCAP_ILED to -ve</t>
  </si>
  <si>
    <t>Reshaped ZZ techs: 1 extraction and 2 conversion (Elc - others)</t>
  </si>
  <si>
    <t>Changed from PRC_NOFF to NCAP_START (requires recent version of ANSWER-TIMES)</t>
  </si>
  <si>
    <t>Fixed TOP_OUT for CTLs for fugitive emissions</t>
  </si>
  <si>
    <t>Using COM_AGG instead of dummy techs for emissions accounting</t>
  </si>
  <si>
    <t>Replaced user constraints by NCAP_AFA(LO) for minimum utilisation</t>
  </si>
  <si>
    <t>Changed exchange rate to 8.2 based on analysis and Reserve Bank recommendation for IEP</t>
  </si>
  <si>
    <t>Added missing CO2SF and CH4SF to COM_AGG of CO2eqs</t>
  </si>
  <si>
    <t>Taken out emissions from UTR (methan rich gas conversion - not sure why it was there in the first place)</t>
  </si>
  <si>
    <t>Added WEO2014 oil, coal and gas prices for DDPP project</t>
  </si>
  <si>
    <t>Added a constraint on import of diesel and gasoline set to 25%</t>
  </si>
  <si>
    <t>Added distribution cost to kerosene and gas going to residential sector</t>
  </si>
  <si>
    <t>alison</t>
  </si>
  <si>
    <t>Added the CPI_1960-2013 index sheet  and Name References ( e.g. zar.2012) for TCH_XXX sheet monetary conversions</t>
  </si>
  <si>
    <t>fadiel</t>
  </si>
  <si>
    <t>1 - Added blended biothanol-petrol  (BGS)  commodity 
2- Add CF2  to TCH_SUP</t>
  </si>
  <si>
    <t>Added CO2SP process emissions commodity which is produced by industry</t>
  </si>
  <si>
    <t>23-01-2018</t>
  </si>
  <si>
    <t>Bryce</t>
  </si>
  <si>
    <t>Updated Sectorwise distribution losses to NERSA 2012. Removed double counted transmission system losses</t>
  </si>
  <si>
    <t>Gregory</t>
  </si>
  <si>
    <t>adjust new crude refinery  costs and capacity to  reported CEF ARAMCO data</t>
  </si>
  <si>
    <t xml:space="preserve"> CT transport updates</t>
  </si>
  <si>
    <t>add petrosa  updates to GTL production</t>
  </si>
  <si>
    <t>all over</t>
  </si>
  <si>
    <t>1- Adjust Refinery AFAs to better match SAPIA 2017 production volumes 
2- revise H2-electrolysis to 2019 IEA data</t>
  </si>
  <si>
    <t>NIR 2017 update</t>
  </si>
  <si>
    <t xml:space="preserve">1- Adjust CTL Refinery data  (AFAs and Process EFs) to better match SASOL data for  NIR 2017
</t>
  </si>
  <si>
    <t>Changed emission factors for INDCOK to zero</t>
  </si>
  <si>
    <t>2020/12/?</t>
  </si>
  <si>
    <t>Added Hydrogen to PWR in NameConv</t>
  </si>
  <si>
    <t>NetZero-SSN</t>
  </si>
  <si>
    <t>Changed UELEHGN from annual to daynight</t>
  </si>
  <si>
    <t>Updated oil price to WEO2020</t>
  </si>
  <si>
    <t>Updated coal prices - constant (looking at WEO2020)</t>
  </si>
  <si>
    <t>Retired Astron(Chevref) + Enref in 2020 and taken out the forced Aramco refinery.</t>
  </si>
  <si>
    <t>Added CO2SP to COMAGG for CO2S</t>
  </si>
  <si>
    <t>Added  centralised storage for compressed (CH2) HGN with @ 200-300 bar pressure (power turbine ready) from 30 bar supply with compression for transport (700 bar)</t>
  </si>
  <si>
    <t>Added new HGN commodities: UPSHGN</t>
  </si>
  <si>
    <t>Added new storage scenario (STORH2UTL) in SATIM to inlcude in TCHSUP (New comms and processes)</t>
  </si>
  <si>
    <r>
      <t>Effect changes to  TS_Ttech as lookups  for commodity groups appear broken.</t>
    </r>
    <r>
      <rPr>
        <b/>
        <sz val="11"/>
        <color rgb="FFFF0000"/>
        <rFont val="Calibri"/>
        <family val="2"/>
        <scheme val="minor"/>
      </rPr>
      <t xml:space="preserve"> UPS &amp; TS_Ttech  sheets needs a major revision as it breaks too easily.</t>
    </r>
  </si>
  <si>
    <t>Remapped topology for hydrogen production to new commodity (UPSHGN)</t>
  </si>
  <si>
    <t>Renamed water electrolysis to allow for multiple techs such as Alkaline {1,2,3} and Platinum based {1,2,3,}</t>
  </si>
  <si>
    <t>Change set memberships to DayNite for hydrogen commodities</t>
  </si>
  <si>
    <t>Additional TS &amp; TID sheets for XTRA (hydrogen techs) to inlcude ancillary storage and distribution parameters</t>
  </si>
  <si>
    <t>Modify formulae in ITEMS_Comm; ITEMS_CommX;ITEMS_Xtech to inlcude daynite option for non elc commodities such as HGN</t>
  </si>
  <si>
    <t>Start dates for large scale H2 from Coal and SMR changed to 2025</t>
  </si>
  <si>
    <t>Added Alkaline ELTS from IEA (2019) data and inlcuded ACT_UPS ramp rates as per Coal plant implementation. Ramp rates need a revisit.</t>
  </si>
  <si>
    <t>To fix XTRAHGN issue with Primary comm grp: Edit TS_Xtechs to remove ACT_EFF and replace with flo_eff in sheet "..TS..xtras"</t>
  </si>
  <si>
    <t>Add Aviation Synfuel sheets for inlcusion of H2+CO2 production route</t>
  </si>
  <si>
    <t>Adjust capex projections for electrolysers  to the average of IEA (2019) range  for PEM and Alk; with IEA's "longterm"  projection set to 2035 and 2050 values taken as the lower bound (with 20% higher margin)</t>
  </si>
  <si>
    <t>Add IEA H2 (2019) data to compare with Dodds (2012) for H2 "Other production" {i.e. Coal, SMR} Currently SATIM still used Dodds (2012) assuming local  costs are within the lower  bound  on account of SASOL experience</t>
  </si>
  <si>
    <t>Adjust capex projections for new  FT unit for synfuel production for a lower cost trajectory in line with the IEA (2019)-Annex data</t>
  </si>
  <si>
    <t>extra process emissions specific to cement and ferro-alloys{CO2SPIFC, CO2SPIFM,CO2SPCEM}  - this is needed for Carbon capture and storage [ITEMS_XFEmiss, TS Temiss]</t>
  </si>
  <si>
    <t>bruno</t>
  </si>
  <si>
    <t>Adjust capex projections for new  FT unit for synfuel production and H2 from ELT to match values in technical report; and transport hydrogen distribution costs [HGN-TSData xtras]</t>
  </si>
  <si>
    <t xml:space="preserve"> Post Covid-19 crude refinery capacity: Natref restarts in 2021; Astron Refinery restarts in 2022 [Crude Refineries; UPS]</t>
  </si>
  <si>
    <t>Removed deflator conversion from TS Stech</t>
  </si>
  <si>
    <t>Removal of superfluous name references</t>
  </si>
  <si>
    <t>Replaced CCU commodity INDCO2 with CO2CAPT</t>
  </si>
  <si>
    <t>Adjusted upper limits on imports of Gas and LPG</t>
  </si>
  <si>
    <t>Updated price for Biomass (linked to coal price for now - need to determine limits)</t>
  </si>
  <si>
    <t>Fixed NCAP_BND on coastal refineries</t>
  </si>
  <si>
    <t>Added Exception for TRAOKE emissions in TS_Xemiss</t>
  </si>
  <si>
    <t>Made some changes to FT to OKE (now OKG) process</t>
  </si>
  <si>
    <t xml:space="preserve">Future Work: </t>
  </si>
  <si>
    <t>Put Gas and Coal supply in a separate workbook</t>
  </si>
  <si>
    <t>Add region dimension to model</t>
  </si>
  <si>
    <t>PRC_RESID</t>
  </si>
  <si>
    <t>Life</t>
  </si>
  <si>
    <t>eps</t>
  </si>
  <si>
    <t>Naming Convention for SATIM</t>
  </si>
  <si>
    <t>Fuel Long</t>
  </si>
  <si>
    <t>Fuel Short</t>
  </si>
  <si>
    <t>CO2S</t>
  </si>
  <si>
    <t>CH4S</t>
  </si>
  <si>
    <t>N2OS</t>
  </si>
  <si>
    <t>SOXS</t>
  </si>
  <si>
    <t>NOXS</t>
  </si>
  <si>
    <t>CMOX</t>
  </si>
  <si>
    <t>NMVS</t>
  </si>
  <si>
    <t>P10S</t>
  </si>
  <si>
    <t>Biogas</t>
  </si>
  <si>
    <t>BIG</t>
  </si>
  <si>
    <t>Bioethanol</t>
  </si>
  <si>
    <t>BIE</t>
  </si>
  <si>
    <t>Biodiesel</t>
  </si>
  <si>
    <t>BID</t>
  </si>
  <si>
    <t>Biomass bagasse</t>
  </si>
  <si>
    <t>BIB</t>
  </si>
  <si>
    <t>Biomass Other</t>
  </si>
  <si>
    <t>BIO</t>
  </si>
  <si>
    <t>Biomass Wood</t>
  </si>
  <si>
    <t>BIW</t>
  </si>
  <si>
    <t>Coal</t>
  </si>
  <si>
    <t>COA</t>
  </si>
  <si>
    <t>Coal Coking</t>
  </si>
  <si>
    <t>COK</t>
  </si>
  <si>
    <t>Coal Discard</t>
  </si>
  <si>
    <t>CLD</t>
  </si>
  <si>
    <t>Coal low grade</t>
  </si>
  <si>
    <t>CLE</t>
  </si>
  <si>
    <t>Coal for plants in Botswana</t>
  </si>
  <si>
    <t>CRB</t>
  </si>
  <si>
    <t>Electricity</t>
  </si>
  <si>
    <t>ELC</t>
  </si>
  <si>
    <t>Electricity Upstream Transmission</t>
  </si>
  <si>
    <t>ELCC</t>
  </si>
  <si>
    <t>Gas South Africa</t>
  </si>
  <si>
    <t>GAS</t>
  </si>
  <si>
    <t>Gas Southern Mozambique</t>
  </si>
  <si>
    <t>GRS</t>
  </si>
  <si>
    <t>Gas Namibia</t>
  </si>
  <si>
    <t>GRN</t>
  </si>
  <si>
    <t>Gas Regional LNG</t>
  </si>
  <si>
    <t>GRL</t>
  </si>
  <si>
    <t>Gas International LNG</t>
  </si>
  <si>
    <t>GWL</t>
  </si>
  <si>
    <t>Gas Northern Mozambique</t>
  </si>
  <si>
    <t>GRM</t>
  </si>
  <si>
    <t>Gas Indigenous Ibhubezi</t>
  </si>
  <si>
    <t>GIB</t>
  </si>
  <si>
    <t>Gas Indigenous Shale</t>
  </si>
  <si>
    <t>GIH</t>
  </si>
  <si>
    <t>Coastal Gas</t>
  </si>
  <si>
    <t>GIC</t>
  </si>
  <si>
    <t>Gas Methane Rich</t>
  </si>
  <si>
    <t>GIM</t>
  </si>
  <si>
    <t>Heat-Steam</t>
  </si>
  <si>
    <t>HET</t>
  </si>
  <si>
    <t>Heat-Steam Existing</t>
  </si>
  <si>
    <t>HEE</t>
  </si>
  <si>
    <t>Heat-Steam New</t>
  </si>
  <si>
    <t>HEN</t>
  </si>
  <si>
    <t>Hydro</t>
  </si>
  <si>
    <t>HYD</t>
  </si>
  <si>
    <t>Hydrogen</t>
  </si>
  <si>
    <t>HGN</t>
  </si>
  <si>
    <t>Nuclear</t>
  </si>
  <si>
    <t>NUC</t>
  </si>
  <si>
    <t>Oil Av Gasoline</t>
  </si>
  <si>
    <t>OAG</t>
  </si>
  <si>
    <t>Oil Crude</t>
  </si>
  <si>
    <t>OCR</t>
  </si>
  <si>
    <t>Oil Diesel</t>
  </si>
  <si>
    <t>ODS</t>
  </si>
  <si>
    <t>Oil Gasoline</t>
  </si>
  <si>
    <t>OGS</t>
  </si>
  <si>
    <t>Oil HFO</t>
  </si>
  <si>
    <t>OHF</t>
  </si>
  <si>
    <t>Oil Kerosene</t>
  </si>
  <si>
    <t>OKE</t>
  </si>
  <si>
    <t>Oil LPG</t>
  </si>
  <si>
    <t>OLP</t>
  </si>
  <si>
    <t>Oil Other</t>
  </si>
  <si>
    <t>OTH</t>
  </si>
  <si>
    <t>Solar</t>
  </si>
  <si>
    <t>SOL</t>
  </si>
  <si>
    <t>Wind</t>
  </si>
  <si>
    <t>WND</t>
  </si>
  <si>
    <t>Waste</t>
  </si>
  <si>
    <t>WAS</t>
  </si>
  <si>
    <t>Total Fuels used</t>
  </si>
  <si>
    <t>Sector Short</t>
  </si>
  <si>
    <t>Sector Long</t>
  </si>
  <si>
    <t>Commerce</t>
  </si>
  <si>
    <t>Power</t>
  </si>
  <si>
    <t>Upstream</t>
  </si>
  <si>
    <t>Check codes for duplicates</t>
  </si>
  <si>
    <t>South Africa</t>
  </si>
  <si>
    <t>Base Year Energy Balance</t>
  </si>
  <si>
    <t>Indigenous Production, Imports and Exports</t>
  </si>
  <si>
    <t>Base-year final energy aggregated by sector fuel</t>
  </si>
  <si>
    <t>Fuel #</t>
  </si>
  <si>
    <t>Ressources</t>
  </si>
  <si>
    <t>Sectoral Fuel Names</t>
  </si>
  <si>
    <t>From Energy Balance:</t>
  </si>
  <si>
    <t>Indigenous Production</t>
  </si>
  <si>
    <t>PJ</t>
  </si>
  <si>
    <t>Imports</t>
  </si>
  <si>
    <t>Exports</t>
  </si>
  <si>
    <t>Base Commodities and Prices</t>
  </si>
  <si>
    <t>Exchange Rate (R/$)</t>
  </si>
  <si>
    <t>R/$</t>
  </si>
  <si>
    <t>Crude Oil ($/bbl Real)</t>
  </si>
  <si>
    <t>Oil Price Scenario</t>
  </si>
  <si>
    <t>Natural Gas</t>
  </si>
  <si>
    <t>$/mbtu</t>
  </si>
  <si>
    <t>Rand/ton</t>
  </si>
  <si>
    <t>From UNEP Uncertainty Analysis</t>
  </si>
  <si>
    <t>Oil Products Prices</t>
  </si>
  <si>
    <t xml:space="preserve"> </t>
  </si>
  <si>
    <t>R/GJ</t>
  </si>
  <si>
    <t>Basic Fuel Price</t>
  </si>
  <si>
    <t>From Elicitation from Darryl in June 2014</t>
  </si>
  <si>
    <t>Unconventional</t>
  </si>
  <si>
    <t>SADC imports</t>
  </si>
  <si>
    <t>ROW imports</t>
  </si>
  <si>
    <t>Prices at the pump (except for power sector)</t>
  </si>
  <si>
    <t>Shale</t>
  </si>
  <si>
    <t>CBM</t>
  </si>
  <si>
    <t>Conventional</t>
  </si>
  <si>
    <t>Pipeline</t>
  </si>
  <si>
    <t>LNGT</t>
  </si>
  <si>
    <t>FSRU</t>
  </si>
  <si>
    <t>Commodity price</t>
  </si>
  <si>
    <t>6-8</t>
  </si>
  <si>
    <t>7-10</t>
  </si>
  <si>
    <t>7-14</t>
  </si>
  <si>
    <t>3-8</t>
  </si>
  <si>
    <t>10-16</t>
  </si>
  <si>
    <t>12-16</t>
  </si>
  <si>
    <t>Shipping costs</t>
  </si>
  <si>
    <t>0</t>
  </si>
  <si>
    <t>0.5</t>
  </si>
  <si>
    <t>1.5</t>
  </si>
  <si>
    <t>Infrastructure costs</t>
  </si>
  <si>
    <t>1-3</t>
  </si>
  <si>
    <t>3-5</t>
  </si>
  <si>
    <t>1-4</t>
  </si>
  <si>
    <t>0.5-2</t>
  </si>
  <si>
    <t>0.5-3.5</t>
  </si>
  <si>
    <t>Price into market</t>
  </si>
  <si>
    <t>7-11</t>
  </si>
  <si>
    <t>10-15</t>
  </si>
  <si>
    <t>8-18</t>
  </si>
  <si>
    <t>6-16</t>
  </si>
  <si>
    <t>11-18.5</t>
  </si>
  <si>
    <t>11-20</t>
  </si>
  <si>
    <t>14-19.5</t>
  </si>
  <si>
    <t>14-21</t>
  </si>
  <si>
    <t>Gas Price Index Scenario</t>
  </si>
  <si>
    <t>Gas Index Scenarios</t>
  </si>
  <si>
    <t>GAS Prices</t>
  </si>
  <si>
    <t>UNEP avg</t>
  </si>
  <si>
    <t>Coupled to Oil?</t>
  </si>
  <si>
    <t>Dyn L</t>
  </si>
  <si>
    <t>Dyn M</t>
  </si>
  <si>
    <t>Dyn H</t>
  </si>
  <si>
    <t>Gas Indigenous Coal Bed Methane</t>
  </si>
  <si>
    <t>From DDPP Analysis</t>
  </si>
  <si>
    <t>Scenario</t>
  </si>
  <si>
    <t>IEA crude oil import price</t>
  </si>
  <si>
    <t>6DS</t>
  </si>
  <si>
    <t>SUP Prefixes</t>
  </si>
  <si>
    <t>Code</t>
  </si>
  <si>
    <t>Types</t>
  </si>
  <si>
    <t>(2010 US$/bbl)</t>
  </si>
  <si>
    <t>2DS</t>
  </si>
  <si>
    <t>MIN</t>
  </si>
  <si>
    <t>OP</t>
  </si>
  <si>
    <t>UG</t>
  </si>
  <si>
    <t>SH</t>
  </si>
  <si>
    <t>CB</t>
  </si>
  <si>
    <t>OECD steam coal import price</t>
  </si>
  <si>
    <t>IMP</t>
  </si>
  <si>
    <t>(2010 US$/ton)</t>
  </si>
  <si>
    <t>EXP</t>
  </si>
  <si>
    <t>US import price</t>
  </si>
  <si>
    <t>Regional production of primary energy</t>
  </si>
  <si>
    <t>MIR</t>
  </si>
  <si>
    <t>(2010 US$/Mbtu)</t>
  </si>
  <si>
    <t>Elc Upstream Commodities</t>
  </si>
  <si>
    <t>EU import price</t>
  </si>
  <si>
    <t>Electricity upstream of Transmission</t>
  </si>
  <si>
    <t>weighting</t>
  </si>
  <si>
    <t>Electricity downstream of Transmission</t>
  </si>
  <si>
    <t>~</t>
  </si>
  <si>
    <t>Japan import price</t>
  </si>
  <si>
    <t>Conversion Factor</t>
  </si>
  <si>
    <t>Fuel Supply: Imports/Extraction</t>
  </si>
  <si>
    <t>~FI_T</t>
  </si>
  <si>
    <t>TechDesc</t>
  </si>
  <si>
    <t>TechName</t>
  </si>
  <si>
    <t>Comm-IN</t>
  </si>
  <si>
    <t>Comm-Out</t>
  </si>
  <si>
    <t>START</t>
  </si>
  <si>
    <t>CUM</t>
  </si>
  <si>
    <t>Source</t>
  </si>
  <si>
    <t>Source Limits</t>
  </si>
  <si>
    <t>4ds</t>
  </si>
  <si>
    <t>*Technology Description</t>
  </si>
  <si>
    <t>Technology Name</t>
  </si>
  <si>
    <t>Input Commodity</t>
  </si>
  <si>
    <t>Output</t>
  </si>
  <si>
    <t>*Units</t>
  </si>
  <si>
    <t>* Indegenous Production of Primary Energy - Fossil</t>
  </si>
  <si>
    <t>Extraction of Gas Indigenous Coal Bed Methane</t>
  </si>
  <si>
    <t>* Indegenous Production of Primary Energy - Renewable</t>
  </si>
  <si>
    <t>* Imports</t>
  </si>
  <si>
    <t>EPRI 2017</t>
  </si>
  <si>
    <t>* Regional Production of Primary Energy</t>
  </si>
  <si>
    <t>* Exports</t>
  </si>
  <si>
    <t>*</t>
  </si>
  <si>
    <t>http://www.energy.gov.za/files/media/explained/energy_price_report2010.PDF</t>
  </si>
  <si>
    <t>Methane</t>
  </si>
  <si>
    <t>ANNUAL</t>
  </si>
  <si>
    <t>Comm-OUT</t>
  </si>
  <si>
    <t>Table 1: Summary from DEA (2014)</t>
  </si>
  <si>
    <t>1 PJ  CH4 burned =</t>
  </si>
  <si>
    <t>kt CO2 (carbon)</t>
  </si>
  <si>
    <t>Conversion Factors</t>
  </si>
  <si>
    <t>Original source</t>
  </si>
  <si>
    <t>Cited in</t>
  </si>
  <si>
    <t>GHG emissions estimates for Stages i - iii  as defoned by DoE (2014)                           (gCO2e per MJ)</t>
  </si>
  <si>
    <t>Total  shale gas life cycle GHG emissions (100 year time scale)                                                        (gCO2e per MJ)</t>
  </si>
  <si>
    <t>1 PJ  CH4 released =</t>
  </si>
  <si>
    <t>kt CH4</t>
  </si>
  <si>
    <t xml:space="preserve">1 Gg CH4 = </t>
  </si>
  <si>
    <t>CH4</t>
  </si>
  <si>
    <t>CO2</t>
  </si>
  <si>
    <t>1 Tg =</t>
  </si>
  <si>
    <t>Bcf</t>
  </si>
  <si>
    <t>Low</t>
  </si>
  <si>
    <t>High</t>
  </si>
  <si>
    <t>Average*</t>
  </si>
  <si>
    <r>
      <rPr>
        <b/>
        <u/>
        <sz val="11"/>
        <color theme="1"/>
        <rFont val="Calibri"/>
        <family val="2"/>
        <scheme val="minor"/>
      </rPr>
      <t>Notes :</t>
    </r>
    <r>
      <rPr>
        <sz val="11"/>
        <color theme="1"/>
        <rFont val="Calibri"/>
        <family val="2"/>
        <scheme val="minor"/>
      </rPr>
      <t xml:space="preserve"> </t>
    </r>
  </si>
  <si>
    <t/>
  </si>
  <si>
    <t>caters for leakage</t>
  </si>
  <si>
    <t>Scenario Matrix for emissions</t>
  </si>
  <si>
    <t>Vent</t>
  </si>
  <si>
    <t>Flare</t>
  </si>
  <si>
    <t>Capture</t>
  </si>
  <si>
    <t>1 Bcf =</t>
  </si>
  <si>
    <t>Stephenson et al. (2011)</t>
  </si>
  <si>
    <t>DEA (2014)</t>
  </si>
  <si>
    <t>1. * own calculation</t>
  </si>
  <si>
    <t>Efficiency</t>
  </si>
  <si>
    <t>100% Venting</t>
  </si>
  <si>
    <t>MMTCE</t>
  </si>
  <si>
    <t>Jiang et al. ( 2011)</t>
  </si>
  <si>
    <t xml:space="preserve">2. The five stages of natural gas life cycle as defined by DoE (2014): </t>
  </si>
  <si>
    <t>50% Venting, 50% Flaring</t>
  </si>
  <si>
    <t>1 MMT MSW =</t>
  </si>
  <si>
    <t>Skone et al. (2011)</t>
  </si>
  <si>
    <t xml:space="preserve">i) Material acquisition and pre-production </t>
  </si>
  <si>
    <t>Distribution</t>
  </si>
  <si>
    <t>90 Capture, 10% Flare</t>
  </si>
  <si>
    <t>1 m3 CH4 =</t>
  </si>
  <si>
    <t>MJ</t>
  </si>
  <si>
    <t>Weber and Calvin (2012)</t>
  </si>
  <si>
    <t>ii) Production</t>
  </si>
  <si>
    <t xml:space="preserve">Transmission </t>
  </si>
  <si>
    <t>100% Capture</t>
  </si>
  <si>
    <t>1 $/TCE =</t>
  </si>
  <si>
    <t>m$/PJ</t>
  </si>
  <si>
    <t>Howarth et al. (2011)</t>
  </si>
  <si>
    <t>iii) Storage and distribution</t>
  </si>
  <si>
    <t>1 kg CH4 =</t>
  </si>
  <si>
    <t>kg CO2 eq.</t>
  </si>
  <si>
    <t xml:space="preserve">Burnham et al. (2011) </t>
  </si>
  <si>
    <t>iv) Use</t>
  </si>
  <si>
    <t>Gas Processing</t>
  </si>
  <si>
    <t>Model Monetary Units</t>
  </si>
  <si>
    <t>1995$US M</t>
  </si>
  <si>
    <t>NETL (2011)</t>
  </si>
  <si>
    <t>v) End of life</t>
  </si>
  <si>
    <t>1 short ton coal =</t>
  </si>
  <si>
    <t>Million Btu</t>
  </si>
  <si>
    <t>AEA (2012)</t>
  </si>
  <si>
    <t xml:space="preserve">3. Studies differ in the methods they use and the stages they consider, and thus give different totals for Stages i) to iii). Table 2 highlights the stage considered by different studies. </t>
  </si>
  <si>
    <t>1 million short ton coal =</t>
  </si>
  <si>
    <t>ft3 CH4/short ton coal =</t>
  </si>
  <si>
    <t>kt/PJ</t>
  </si>
  <si>
    <t>kg CH4</t>
  </si>
  <si>
    <t>Transmission</t>
  </si>
  <si>
    <t>1 GW =</t>
  </si>
  <si>
    <t>PJa</t>
  </si>
  <si>
    <t>M$/PJ(lfg) =</t>
  </si>
  <si>
    <t>M$/PJ(msw)</t>
  </si>
  <si>
    <t>1 million barrels oil =</t>
  </si>
  <si>
    <t>Emission Factors</t>
  </si>
  <si>
    <t>1 PJ MSW burned =</t>
  </si>
  <si>
    <t>mt CO2 (carbon)</t>
  </si>
  <si>
    <t>1 kt CH4 burned =</t>
  </si>
  <si>
    <t>Natural Gas Lifecycle Stages</t>
  </si>
  <si>
    <t>Source:</t>
  </si>
  <si>
    <t>LOW</t>
  </si>
  <si>
    <t>HIGH</t>
  </si>
  <si>
    <t>0% Venting, 0% Flaring</t>
  </si>
  <si>
    <t>Table 2: Summary from Cohen (2014)</t>
  </si>
  <si>
    <t>gCO2e per MJ</t>
  </si>
  <si>
    <t xml:space="preserve">CH4 emissions </t>
  </si>
  <si>
    <t xml:space="preserve">CO2 emissions </t>
  </si>
  <si>
    <t>gCO2eper MJ</t>
  </si>
  <si>
    <t>Units</t>
  </si>
  <si>
    <t>gCH4/MJ</t>
  </si>
  <si>
    <t>gCO2/MJ</t>
  </si>
  <si>
    <t>kton/PJ</t>
  </si>
  <si>
    <t>Breakdown of stages</t>
  </si>
  <si>
    <t>Well completion</t>
  </si>
  <si>
    <t>For a proper accounting, We must know % of emissions that come from operations such as movement of trucks, compressor station and etc so that we can subtract them</t>
  </si>
  <si>
    <t>Jiang et al. (2011)</t>
  </si>
  <si>
    <t>to high ignored</t>
  </si>
  <si>
    <t>Lechtenbohmer et al. (2005)</t>
  </si>
  <si>
    <t>Broderick et al. (2011)</t>
  </si>
  <si>
    <t>Venting, equipment leaks and gas processing</t>
  </si>
  <si>
    <t>Liquid unloading</t>
  </si>
  <si>
    <t>No estimates available</t>
  </si>
  <si>
    <t>Transport, storage and distribution</t>
  </si>
  <si>
    <t>All of the above factors include CO2 related emissions, during venting, flaring and leaks</t>
  </si>
  <si>
    <t>From DEA, 2014 Shale Emissions Report</t>
  </si>
  <si>
    <t>Shale is composed of these gases</t>
  </si>
  <si>
    <t>IPCC 2006</t>
  </si>
  <si>
    <t>g Co2 per MJ</t>
  </si>
  <si>
    <t>Gg/PJ</t>
  </si>
  <si>
    <t>Ch4</t>
  </si>
  <si>
    <t>Natural gas</t>
  </si>
  <si>
    <t>Carbon Dioxide</t>
  </si>
  <si>
    <t>Heating oil</t>
  </si>
  <si>
    <t>Oxygen</t>
  </si>
  <si>
    <t>O2</t>
  </si>
  <si>
    <t>Petrol</t>
  </si>
  <si>
    <t>Nitrogen</t>
  </si>
  <si>
    <t>N2</t>
  </si>
  <si>
    <t>Diesel</t>
  </si>
  <si>
    <t>Hydrogen Sulphide</t>
  </si>
  <si>
    <t>H2S</t>
  </si>
  <si>
    <t>LPG</t>
  </si>
  <si>
    <t>Ethane</t>
  </si>
  <si>
    <t>C2H6</t>
  </si>
  <si>
    <t>Propane</t>
  </si>
  <si>
    <t>C3H8</t>
  </si>
  <si>
    <t xml:space="preserve">96% of fugitive emissions from natural gas productio to a point of use is in the form of methane. </t>
  </si>
  <si>
    <t>Coal Fugitive Emissions</t>
  </si>
  <si>
    <t xml:space="preserve">According to Natural Gas Conversion Pocketbook from IGU: </t>
  </si>
  <si>
    <t xml:space="preserve">1 tonne  of NG= </t>
  </si>
  <si>
    <t>Nm3</t>
  </si>
  <si>
    <t xml:space="preserve">0.77 m3 CH4 = </t>
  </si>
  <si>
    <t>kg CH4 per tonne</t>
  </si>
  <si>
    <t>kt CH4/tonne</t>
  </si>
  <si>
    <t xml:space="preserve">According to SA GHG Inventory 2000 - 2010, coal has a colorific value of 0.0243 TJ/tonne. </t>
  </si>
  <si>
    <t>GJ</t>
  </si>
  <si>
    <t>Mining Activities (GHG Inventory 2000 - 2010), DEA, 2013)</t>
  </si>
  <si>
    <t>Year</t>
  </si>
  <si>
    <t xml:space="preserve">Open Cast </t>
  </si>
  <si>
    <t>Underground</t>
  </si>
  <si>
    <t>Proportion</t>
  </si>
  <si>
    <t>GHG Inventory for South Africa (1990 – 2010) [Jongi]</t>
  </si>
  <si>
    <t>1B1a Coal Mining and Handling [1B1a]</t>
  </si>
  <si>
    <t>Table 14: Comparison of country-specific and IPCC default emission factors for coal mining</t>
  </si>
  <si>
    <t>pg76</t>
  </si>
  <si>
    <t>Mining method</t>
  </si>
  <si>
    <t>Activity</t>
  </si>
  <si>
    <t>Greenhouse Gas</t>
  </si>
  <si>
    <r>
      <t>Emission Factor (South Africa specific) – m</t>
    </r>
    <r>
      <rPr>
        <b/>
        <vertAlign val="superscript"/>
        <sz val="8"/>
        <color rgb="FFFFFFFF"/>
        <rFont val="Calibri"/>
        <family val="2"/>
        <scheme val="minor"/>
      </rPr>
      <t>3</t>
    </r>
    <r>
      <rPr>
        <b/>
        <sz val="8"/>
        <color rgb="FFFFFFFF"/>
        <rFont val="Calibri"/>
        <family val="2"/>
        <scheme val="minor"/>
      </rPr>
      <t>/Tonne</t>
    </r>
  </si>
  <si>
    <r>
      <t>2006 IPCC default (m</t>
    </r>
    <r>
      <rPr>
        <b/>
        <vertAlign val="superscript"/>
        <sz val="8"/>
        <color rgb="FFFFFFFF"/>
        <rFont val="Calibri"/>
        <family val="2"/>
        <scheme val="minor"/>
      </rPr>
      <t>3</t>
    </r>
    <r>
      <rPr>
        <b/>
        <sz val="8"/>
        <color rgb="FFFFFFFF"/>
        <rFont val="Calibri"/>
        <family val="2"/>
        <scheme val="minor"/>
      </rPr>
      <t>/Tonne)</t>
    </r>
  </si>
  <si>
    <t>Underground Mining</t>
  </si>
  <si>
    <t>Coal Mining</t>
  </si>
  <si>
    <r>
      <t>CH</t>
    </r>
    <r>
      <rPr>
        <vertAlign val="subscript"/>
        <sz val="10"/>
        <color theme="1"/>
        <rFont val="Calibri"/>
        <family val="2"/>
        <scheme val="minor"/>
      </rPr>
      <t>4</t>
    </r>
  </si>
  <si>
    <t>Post-mining (handling and transport)</t>
  </si>
  <si>
    <t>Surface Mining</t>
  </si>
  <si>
    <t>Coal mining</t>
  </si>
  <si>
    <t>Post-mining (storage and transport)</t>
  </si>
  <si>
    <r>
      <t>CO</t>
    </r>
    <r>
      <rPr>
        <vertAlign val="subscript"/>
        <sz val="10"/>
        <color theme="1"/>
        <rFont val="Calibri"/>
        <family val="2"/>
        <scheme val="minor"/>
      </rPr>
      <t>2</t>
    </r>
  </si>
  <si>
    <t>NA</t>
  </si>
  <si>
    <t>The major source of uncertainty in this category is activity data on coal production statistics</t>
  </si>
  <si>
    <t>GHG Inventory for South Africa (2017)</t>
  </si>
  <si>
    <t>Table 13: Coal mining activity data for the period 2000 to 2010 (tonnes)</t>
  </si>
  <si>
    <t>Fugitive emissions from coal mining</t>
  </si>
  <si>
    <t>Period</t>
  </si>
  <si>
    <t>Opencast (tons)</t>
  </si>
  <si>
    <t>Underground (tons)</t>
  </si>
  <si>
    <t>Opencast (%)</t>
  </si>
  <si>
    <t>Underground (%)</t>
  </si>
  <si>
    <t>Total (tonnes)</t>
  </si>
  <si>
    <t>% year growth</t>
  </si>
  <si>
    <t>CO2 (Gg)</t>
  </si>
  <si>
    <t>CH4 (CO2 eq Gg)</t>
  </si>
  <si>
    <t>Total CO2 eq (Gg)</t>
  </si>
  <si>
    <t>CH4 (Gg)</t>
  </si>
  <si>
    <t>CO2 (Gg/tonne)</t>
  </si>
  <si>
    <t>CO2 (kt/PJ)</t>
  </si>
  <si>
    <t>CH4 (kt/PJ)</t>
  </si>
  <si>
    <t>CH4 (m3/tonne)</t>
  </si>
  <si>
    <t>CRF Category</t>
  </si>
  <si>
    <t xml:space="preserve">Activity </t>
  </si>
  <si>
    <t>Gas</t>
  </si>
  <si>
    <t>Unit</t>
  </si>
  <si>
    <t>n/a</t>
  </si>
  <si>
    <t>1B1ai1 Mining, 1B1ai2 Post-Mining (Underground)</t>
  </si>
  <si>
    <t>Amount of coal produced</t>
  </si>
  <si>
    <t>Tonnes</t>
  </si>
  <si>
    <t>1B1aii1 Mining, 1B1aii2 Post-Mining (Surface)</t>
  </si>
  <si>
    <t>Total</t>
  </si>
  <si>
    <t>Mton</t>
  </si>
  <si>
    <t>1B1ai1 Mining (Underground)</t>
  </si>
  <si>
    <t>Emissions of CO2</t>
  </si>
  <si>
    <t>Gg CO2</t>
  </si>
  <si>
    <t>1B1ai2 Post-Mining (Underground)</t>
  </si>
  <si>
    <t>Emissions of CH4</t>
  </si>
  <si>
    <t>Gg CH4</t>
  </si>
  <si>
    <t>Total CO2</t>
  </si>
  <si>
    <t>Kton</t>
  </si>
  <si>
    <t>Total CH4</t>
  </si>
  <si>
    <r>
      <t xml:space="preserve">p75: </t>
    </r>
    <r>
      <rPr>
        <i/>
        <sz val="11"/>
        <color theme="1"/>
        <rFont val="Calibri"/>
        <family val="2"/>
        <scheme val="minor"/>
      </rPr>
      <t>Split on coal production by mining-type, 53% surface mining and 47% underground mining, was based on the South Africa’s Mineral Industry (SAMI) report for 2008</t>
    </r>
  </si>
  <si>
    <t>kton/Mton</t>
  </si>
  <si>
    <t>Venting and Flaring</t>
  </si>
  <si>
    <t>Gg CO2 eq</t>
  </si>
  <si>
    <t>kt CO2 eq</t>
  </si>
  <si>
    <t xml:space="preserve"> CO2 (kt/annum)</t>
  </si>
  <si>
    <t>CH4 (TJ)</t>
  </si>
  <si>
    <t>CH4 (PJ)</t>
  </si>
  <si>
    <t>CO2 eq/PJ</t>
  </si>
  <si>
    <t>CH4 (kt CO2 eq)</t>
  </si>
  <si>
    <t>CH4(kt/PJ)</t>
  </si>
  <si>
    <t>Percentage of emissions vs production</t>
  </si>
  <si>
    <t>MINCLE</t>
  </si>
  <si>
    <t>CV</t>
  </si>
  <si>
    <t>PJ/Mton</t>
  </si>
  <si>
    <t>MINCOA</t>
  </si>
  <si>
    <t xml:space="preserve">Total GHG emissions from venting and flaring </t>
  </si>
  <si>
    <t>Emissions Aggregation - CO2eq</t>
  </si>
  <si>
    <t>~COMAGG</t>
  </si>
  <si>
    <t>CommName</t>
  </si>
  <si>
    <t>CF4</t>
  </si>
  <si>
    <t>CF6</t>
  </si>
  <si>
    <t>CO2EQS</t>
  </si>
  <si>
    <t>Combustion</t>
  </si>
  <si>
    <t>Fugitive</t>
  </si>
  <si>
    <t>Process</t>
  </si>
  <si>
    <t>CO2SF</t>
  </si>
  <si>
    <t>CO2SP</t>
  </si>
  <si>
    <t>CO2SPIFC</t>
  </si>
  <si>
    <t>CO2SPIFM</t>
  </si>
  <si>
    <t>CO2SPCEM</t>
  </si>
  <si>
    <t>CH4SF</t>
  </si>
  <si>
    <t>Fuel Supply to Sectors</t>
  </si>
  <si>
    <t>Need to link to EB</t>
  </si>
  <si>
    <t>~FI_Comm</t>
  </si>
  <si>
    <t>~FI_Process</t>
  </si>
  <si>
    <t>Region</t>
  </si>
  <si>
    <t>EFF</t>
  </si>
  <si>
    <t>INVCOST</t>
  </si>
  <si>
    <t>CAPACT</t>
  </si>
  <si>
    <t>Sector</t>
  </si>
  <si>
    <t>Fuel</t>
  </si>
  <si>
    <t>CommDesc</t>
  </si>
  <si>
    <t>CommUnit</t>
  </si>
  <si>
    <t>Csets</t>
  </si>
  <si>
    <t>CTSLvl</t>
  </si>
  <si>
    <t>Tact</t>
  </si>
  <si>
    <t>Tcap</t>
  </si>
  <si>
    <t>Tslvl</t>
  </si>
  <si>
    <t>Sets</t>
  </si>
  <si>
    <t>R/GJa</t>
  </si>
  <si>
    <t>PRE</t>
  </si>
  <si>
    <t>DAYNITE</t>
  </si>
  <si>
    <t>Check Date</t>
  </si>
  <si>
    <t>2015 check</t>
  </si>
  <si>
    <t>model</t>
  </si>
  <si>
    <t>Check</t>
  </si>
  <si>
    <t>Check input</t>
  </si>
  <si>
    <t>Oil price</t>
  </si>
  <si>
    <t>R/bbl</t>
  </si>
  <si>
    <t>Crude Price (R/bbl) to BFP (c/l) Model</t>
  </si>
  <si>
    <t>$/bbl</t>
  </si>
  <si>
    <t>petrol</t>
  </si>
  <si>
    <t>Model Inputs for Import Prices - BFP (R/GJ)</t>
  </si>
  <si>
    <t>Calorific Values</t>
  </si>
  <si>
    <t>Checks for price paid by Eskom for Diesel</t>
  </si>
  <si>
    <t>LHV</t>
  </si>
  <si>
    <t>density</t>
  </si>
  <si>
    <t>Paraffin</t>
  </si>
  <si>
    <t>Crude</t>
  </si>
  <si>
    <t>Crude Oil</t>
  </si>
  <si>
    <t>GJ/ton</t>
  </si>
  <si>
    <t>Litre</t>
  </si>
  <si>
    <t>MJ/l</t>
  </si>
  <si>
    <t>kg/l</t>
  </si>
  <si>
    <t>GJ/bbl</t>
  </si>
  <si>
    <t>Reg.Coeff</t>
  </si>
  <si>
    <t>Multiplier</t>
  </si>
  <si>
    <t>IRP 2010 price of Diesel</t>
  </si>
  <si>
    <t>standard error</t>
  </si>
  <si>
    <t>Offset</t>
  </si>
  <si>
    <t>c/l</t>
  </si>
  <si>
    <t>R square</t>
  </si>
  <si>
    <t>Check 2 (c/l)</t>
  </si>
  <si>
    <t>Crude Price (R/bbl) to Pump Price (c/l) Model</t>
  </si>
  <si>
    <t>Comparison (c/l)</t>
  </si>
  <si>
    <t>MJ/kg</t>
  </si>
  <si>
    <t>http://www.politicsweb.co.za/politicsweb/view/politicsweb/en/page71654?oid=290797&amp;sn=Detail&amp;pid=71654</t>
  </si>
  <si>
    <t>Average Generation cost of OCGT's in August 2011-feb 2012</t>
  </si>
  <si>
    <t>c/kWh</t>
  </si>
  <si>
    <t>Model Inputs for Sector (except power) Prices (R/GJ)</t>
  </si>
  <si>
    <t>Other Unit Conversions</t>
  </si>
  <si>
    <t>Litres consumed</t>
  </si>
  <si>
    <t>mlitres</t>
  </si>
  <si>
    <t>litres in a bbl</t>
  </si>
  <si>
    <t>l/bbl</t>
  </si>
  <si>
    <t>Electricity produced</t>
  </si>
  <si>
    <t>GWh</t>
  </si>
  <si>
    <t>litres in a ton of crude oil</t>
  </si>
  <si>
    <t>l/ton</t>
  </si>
  <si>
    <t>l/kWh</t>
  </si>
  <si>
    <t>BFP (c/l) to Pump Price (c/l) Model</t>
  </si>
  <si>
    <t>Cost per litre</t>
  </si>
  <si>
    <t>Average basic price of diesel (same period)</t>
  </si>
  <si>
    <t>Average pump price of diesel</t>
  </si>
  <si>
    <t>Basic Fuel Price (BFP) Data</t>
  </si>
  <si>
    <t>Actual Pump Price Data</t>
  </si>
  <si>
    <t>Raw Data From DOE website</t>
  </si>
  <si>
    <t>Raw Data from same DOE website</t>
  </si>
  <si>
    <t>Pump Price</t>
  </si>
  <si>
    <t>http://www.energy.gov.za/files/petroleum_frame.html</t>
  </si>
  <si>
    <t>-&gt; Petrol Price Archive</t>
  </si>
  <si>
    <t>Averages</t>
  </si>
  <si>
    <t>Model Check on crude oil</t>
  </si>
  <si>
    <t>Model Check on Crude Oil</t>
  </si>
  <si>
    <t>Model check on basic price</t>
  </si>
  <si>
    <t>Petrol 93 Unleaded</t>
  </si>
  <si>
    <t>Petrol 95 Unleaded</t>
  </si>
  <si>
    <t xml:space="preserve">Diesel 0.05% Sulphur </t>
  </si>
  <si>
    <t>Diesel 0.005% sulphur</t>
  </si>
  <si>
    <t>Illum Paraffin</t>
  </si>
  <si>
    <t>Exchange Rate Rands/US$</t>
  </si>
  <si>
    <t>Average Dated Brent Crude</t>
  </si>
  <si>
    <t>Crude in Rands</t>
  </si>
  <si>
    <t>Average Petrol</t>
  </si>
  <si>
    <t>average diesel</t>
  </si>
  <si>
    <t>Crude Price Model Petrol</t>
  </si>
  <si>
    <t>Crude Price Model Diesel</t>
  </si>
  <si>
    <t>Crude Price Model Paraffin</t>
  </si>
  <si>
    <t>Crude Price Model LPG</t>
  </si>
  <si>
    <t>Inland 93</t>
  </si>
  <si>
    <t>Coast 95</t>
  </si>
  <si>
    <t>Reef</t>
  </si>
  <si>
    <t>Coast</t>
  </si>
  <si>
    <t>Average Diesel</t>
  </si>
  <si>
    <t>Average Paraffin</t>
  </si>
  <si>
    <t>Average LPG</t>
  </si>
  <si>
    <t>BFP Model Petrol</t>
  </si>
  <si>
    <t>BFP Model Diesel</t>
  </si>
  <si>
    <t>BFP Model Paraffin</t>
  </si>
  <si>
    <t>BFP Model LPG</t>
  </si>
  <si>
    <t>c/kg</t>
  </si>
  <si>
    <t>R/USD</t>
  </si>
  <si>
    <t>TS STech</t>
  </si>
  <si>
    <t>avg tax:</t>
  </si>
  <si>
    <t>R/GJ (mR/PJ)</t>
  </si>
  <si>
    <t>avg petrol (R/GJ)</t>
  </si>
  <si>
    <t>avg diesel (R/GJ)</t>
  </si>
  <si>
    <t>avg petrol (R/l)</t>
  </si>
  <si>
    <t>avg diesel (R/l)</t>
  </si>
  <si>
    <t>Calorific value</t>
  </si>
  <si>
    <t>WEO 2010</t>
  </si>
  <si>
    <t>2009 USD</t>
  </si>
  <si>
    <t>2010 USD</t>
  </si>
  <si>
    <t>WEO 2011</t>
  </si>
  <si>
    <t>WEO 2012</t>
  </si>
  <si>
    <t>WEO2013</t>
  </si>
  <si>
    <t>Real terms (2010 prices)</t>
  </si>
  <si>
    <t>New Policies</t>
  </si>
  <si>
    <t>Current Policies</t>
  </si>
  <si>
    <t>Real terms (2011 prices)</t>
  </si>
  <si>
    <t>Real terms (2012 prices)</t>
  </si>
  <si>
    <t>IEA crude oil imports</t>
  </si>
  <si>
    <t xml:space="preserve">Natural gas imports </t>
  </si>
  <si>
    <t>United States Mbtu</t>
  </si>
  <si>
    <t>Europe Mbtu</t>
  </si>
  <si>
    <t>Japan Mbtu</t>
  </si>
  <si>
    <t>OECD steam coal imports</t>
  </si>
  <si>
    <t>coal oil elasticity</t>
  </si>
  <si>
    <t>gas oil elasticity</t>
  </si>
  <si>
    <t>2009-2010</t>
  </si>
  <si>
    <t>2010-2011</t>
  </si>
  <si>
    <t>Gas Southern Mozambique Piped</t>
  </si>
  <si>
    <t>Oil Price growth</t>
  </si>
  <si>
    <t>Gas Indigenous Ibhubezi Piped</t>
  </si>
  <si>
    <t>Gas Indigenous Piped Shale</t>
  </si>
  <si>
    <t>Gas Northern Mozambique Piped</t>
  </si>
  <si>
    <t>Gas Regasified LNG</t>
  </si>
  <si>
    <t>IRP21010 Gas</t>
  </si>
  <si>
    <t>Table 1.4</t>
  </si>
  <si>
    <t>gas - US</t>
  </si>
  <si>
    <t>Japan</t>
  </si>
  <si>
    <t>EU</t>
  </si>
  <si>
    <t>Oil Price</t>
  </si>
  <si>
    <t>Japan Gas price</t>
  </si>
  <si>
    <t>$/Mbtu</t>
  </si>
  <si>
    <t>Index</t>
  </si>
  <si>
    <t>Average</t>
  </si>
  <si>
    <t>WEO2014</t>
  </si>
  <si>
    <t>WEO2015</t>
  </si>
  <si>
    <t>Source AEO 2013, EIA - Table 21 - 2011 dollars per barrel</t>
  </si>
  <si>
    <t xml:space="preserve">  West Texas Intermediate</t>
  </si>
  <si>
    <t>WEO 2016</t>
  </si>
  <si>
    <t>WEO 2019</t>
  </si>
  <si>
    <t>WEO2020</t>
  </si>
  <si>
    <t>WEO 2021</t>
  </si>
  <si>
    <t>WEO 2022</t>
  </si>
  <si>
    <t>Source AEO 2013, EIA - Table 21 - adjusted to 2010 dollars per barrel</t>
  </si>
  <si>
    <t>moderate</t>
  </si>
  <si>
    <t>  Moderate Low Sulfur Light (dollars per barrel)</t>
  </si>
  <si>
    <t>high</t>
  </si>
  <si>
    <t>low</t>
  </si>
  <si>
    <t>Source AEO 2012, EIA - Table 21 - 2010 dollars per barrel</t>
  </si>
  <si>
    <t>450 Scenario</t>
  </si>
  <si>
    <t>Real terms ($2015)</t>
  </si>
  <si>
    <t>Stated Policies</t>
  </si>
  <si>
    <t>NetZero by 2050</t>
  </si>
  <si>
    <t>Announced Pledges</t>
  </si>
  <si>
    <t>IEA crude oil</t>
  </si>
  <si>
    <t>($/barrel)</t>
  </si>
  <si>
    <t>Sustainable Development</t>
  </si>
  <si>
    <t>Real</t>
  </si>
  <si>
    <t>terms</t>
  </si>
  <si>
    <t>(USD</t>
  </si>
  <si>
    <t>2021)</t>
  </si>
  <si>
    <t>($/MBtu)</t>
  </si>
  <si>
    <t>Sustainable Dev</t>
  </si>
  <si>
    <t>Delayed Recovery</t>
  </si>
  <si>
    <t>IEA</t>
  </si>
  <si>
    <t>crude</t>
  </si>
  <si>
    <t>oil</t>
  </si>
  <si>
    <t>(USD/barrel)</t>
  </si>
  <si>
    <t>United States</t>
  </si>
  <si>
    <t>Natural</t>
  </si>
  <si>
    <t>gas</t>
  </si>
  <si>
    <t>(USD/MBtu)</t>
  </si>
  <si>
    <t>European Union</t>
  </si>
  <si>
    <t>Deflator</t>
  </si>
  <si>
    <t>United</t>
  </si>
  <si>
    <t>States</t>
  </si>
  <si>
    <t>China</t>
  </si>
  <si>
    <t>European</t>
  </si>
  <si>
    <t>Union</t>
  </si>
  <si>
    <t>Steam coal</t>
  </si>
  <si>
    <t>($/tonne)</t>
  </si>
  <si>
    <t>OECD</t>
  </si>
  <si>
    <t>Steam</t>
  </si>
  <si>
    <t>coal</t>
  </si>
  <si>
    <t>(USD/tonne)</t>
  </si>
  <si>
    <t>Gas Price</t>
  </si>
  <si>
    <t>US</t>
  </si>
  <si>
    <t>Coastal China</t>
  </si>
  <si>
    <t>elas oil</t>
  </si>
  <si>
    <t>Coastal</t>
  </si>
  <si>
    <t>Coal Price (US)</t>
  </si>
  <si>
    <t>Coal Price (EU)</t>
  </si>
  <si>
    <t>Coal Price (Coastal China)</t>
  </si>
  <si>
    <t>Ratio: 2040:2025</t>
  </si>
  <si>
    <t>Oil</t>
  </si>
  <si>
    <t>US Coal</t>
  </si>
  <si>
    <t>US Coal elas</t>
  </si>
  <si>
    <t>EU Coal</t>
  </si>
  <si>
    <t>EU Coal elas</t>
  </si>
  <si>
    <t>China Coal</t>
  </si>
  <si>
    <t>China Coal elas</t>
  </si>
  <si>
    <t>Ratio: 2040:2019</t>
  </si>
  <si>
    <t>ZAR/GJ</t>
  </si>
  <si>
    <t>Investment cost</t>
  </si>
  <si>
    <t>LNG Terminal</t>
  </si>
  <si>
    <t>years</t>
  </si>
  <si>
    <t>FSRU Terminal</t>
  </si>
  <si>
    <t>Table 6: Possible Karoo Pipeline Infrastructure</t>
  </si>
  <si>
    <t>Other studies</t>
  </si>
  <si>
    <t>From</t>
  </si>
  <si>
    <t>To</t>
  </si>
  <si>
    <t>Distance</t>
  </si>
  <si>
    <t>Cost (USA dollar) millions</t>
  </si>
  <si>
    <t>Million Rands (2013)</t>
  </si>
  <si>
    <t>Country Name</t>
  </si>
  <si>
    <t>Karoo</t>
  </si>
  <si>
    <t>Cape Town</t>
  </si>
  <si>
    <t>Mossel Bay</t>
  </si>
  <si>
    <t>Coega</t>
  </si>
  <si>
    <t>KZN</t>
  </si>
  <si>
    <t>GDP deflator (annual change %) for South Africa from "The World Bank"</t>
  </si>
  <si>
    <t>Gauteng</t>
  </si>
  <si>
    <t>http://search.worldbank.org/data?qterm=gdp%20deflator%20%22south%20africa%22&amp;language=EN</t>
  </si>
  <si>
    <t>downloaded July 2011</t>
  </si>
  <si>
    <t>(Hunt, 2014) - Presentation in Shale gas debate</t>
  </si>
  <si>
    <t>Year to Convert from</t>
  </si>
  <si>
    <t>Rands</t>
  </si>
  <si>
    <t xml:space="preserve">To get gas from the Karooto major cities will need a pipeline network of 2480 km at an estimated cost of R33.5 billion </t>
  </si>
  <si>
    <t>Year to Convert to</t>
  </si>
  <si>
    <t>Assuming these are transmission lines ranging from 20 cm to above 600 cm, the average cost of R14 million per km is as shown by different studies in Prepare for TIMES worksheet</t>
  </si>
  <si>
    <t xml:space="preserve">To get the investment cost of these facilities, we need to know their capacities. The only thing that can be done at this point is to assume based on other developments. </t>
  </si>
  <si>
    <t>Conversion factor</t>
  </si>
  <si>
    <t>A number of factors are involved in calculating how much natural gas a pipeline can carry.  However, the most important factors are the diameter of the pipe and its operating pressure. (IEA,2014) http://www.eia.gov/pub/oil_gas/natural_gas/analysis_publications/ngpipeline/transsys_design.html</t>
  </si>
  <si>
    <t>multipy by</t>
  </si>
  <si>
    <t>or divide by</t>
  </si>
  <si>
    <t>GDP deflator (annual change %) for US from "The World Bank"</t>
  </si>
  <si>
    <t xml:space="preserve">Indicative Pipeline Capacity from (International Gas Union, 2014), </t>
  </si>
  <si>
    <t>Diametre</t>
  </si>
  <si>
    <t>Diametre (inches)</t>
  </si>
  <si>
    <t>Capacity (/year)</t>
  </si>
  <si>
    <t>Capacity</t>
  </si>
  <si>
    <t>Load factor</t>
  </si>
  <si>
    <t xml:space="preserve">Investment Costs </t>
  </si>
  <si>
    <t xml:space="preserve">1 bcm = </t>
  </si>
  <si>
    <t>cm</t>
  </si>
  <si>
    <t>inches</t>
  </si>
  <si>
    <t>bcm (billion cubic metres)</t>
  </si>
  <si>
    <t>PJ/annum</t>
  </si>
  <si>
    <t>mR/PJ/annum</t>
  </si>
  <si>
    <t xml:space="preserve">Official Exchange Rate (LCU per US$, period average) </t>
  </si>
  <si>
    <t xml:space="preserve">Estimated total length of pipelines will be 2480km related to shale and + 500 km </t>
  </si>
  <si>
    <t>Real effective exchange rate index (2005 = 100)</t>
  </si>
  <si>
    <t xml:space="preserve">Distribution </t>
  </si>
  <si>
    <t>diameter is in the range of 1.3 cm to 15 cm</t>
  </si>
  <si>
    <t>Indicative capacity</t>
  </si>
  <si>
    <t>diametre (cm)</t>
  </si>
  <si>
    <t xml:space="preserve">Distance to be built </t>
  </si>
  <si>
    <t>Million Rands</t>
  </si>
  <si>
    <t>Investment Costs (Million Rand/PJ/annum0</t>
  </si>
  <si>
    <t>Urban charge (2000 US $)</t>
  </si>
  <si>
    <t>Service</t>
  </si>
  <si>
    <t>Reference</t>
  </si>
  <si>
    <t xml:space="preserve">Mains </t>
  </si>
  <si>
    <t>CPI Index</t>
  </si>
  <si>
    <t>Reference is found is TCH_RES sheet</t>
  </si>
  <si>
    <t>mR</t>
  </si>
  <si>
    <t>These calculation are based on the indicative capacity from International Gas Union, 2014)</t>
  </si>
  <si>
    <t>Gasoline</t>
  </si>
  <si>
    <t>MJ/L</t>
  </si>
  <si>
    <t>FOM</t>
  </si>
  <si>
    <t>capacity</t>
  </si>
  <si>
    <t>tanks, pumps and pipes</t>
  </si>
  <si>
    <t>Demand (PJ)</t>
  </si>
  <si>
    <t>Distribution Infrastructure Coost</t>
  </si>
  <si>
    <t>Cents/Litre</t>
  </si>
  <si>
    <t>cents/MJ</t>
  </si>
  <si>
    <t>mR/MJ</t>
  </si>
  <si>
    <t>Secondary Distribution</t>
  </si>
  <si>
    <t>Secondary Storage</t>
  </si>
  <si>
    <t>Cents/MJ</t>
  </si>
  <si>
    <t>mR/PJ</t>
  </si>
  <si>
    <t>Jim Petrie - Western Cape Feasibility Study</t>
  </si>
  <si>
    <t>GTL</t>
  </si>
  <si>
    <t>CTL</t>
  </si>
  <si>
    <t>gasoline</t>
  </si>
  <si>
    <t>diesel</t>
  </si>
  <si>
    <t>Load on Proposed cape System:</t>
  </si>
  <si>
    <t>PJ.a</t>
  </si>
  <si>
    <t>Cost of Proposed Cape System</t>
  </si>
  <si>
    <t>million</t>
  </si>
  <si>
    <t>Density</t>
  </si>
  <si>
    <t>Cost:</t>
  </si>
  <si>
    <t>mR/PJ.a</t>
  </si>
  <si>
    <t>Capital Costs</t>
  </si>
  <si>
    <t>Length of planned transmission pipelines</t>
  </si>
  <si>
    <t>Distribution pipelines</t>
  </si>
  <si>
    <t>Dodds</t>
  </si>
  <si>
    <t>GBP CPI Index</t>
  </si>
  <si>
    <t>Planned/feasibility study</t>
  </si>
  <si>
    <t>USA$ million</t>
  </si>
  <si>
    <t>km</t>
  </si>
  <si>
    <t>Saldhana Bay LNG teminal land based</t>
  </si>
  <si>
    <t>Current UK MARKAL costs Revised costs</t>
  </si>
  <si>
    <t>Transmission network</t>
  </si>
  <si>
    <t>Mains distribution network</t>
  </si>
  <si>
    <t>deflator</t>
  </si>
  <si>
    <t>Details of LNG feasibility in Cape Town</t>
  </si>
  <si>
    <t>Length</t>
  </si>
  <si>
    <t>Cost</t>
  </si>
  <si>
    <t>assumed diametre</t>
  </si>
  <si>
    <t xml:space="preserve">Investment Cost </t>
  </si>
  <si>
    <t>Service distribution pipes</t>
  </si>
  <si>
    <t>Type of Pipeline</t>
  </si>
  <si>
    <t xml:space="preserve">From </t>
  </si>
  <si>
    <t>to</t>
  </si>
  <si>
    <t>US$ million</t>
  </si>
  <si>
    <t>PRC-NOFF</t>
  </si>
  <si>
    <t>Table 1: Revised investment costs for the gas system. All figures have units £(2000)m/PJ/a.</t>
  </si>
  <si>
    <t>(2010 Rands)/(2010 GBP)</t>
  </si>
  <si>
    <t>Phase 1</t>
  </si>
  <si>
    <t>LNG offshore facility - btwn (Duynefontein &amp; Yzerfontein)</t>
  </si>
  <si>
    <t>Atlantis and Milnerton City Gates</t>
  </si>
  <si>
    <t>Phase 2</t>
  </si>
  <si>
    <t>Saldhana Bay City gate</t>
  </si>
  <si>
    <t>DIS</t>
  </si>
  <si>
    <t>Paarl</t>
  </si>
  <si>
    <t>Wellington</t>
  </si>
  <si>
    <t>Distribution pipeline for Cape Town, Paarl and Wellington</t>
  </si>
  <si>
    <t>Distribution pipeline for Atlantis industry</t>
  </si>
  <si>
    <t>Table 1: Revised investment costs for the gas system. All figures have units £(2010)m/PJ/a.</t>
  </si>
  <si>
    <t>Distribution pipeline for Saldanha industry</t>
  </si>
  <si>
    <t>Share</t>
  </si>
  <si>
    <t>Investments Costs</t>
  </si>
  <si>
    <t>ACT_Cost</t>
  </si>
  <si>
    <t>FOM costs</t>
  </si>
  <si>
    <t>New Costs</t>
  </si>
  <si>
    <t>XTRAGAS</t>
  </si>
  <si>
    <t>XINDGAS</t>
  </si>
  <si>
    <t>Table 1: Revised investment costs for the gas system. All figures have units ZAR(2010)m/PJ/a.</t>
  </si>
  <si>
    <t>XCOMGAS</t>
  </si>
  <si>
    <t>XRESGAS</t>
  </si>
  <si>
    <t>Mains &amp; Service</t>
  </si>
  <si>
    <t>Location Factor:</t>
  </si>
  <si>
    <t>XTRAOGS</t>
  </si>
  <si>
    <t>XTRAODS</t>
  </si>
  <si>
    <t>Distribution Investemnt Costs</t>
  </si>
  <si>
    <t>Levelized Cost Check</t>
  </si>
  <si>
    <t>Discount Rate</t>
  </si>
  <si>
    <t>From Source</t>
  </si>
  <si>
    <t>Calculated</t>
  </si>
  <si>
    <t>External Diameter</t>
  </si>
  <si>
    <t xml:space="preserve">Capacity </t>
  </si>
  <si>
    <t>bcm/yr</t>
  </si>
  <si>
    <t>PJ/yr</t>
  </si>
  <si>
    <t xml:space="preserve">Source: </t>
  </si>
  <si>
    <r>
      <t xml:space="preserve">International Gas Union, 2014. </t>
    </r>
    <r>
      <rPr>
        <i/>
        <sz val="11"/>
        <color theme="1"/>
        <rFont val="Calibri"/>
        <family val="2"/>
      </rPr>
      <t>Natural Gas Conversion Pocketbook 1</t>
    </r>
    <r>
      <rPr>
        <sz val="11"/>
        <color theme="1"/>
        <rFont val="Calibri"/>
        <family val="2"/>
      </rPr>
      <t>, Oslo, Norway.</t>
    </r>
  </si>
  <si>
    <t>GW</t>
  </si>
  <si>
    <t>Water Supply</t>
  </si>
  <si>
    <t>MINWAT</t>
  </si>
  <si>
    <t>Backstop for whole system</t>
  </si>
  <si>
    <t>MNZZZ</t>
  </si>
  <si>
    <t>Backstop for all energy except elc</t>
  </si>
  <si>
    <t>ZZBKNRG</t>
  </si>
  <si>
    <t>* Backstop For Fuel Production</t>
  </si>
  <si>
    <t>Backstop for Electricity</t>
  </si>
  <si>
    <t>ZZBKELCC</t>
  </si>
  <si>
    <t>NRG</t>
  </si>
  <si>
    <t>Gas Indigenous Ibhubezi - Transported to Angelig</t>
  </si>
  <si>
    <t>GTB</t>
  </si>
  <si>
    <t>ENV</t>
  </si>
  <si>
    <t>KT</t>
  </si>
  <si>
    <t>Water</t>
  </si>
  <si>
    <t>WAT</t>
  </si>
  <si>
    <t>Dummy Commodity</t>
  </si>
  <si>
    <t>ZZZ</t>
  </si>
  <si>
    <t>Ctype</t>
  </si>
  <si>
    <t>PeakTS</t>
  </si>
  <si>
    <t>Fugitive Emission Factors - Assumptions</t>
  </si>
  <si>
    <t>Liquid Fuel Prices Relative to Crude Prices</t>
  </si>
  <si>
    <t>WEO Oil and Gas Price Projections</t>
  </si>
  <si>
    <t>XTRACT,PRE</t>
  </si>
  <si>
    <t>* Note: ELC and other PWR X-techs are declared and defined in ELC workbook</t>
  </si>
  <si>
    <t>Fugitive Emissions South Africa</t>
  </si>
  <si>
    <t>Process Emissions South Africa</t>
  </si>
  <si>
    <t>Process Emissions FerroChrome South Africa</t>
  </si>
  <si>
    <t>Process Emissions FerroManganese South Africa</t>
  </si>
  <si>
    <t>Process Emissions Cement South Africa</t>
  </si>
  <si>
    <t>* South Africa Combustion Emissions</t>
  </si>
  <si>
    <t>* South Africa Process Emissions</t>
  </si>
  <si>
    <t>Commodities Declaration</t>
  </si>
  <si>
    <t>Supply Techs Declaration</t>
  </si>
  <si>
    <t>* Fuels</t>
  </si>
  <si>
    <t>CO2EQS South Africa</t>
  </si>
  <si>
    <t>CO2S South Africa</t>
  </si>
  <si>
    <t>CH4S South Africa</t>
  </si>
  <si>
    <t>N2OS South Africa</t>
  </si>
  <si>
    <t>SOXS South Africa</t>
  </si>
  <si>
    <t>NOXS South Africa</t>
  </si>
  <si>
    <t>CMOX South Africa</t>
  </si>
  <si>
    <t>NMVS South Africa</t>
  </si>
  <si>
    <t>* South Africa Fugitive Emissions</t>
  </si>
  <si>
    <t>Fuel Distribution Infrastructure costs - Needs a Refresh!!!</t>
  </si>
  <si>
    <t>Fuel Supply Costs and limits - Needs a bit of Cleaning!!!</t>
  </si>
  <si>
    <t>mR/Pja</t>
  </si>
  <si>
    <t xml:space="preserve">Annual </t>
  </si>
  <si>
    <t>(sum OUT/IN)</t>
  </si>
  <si>
    <t>NCAP_BND</t>
  </si>
  <si>
    <t>NCAP_ILED</t>
  </si>
  <si>
    <t>Start</t>
  </si>
  <si>
    <t>Stock</t>
  </si>
  <si>
    <t>Pipeline Gas Northern Mozambique</t>
  </si>
  <si>
    <t>UGASGRM-N</t>
  </si>
  <si>
    <t>Pipeline Gas Southern Mozambique</t>
  </si>
  <si>
    <t>UGASGRS-N</t>
  </si>
  <si>
    <t>Pipeline Gas Indigenous Shale</t>
  </si>
  <si>
    <t>UGASGIH-N</t>
  </si>
  <si>
    <t>ULGTGRL-N</t>
  </si>
  <si>
    <t>ULGTGRLFSRU-N</t>
  </si>
  <si>
    <t>Pipeline Coastal Gas</t>
  </si>
  <si>
    <t>UGASGIC-N</t>
  </si>
  <si>
    <t>Pipeline Gas Indigenous Ibhubezi</t>
  </si>
  <si>
    <t>UGASGIB-N</t>
  </si>
  <si>
    <t>AFA~UP</t>
  </si>
  <si>
    <t>AFA~LO</t>
  </si>
  <si>
    <t>* source</t>
  </si>
  <si>
    <t>*Imports</t>
  </si>
  <si>
    <t>*Exports</t>
  </si>
  <si>
    <t>*Gas Infrastructure</t>
  </si>
  <si>
    <t>PRE,STGTSS</t>
  </si>
  <si>
    <t>NCAP_AFC</t>
  </si>
  <si>
    <t>NCAP_FOM</t>
  </si>
  <si>
    <t>PJ/a</t>
  </si>
  <si>
    <t>$/GJ</t>
  </si>
  <si>
    <t>m$</t>
  </si>
  <si>
    <t>Annual Cost</t>
  </si>
  <si>
    <t>Levelized Cost</t>
  </si>
  <si>
    <t>https://www.jdsupra.com/post/contentViewerEmbed.aspx?fid=6f058694-940c-42d7-bb0d-d650e5436a2d</t>
  </si>
  <si>
    <t>$/kW</t>
  </si>
  <si>
    <t>Hours of Storage</t>
  </si>
  <si>
    <t>2022 R/$</t>
  </si>
  <si>
    <t>'2022R/bbl</t>
  </si>
  <si>
    <t>WEO 2022 Alternative Oil Price Scenarios (2021 USD)</t>
  </si>
  <si>
    <t>Net Zero</t>
  </si>
  <si>
    <t>2022 $/bbl Real</t>
  </si>
  <si>
    <t>US inflation 2022</t>
  </si>
  <si>
    <t>Crude Oil price</t>
  </si>
  <si>
    <t>R/l check</t>
  </si>
  <si>
    <t>Japan oil index check</t>
  </si>
  <si>
    <t>* Dollar Price Check for LNG</t>
  </si>
  <si>
    <t>crf</t>
  </si>
  <si>
    <t>Investment (Southern Moz Expansion)</t>
  </si>
  <si>
    <t>Throughput</t>
  </si>
  <si>
    <t>mZAR</t>
  </si>
  <si>
    <t>Tariff</t>
  </si>
  <si>
    <t>https://www.dailymaverick.co.za/article/2023-07-25-sasol-gas-submits-gas-price-applications-to-nersa/?token=&amp;utm_medium=email&amp;utm_campaign=First%20Thing%2027%20July%202023&amp;utm_content=First%20Thing%2027%20July%202023+CID_51c9ff890004a3c483a4cfc2cbfda440&amp;utm_source=TouchBasePro&amp;utm_term=Sponsored%20Content%20Sasol%20Gas%20submits%20gas%20price%20applications%20to%20NERSA</t>
  </si>
  <si>
    <t>Southern Mozambique Expansion</t>
  </si>
  <si>
    <t>Original Tariff</t>
  </si>
  <si>
    <t>Requested (rejected by NERSA)</t>
  </si>
  <si>
    <t>?</t>
  </si>
  <si>
    <t>It's not clear what the investment brings in terms of PJ/annum</t>
  </si>
  <si>
    <t>days</t>
  </si>
  <si>
    <t>Storage Capacity</t>
  </si>
  <si>
    <t>cbm LNG</t>
  </si>
  <si>
    <t>PJ/cbm LNG</t>
  </si>
  <si>
    <t>MMSCF/day</t>
  </si>
  <si>
    <t>Max throughput (regas)</t>
  </si>
  <si>
    <t>bcm/a (regas)</t>
  </si>
  <si>
    <t>Availability</t>
  </si>
  <si>
    <t>Investment Cost</t>
  </si>
  <si>
    <t>mton/a</t>
  </si>
  <si>
    <t>m$/annum</t>
  </si>
  <si>
    <t>Discount rate</t>
  </si>
  <si>
    <t>mR/GW</t>
  </si>
  <si>
    <t>ZAR/$</t>
  </si>
  <si>
    <t>$/kW/yr</t>
  </si>
  <si>
    <t>Annual Costs</t>
  </si>
  <si>
    <t>Sources</t>
  </si>
  <si>
    <t>https://www.gaz-system.pl/en/terminal-lng/lng-terminal-technical-data.html</t>
  </si>
  <si>
    <t>Hunt 2023</t>
  </si>
  <si>
    <t>NCAP_DISC</t>
  </si>
  <si>
    <t>PRC_DSCNCAP</t>
  </si>
  <si>
    <t>LNG Infrastructure</t>
  </si>
  <si>
    <t>Gas Pipelines</t>
  </si>
  <si>
    <t>ENV_ACT~CO2SF</t>
  </si>
  <si>
    <t>ENV_ACT~CH4SF</t>
  </si>
  <si>
    <t>CO2C</t>
  </si>
  <si>
    <t>CH4C</t>
  </si>
  <si>
    <t>Combustion CO2 South Africa</t>
  </si>
  <si>
    <t>PM10 South Africa</t>
  </si>
  <si>
    <t>CMU</t>
  </si>
  <si>
    <t>Coal Material Use</t>
  </si>
  <si>
    <t>GMU</t>
  </si>
  <si>
    <t>Gas Material Use</t>
  </si>
  <si>
    <t>Coal for Material Use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</si>
</sst>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3">
    <numFmt numFmtId="8" formatCode="&quot;R&quot;#,##0.00;[Red]\-&quot;R&quot;#,##0.00"/>
    <numFmt numFmtId="164" formatCode="[$-F800]dddd\,\ mmmm\ dd\,\ yyyy"/>
    <numFmt numFmtId="165" formatCode="[$£-809]#,##0.00;[Red]&quot;-&quot;[$£-809]#,##0.00"/>
    <numFmt numFmtId="166" formatCode="0.0%"/>
    <numFmt numFmtId="167" formatCode="0.0000"/>
    <numFmt numFmtId="168" formatCode="0.0"/>
    <numFmt numFmtId="169" formatCode="#,##0.0"/>
    <numFmt numFmtId="170" formatCode="0.0_)"/>
    <numFmt numFmtId="171" formatCode="0.000"/>
    <numFmt numFmtId="172" formatCode="_(* #,##0.00_);_(* \(#,##0.00\);_(* &quot;-&quot;??_);_(@_)"/>
    <numFmt numFmtId="173" formatCode="_(* #,##0.0000_);_(* \(#,##0.0000\);_(* &quot;-&quot;??_);_(@_)"/>
    <numFmt numFmtId="174" formatCode="0.00000"/>
    <numFmt numFmtId="175" formatCode="_(* #,##0.0000000_);_(* \(#,##0.0000000\);_(* &quot;-&quot;??_);_(@_)"/>
    <numFmt numFmtId="176" formatCode="_(* #,##0_);_(* \(#,##0\);_(* &quot;-&quot;??_);_(@_)"/>
    <numFmt numFmtId="177" formatCode="0.0000000"/>
    <numFmt numFmtId="178" formatCode="_-* #,##0.00000_-;\-* #,##0.00000_-;_-* &quot;-&quot;??_-;_-@_-"/>
    <numFmt numFmtId="179" formatCode="\Te\x\t"/>
    <numFmt numFmtId="180" formatCode="0.000000"/>
    <numFmt numFmtId="181" formatCode="###0.0;###0.0"/>
    <numFmt numFmtId="182" formatCode="0.000%"/>
    <numFmt numFmtId="183" formatCode="_ * #,##0.00_ ;_ * \-#,##0.00_ ;_ * &quot;-&quot;??_ ;_ @_ "/>
    <numFmt numFmtId="184" formatCode="_ * #,##0_ ;_ * \-#,##0_ ;_ * &quot;-&quot;??_ ;_ @_ "/>
    <numFmt numFmtId="185" formatCode="_ * #,##0.0_ ;_ * \-#,##0.0_ ;_ * &quot;-&quot;??_ ;_ @_ "/>
  </numFmts>
  <fonts count="72" x14ac:knownFonts="1">
    <font>
      <sz val="11"/>
      <color theme="1"/>
      <name val="Calibri"/>
      <family val="2"/>
      <scheme val="minor"/>
    </font>
    <font>
      <sz val="11"/>
      <color theme="1"/>
      <name val="Calibri"/>
      <family val="2"/>
      <scheme val="minor"/>
    </font>
    <font>
      <b/>
      <sz val="13"/>
      <color theme="3"/>
      <name val="Calibri"/>
      <family val="2"/>
      <scheme val="minor"/>
    </font>
    <font>
      <b/>
      <sz val="11"/>
      <color theme="3"/>
      <name val="Calibri"/>
      <family val="2"/>
      <scheme val="minor"/>
    </font>
    <font>
      <sz val="11"/>
      <color rgb="FF9C0006"/>
      <name val="Calibri"/>
      <family val="2"/>
      <scheme val="minor"/>
    </font>
    <font>
      <sz val="11"/>
      <color rgb="FF3F3F76"/>
      <name val="Calibri"/>
      <family val="2"/>
      <scheme val="minor"/>
    </font>
    <font>
      <b/>
      <sz val="11"/>
      <color rgb="FFFA7D0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0"/>
      <name val="Arial"/>
      <family val="2"/>
    </font>
    <font>
      <b/>
      <sz val="10"/>
      <name val="Arial"/>
      <family val="2"/>
    </font>
    <font>
      <sz val="9"/>
      <color indexed="81"/>
      <name val="Tahoma"/>
      <family val="2"/>
    </font>
    <font>
      <b/>
      <sz val="14"/>
      <color theme="1"/>
      <name val="Calibri"/>
      <family val="2"/>
      <scheme val="minor"/>
    </font>
    <font>
      <b/>
      <sz val="11"/>
      <color rgb="FF9C0006"/>
      <name val="Calibri"/>
      <family val="2"/>
      <scheme val="minor"/>
    </font>
    <font>
      <b/>
      <sz val="11"/>
      <color rgb="FFFF0000"/>
      <name val="Calibri"/>
      <family val="2"/>
      <scheme val="minor"/>
    </font>
    <font>
      <b/>
      <sz val="9"/>
      <color indexed="81"/>
      <name val="Tahoma"/>
      <family val="2"/>
    </font>
    <font>
      <b/>
      <sz val="14"/>
      <name val="Arial"/>
      <family val="2"/>
    </font>
    <font>
      <sz val="11"/>
      <color rgb="FF9C6500"/>
      <name val="Calibri"/>
      <family val="2"/>
      <scheme val="minor"/>
    </font>
    <font>
      <b/>
      <i/>
      <sz val="10"/>
      <color theme="3"/>
      <name val="Arial"/>
      <family val="2"/>
    </font>
    <font>
      <u/>
      <sz val="11"/>
      <color theme="10"/>
      <name val="Calibri"/>
      <family val="2"/>
      <scheme val="minor"/>
    </font>
    <font>
      <b/>
      <sz val="12"/>
      <name val="Arial"/>
      <family val="2"/>
    </font>
    <font>
      <sz val="10"/>
      <color theme="6" tint="-0.24994659260841701"/>
      <name val="Arial"/>
      <family val="2"/>
      <charset val="238"/>
    </font>
    <font>
      <sz val="10"/>
      <color indexed="10"/>
      <name val="Arial"/>
      <family val="2"/>
    </font>
    <font>
      <b/>
      <u/>
      <sz val="10"/>
      <name val="Arial"/>
      <family val="2"/>
    </font>
    <font>
      <sz val="12"/>
      <color theme="1"/>
      <name val="Cambria"/>
      <family val="1"/>
    </font>
    <font>
      <b/>
      <sz val="11"/>
      <color theme="1"/>
      <name val="Cambria"/>
      <family val="1"/>
    </font>
    <font>
      <b/>
      <sz val="12"/>
      <color theme="1"/>
      <name val="Cambria"/>
      <family val="1"/>
    </font>
    <font>
      <sz val="11"/>
      <color theme="1"/>
      <name val="Cambria"/>
      <family val="1"/>
    </font>
    <font>
      <sz val="11"/>
      <color rgb="FF000000"/>
      <name val="Calibri"/>
      <family val="2"/>
      <scheme val="minor"/>
    </font>
    <font>
      <sz val="10"/>
      <color indexed="14"/>
      <name val="Arial"/>
      <family val="2"/>
    </font>
    <font>
      <sz val="10"/>
      <color theme="3"/>
      <name val="Arial"/>
      <family val="2"/>
    </font>
    <font>
      <sz val="10"/>
      <color indexed="12"/>
      <name val="Arial"/>
      <family val="2"/>
    </font>
    <font>
      <sz val="11"/>
      <name val="Calibri"/>
      <family val="2"/>
      <scheme val="minor"/>
    </font>
    <font>
      <u/>
      <sz val="10"/>
      <color indexed="12"/>
      <name val="Arial"/>
      <family val="2"/>
    </font>
    <font>
      <b/>
      <sz val="8"/>
      <color indexed="81"/>
      <name val="Tahoma"/>
      <family val="2"/>
    </font>
    <font>
      <sz val="8"/>
      <color indexed="81"/>
      <name val="Tahoma"/>
      <family val="2"/>
    </font>
    <font>
      <b/>
      <sz val="13"/>
      <color indexed="56"/>
      <name val="Calibri"/>
      <family val="2"/>
      <scheme val="minor"/>
    </font>
    <font>
      <sz val="8"/>
      <color theme="1"/>
      <name val="Calibri"/>
      <family val="2"/>
      <scheme val="minor"/>
    </font>
    <font>
      <sz val="8"/>
      <name val="Arial"/>
      <family val="2"/>
    </font>
    <font>
      <b/>
      <sz val="8"/>
      <name val="Arial"/>
      <family val="2"/>
    </font>
    <font>
      <sz val="9"/>
      <name val="Arial"/>
      <family val="2"/>
    </font>
    <font>
      <b/>
      <sz val="9"/>
      <name val="Arial"/>
      <family val="2"/>
    </font>
    <font>
      <b/>
      <u/>
      <sz val="11"/>
      <color theme="1"/>
      <name val="Calibri"/>
      <family val="2"/>
      <scheme val="minor"/>
    </font>
    <font>
      <b/>
      <i/>
      <sz val="11"/>
      <color theme="1"/>
      <name val="Calibri"/>
      <family val="2"/>
      <scheme val="minor"/>
    </font>
    <font>
      <sz val="10"/>
      <color theme="1"/>
      <name val="Calibri"/>
      <family val="2"/>
      <scheme val="minor"/>
    </font>
    <font>
      <b/>
      <sz val="11"/>
      <color rgb="FF00B050"/>
      <name val="Calibri"/>
      <family val="2"/>
      <scheme val="minor"/>
    </font>
    <font>
      <b/>
      <i/>
      <sz val="11"/>
      <color rgb="FF00B050"/>
      <name val="Calibri"/>
      <family val="2"/>
      <scheme val="minor"/>
    </font>
    <font>
      <i/>
      <sz val="11"/>
      <color theme="1"/>
      <name val="Calibri"/>
      <family val="2"/>
      <scheme val="minor"/>
    </font>
    <font>
      <sz val="11"/>
      <color rgb="FF0070C0"/>
      <name val="Calibri"/>
      <family val="2"/>
      <scheme val="minor"/>
    </font>
    <font>
      <sz val="11"/>
      <color rgb="FF76923C"/>
      <name val="Calibri"/>
      <family val="2"/>
      <scheme val="minor"/>
    </font>
    <font>
      <b/>
      <sz val="8"/>
      <color rgb="FFFFFFFF"/>
      <name val="Calibri"/>
      <family val="2"/>
      <scheme val="minor"/>
    </font>
    <font>
      <b/>
      <vertAlign val="superscript"/>
      <sz val="8"/>
      <color rgb="FFFFFFFF"/>
      <name val="Calibri"/>
      <family val="2"/>
      <scheme val="minor"/>
    </font>
    <font>
      <vertAlign val="subscript"/>
      <sz val="10"/>
      <color theme="1"/>
      <name val="Calibri"/>
      <family val="2"/>
      <scheme val="minor"/>
    </font>
    <font>
      <b/>
      <sz val="9"/>
      <color rgb="FFFFFFFF"/>
      <name val="Calibri"/>
      <family val="2"/>
      <scheme val="minor"/>
    </font>
    <font>
      <sz val="11"/>
      <color theme="4"/>
      <name val="Calibri"/>
      <family val="2"/>
      <scheme val="minor"/>
    </font>
    <font>
      <b/>
      <sz val="11"/>
      <color theme="4"/>
      <name val="Calibri"/>
      <family val="2"/>
      <scheme val="minor"/>
    </font>
    <font>
      <b/>
      <sz val="10"/>
      <color theme="4"/>
      <name val="Arial"/>
      <family val="2"/>
    </font>
    <font>
      <sz val="10"/>
      <name val="Calibri"/>
      <family val="2"/>
      <scheme val="minor"/>
    </font>
    <font>
      <sz val="11"/>
      <color rgb="FFC00000"/>
      <name val="Calibri"/>
      <family val="2"/>
      <scheme val="minor"/>
    </font>
    <font>
      <sz val="10"/>
      <color theme="1"/>
      <name val="Times"/>
      <family val="1"/>
    </font>
    <font>
      <sz val="9"/>
      <color indexed="63"/>
      <name val="Times New Roman"/>
      <family val="1"/>
    </font>
    <font>
      <sz val="9"/>
      <name val="Times New Roman"/>
      <family val="1"/>
    </font>
    <font>
      <sz val="9"/>
      <color rgb="FFFF0000"/>
      <name val="Times New Roman"/>
      <family val="1"/>
    </font>
    <font>
      <u/>
      <sz val="10"/>
      <color theme="10"/>
      <name val="Arial"/>
      <family val="2"/>
    </font>
    <font>
      <b/>
      <i/>
      <sz val="8"/>
      <name val="Arial"/>
      <family val="2"/>
    </font>
    <font>
      <u/>
      <sz val="8"/>
      <color theme="10"/>
      <name val="Arial"/>
      <family val="2"/>
    </font>
    <font>
      <sz val="11"/>
      <color theme="1"/>
      <name val="Calibri"/>
      <family val="2"/>
    </font>
    <font>
      <i/>
      <sz val="11"/>
      <color theme="1"/>
      <name val="Calibri"/>
      <family val="2"/>
    </font>
    <font>
      <b/>
      <sz val="8"/>
      <color rgb="FF800080"/>
      <name val="Arial"/>
      <family val="2"/>
    </font>
    <font>
      <sz val="10"/>
      <color rgb="FFFF0000"/>
      <name val="Arial"/>
      <family val="2"/>
    </font>
    <font>
      <sz val="8"/>
      <color rgb="FFFF0000"/>
      <name val="Arial"/>
      <family val="2"/>
    </font>
  </fonts>
  <fills count="22">
    <fill>
      <patternFill patternType="none"/>
    </fill>
    <fill>
      <patternFill patternType="gray125"/>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theme="5"/>
      </patternFill>
    </fill>
    <fill>
      <patternFill patternType="solid">
        <fgColor theme="7"/>
      </patternFill>
    </fill>
    <fill>
      <patternFill patternType="solid">
        <fgColor rgb="FFFFFF00"/>
        <bgColor indexed="64"/>
      </patternFill>
    </fill>
    <fill>
      <patternFill patternType="solid">
        <fgColor theme="9" tint="0.79998168889431442"/>
        <bgColor indexed="64"/>
      </patternFill>
    </fill>
    <fill>
      <patternFill patternType="solid">
        <fgColor rgb="FFFFEB9C"/>
        <bgColor indexed="64"/>
      </patternFill>
    </fill>
    <fill>
      <patternFill patternType="solid">
        <fgColor theme="9" tint="0.59999389629810485"/>
        <bgColor indexed="64"/>
      </patternFill>
    </fill>
    <fill>
      <patternFill patternType="solid">
        <fgColor rgb="FFFFC7CE"/>
        <bgColor indexed="64"/>
      </patternFill>
    </fill>
    <fill>
      <patternFill patternType="solid">
        <fgColor theme="7" tint="0.39997558519241921"/>
        <bgColor indexed="64"/>
      </patternFill>
    </fill>
    <fill>
      <patternFill patternType="solid">
        <fgColor indexed="43"/>
        <bgColor indexed="64"/>
      </patternFill>
    </fill>
    <fill>
      <patternFill patternType="solid">
        <fgColor theme="3" tint="0.59999389629810485"/>
        <bgColor indexed="64"/>
      </patternFill>
    </fill>
    <fill>
      <patternFill patternType="solid">
        <fgColor theme="3" tint="0.39997558519241921"/>
        <bgColor indexed="64"/>
      </patternFill>
    </fill>
    <fill>
      <patternFill patternType="solid">
        <fgColor indexed="47"/>
        <bgColor indexed="64"/>
      </patternFill>
    </fill>
    <fill>
      <patternFill patternType="solid">
        <fgColor rgb="FF00B050"/>
        <bgColor indexed="64"/>
      </patternFill>
    </fill>
    <fill>
      <patternFill patternType="solid">
        <fgColor rgb="FF96C8FF"/>
        <bgColor indexed="64"/>
      </patternFill>
    </fill>
    <fill>
      <patternFill patternType="solid">
        <fgColor rgb="FFFFFF78"/>
        <bgColor indexed="64"/>
      </patternFill>
    </fill>
    <fill>
      <patternFill patternType="solid">
        <fgColor theme="0" tint="-0.249977111117893"/>
        <bgColor indexed="64"/>
      </patternFill>
    </fill>
  </fills>
  <borders count="68">
    <border>
      <left/>
      <right/>
      <top/>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bottom style="medium">
        <color indexed="64"/>
      </bottom>
      <diagonal/>
    </border>
    <border>
      <left style="medium">
        <color indexed="64"/>
      </left>
      <right style="medium">
        <color indexed="64"/>
      </right>
      <top/>
      <bottom style="medium">
        <color indexed="64"/>
      </bottom>
      <diagonal/>
    </border>
    <border>
      <left/>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style="thin">
        <color indexed="64"/>
      </right>
      <top style="thin">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style="medium">
        <color indexed="64"/>
      </left>
      <right/>
      <top style="medium">
        <color indexed="64"/>
      </top>
      <bottom/>
      <diagonal/>
    </border>
    <border>
      <left style="thin">
        <color rgb="FF7F7F7F"/>
      </left>
      <right style="thin">
        <color rgb="FF7F7F7F"/>
      </right>
      <top style="medium">
        <color indexed="64"/>
      </top>
      <bottom style="thin">
        <color rgb="FF7F7F7F"/>
      </bottom>
      <diagonal/>
    </border>
    <border>
      <left style="thin">
        <color rgb="FF7F7F7F"/>
      </left>
      <right style="medium">
        <color indexed="64"/>
      </right>
      <top style="medium">
        <color indexed="64"/>
      </top>
      <bottom style="thin">
        <color rgb="FF7F7F7F"/>
      </bottom>
      <diagonal/>
    </border>
    <border>
      <left/>
      <right/>
      <top style="medium">
        <color indexed="64"/>
      </top>
      <bottom/>
      <diagonal/>
    </border>
    <border>
      <left style="thin">
        <color indexed="64"/>
      </left>
      <right/>
      <top style="medium">
        <color indexed="64"/>
      </top>
      <bottom/>
      <diagonal/>
    </border>
    <border>
      <left style="medium">
        <color indexed="64"/>
      </left>
      <right/>
      <top/>
      <bottom/>
      <diagonal/>
    </border>
    <border>
      <left/>
      <right style="medium">
        <color indexed="64"/>
      </right>
      <top/>
      <bottom/>
      <diagonal/>
    </border>
    <border>
      <left/>
      <right/>
      <top/>
      <bottom style="medium">
        <color indexed="64"/>
      </bottom>
      <diagonal/>
    </border>
    <border>
      <left style="thin">
        <color indexed="64"/>
      </left>
      <right/>
      <top/>
      <bottom style="medium">
        <color indexed="64"/>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rgb="FF7F7F7F"/>
      </left>
      <right style="thin">
        <color rgb="FF7F7F7F"/>
      </right>
      <top style="thin">
        <color rgb="FF7F7F7F"/>
      </top>
      <bottom/>
      <diagonal/>
    </border>
    <border>
      <left style="thin">
        <color rgb="FF7F7F7F"/>
      </left>
      <right/>
      <top style="thin">
        <color rgb="FF7F7F7F"/>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thin">
        <color indexed="64"/>
      </left>
      <right/>
      <top style="thin">
        <color indexed="64"/>
      </top>
      <bottom/>
      <diagonal/>
    </border>
    <border>
      <left style="thin">
        <color indexed="64"/>
      </left>
      <right/>
      <top/>
      <bottom style="thin">
        <color indexed="64"/>
      </bottom>
      <diagonal/>
    </border>
    <border>
      <left/>
      <right style="thin">
        <color rgb="FF7F7F7F"/>
      </right>
      <top style="thin">
        <color indexed="64"/>
      </top>
      <bottom style="thin">
        <color rgb="FF7F7F7F"/>
      </bottom>
      <diagonal/>
    </border>
    <border>
      <left style="thin">
        <color rgb="FF7F7F7F"/>
      </left>
      <right style="thin">
        <color rgb="FF7F7F7F"/>
      </right>
      <top style="thin">
        <color indexed="64"/>
      </top>
      <bottom style="thin">
        <color rgb="FF7F7F7F"/>
      </bottom>
      <diagonal/>
    </border>
    <border>
      <left style="thin">
        <color rgb="FF7F7F7F"/>
      </left>
      <right style="thin">
        <color indexed="64"/>
      </right>
      <top style="thin">
        <color indexed="64"/>
      </top>
      <bottom style="thin">
        <color rgb="FF7F7F7F"/>
      </bottom>
      <diagonal/>
    </border>
    <border>
      <left/>
      <right style="thin">
        <color rgb="FF7F7F7F"/>
      </right>
      <top style="thin">
        <color rgb="FF7F7F7F"/>
      </top>
      <bottom style="thin">
        <color rgb="FF7F7F7F"/>
      </bottom>
      <diagonal/>
    </border>
    <border>
      <left style="thin">
        <color rgb="FF7F7F7F"/>
      </left>
      <right style="thin">
        <color indexed="64"/>
      </right>
      <top style="thin">
        <color rgb="FF7F7F7F"/>
      </top>
      <bottom style="thin">
        <color rgb="FF7F7F7F"/>
      </bottom>
      <diagonal/>
    </border>
    <border>
      <left/>
      <right style="thin">
        <color rgb="FF7F7F7F"/>
      </right>
      <top style="thin">
        <color rgb="FF7F7F7F"/>
      </top>
      <bottom style="thin">
        <color indexed="64"/>
      </bottom>
      <diagonal/>
    </border>
    <border>
      <left style="thin">
        <color rgb="FF7F7F7F"/>
      </left>
      <right style="thin">
        <color rgb="FF7F7F7F"/>
      </right>
      <top style="thin">
        <color rgb="FF7F7F7F"/>
      </top>
      <bottom style="thin">
        <color indexed="64"/>
      </bottom>
      <diagonal/>
    </border>
    <border>
      <left style="thin">
        <color rgb="FF7F7F7F"/>
      </left>
      <right style="thin">
        <color indexed="64"/>
      </right>
      <top style="thin">
        <color rgb="FF7F7F7F"/>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thin">
        <color indexed="64"/>
      </top>
      <bottom style="thin">
        <color indexed="64"/>
      </bottom>
      <diagonal/>
    </border>
    <border>
      <left/>
      <right/>
      <top style="thin">
        <color auto="1"/>
      </top>
      <bottom style="thin">
        <color auto="1"/>
      </bottom>
      <diagonal/>
    </border>
    <border>
      <left/>
      <right style="thin">
        <color indexed="64"/>
      </right>
      <top style="thin">
        <color indexed="64"/>
      </top>
      <bottom style="thin">
        <color indexed="64"/>
      </bottom>
      <diagonal/>
    </border>
    <border>
      <left style="medium">
        <color rgb="FF808080"/>
      </left>
      <right style="medium">
        <color rgb="FF808080"/>
      </right>
      <top style="medium">
        <color rgb="FF808080"/>
      </top>
      <bottom style="medium">
        <color rgb="FF808080"/>
      </bottom>
      <diagonal/>
    </border>
    <border>
      <left/>
      <right style="medium">
        <color rgb="FF808080"/>
      </right>
      <top style="medium">
        <color rgb="FF808080"/>
      </top>
      <bottom style="medium">
        <color rgb="FF808080"/>
      </bottom>
      <diagonal/>
    </border>
    <border>
      <left style="medium">
        <color rgb="FF808080"/>
      </left>
      <right style="medium">
        <color rgb="FF808080"/>
      </right>
      <top style="medium">
        <color rgb="FF808080"/>
      </top>
      <bottom/>
      <diagonal/>
    </border>
    <border>
      <left/>
      <right style="medium">
        <color rgb="FF808080"/>
      </right>
      <top/>
      <bottom style="medium">
        <color rgb="FF808080"/>
      </bottom>
      <diagonal/>
    </border>
    <border>
      <left style="medium">
        <color rgb="FF808080"/>
      </left>
      <right style="medium">
        <color rgb="FF808080"/>
      </right>
      <top/>
      <bottom style="medium">
        <color rgb="FF808080"/>
      </bottom>
      <diagonal/>
    </border>
    <border>
      <left style="medium">
        <color rgb="FF808080"/>
      </left>
      <right style="medium">
        <color rgb="FF808080"/>
      </right>
      <top/>
      <bottom/>
      <diagonal/>
    </border>
    <border>
      <left/>
      <right style="medium">
        <color rgb="FF808080"/>
      </right>
      <top style="medium">
        <color rgb="FF808080"/>
      </top>
      <bottom/>
      <diagonal/>
    </border>
    <border>
      <left/>
      <right style="medium">
        <color rgb="FF808080"/>
      </right>
      <top/>
      <bottom/>
      <diagonal/>
    </border>
    <border>
      <left/>
      <right style="thin">
        <color rgb="FF000000"/>
      </right>
      <top/>
      <bottom/>
      <diagonal/>
    </border>
    <border>
      <left style="thin">
        <color indexed="62"/>
      </left>
      <right style="thin">
        <color indexed="62"/>
      </right>
      <top style="thin">
        <color indexed="62"/>
      </top>
      <bottom style="thin">
        <color indexed="62"/>
      </bottom>
      <diagonal/>
    </border>
    <border>
      <left style="thin">
        <color indexed="64"/>
      </left>
      <right style="thin">
        <color indexed="64"/>
      </right>
      <top style="thin">
        <color indexed="64"/>
      </top>
      <bottom/>
      <diagonal/>
    </border>
    <border>
      <left style="medium">
        <color indexed="64"/>
      </left>
      <right style="thin">
        <color rgb="FF7F7F7F"/>
      </right>
      <top style="medium">
        <color indexed="64"/>
      </top>
      <bottom style="thin">
        <color rgb="FF7F7F7F"/>
      </bottom>
      <diagonal/>
    </border>
  </borders>
  <cellStyleXfs count="27">
    <xf numFmtId="0" fontId="0" fillId="0" borderId="0"/>
    <xf numFmtId="172" fontId="1" fillId="0" borderId="0" applyFont="0" applyFill="0" applyBorder="0" applyAlignment="0" applyProtection="0"/>
    <xf numFmtId="9" fontId="1" fillId="0" borderId="0" applyFont="0" applyFill="0" applyBorder="0" applyAlignment="0" applyProtection="0"/>
    <xf numFmtId="0" fontId="2" fillId="0" borderId="1" applyNumberFormat="0" applyFill="0" applyAlignment="0" applyProtection="0"/>
    <xf numFmtId="0" fontId="3" fillId="0" borderId="2" applyNumberFormat="0" applyFill="0" applyAlignment="0" applyProtection="0"/>
    <xf numFmtId="0" fontId="3" fillId="0" borderId="0" applyNumberFormat="0" applyFill="0" applyBorder="0" applyAlignment="0" applyProtection="0"/>
    <xf numFmtId="0" fontId="4" fillId="2" borderId="0" applyNumberFormat="0" applyBorder="0" applyAlignment="0" applyProtection="0"/>
    <xf numFmtId="0" fontId="18" fillId="3" borderId="0" applyNumberFormat="0" applyBorder="0" applyAlignment="0" applyProtection="0"/>
    <xf numFmtId="0" fontId="5" fillId="4" borderId="3" applyNumberFormat="0" applyAlignment="0" applyProtection="0"/>
    <xf numFmtId="0" fontId="6" fillId="5" borderId="3" applyNumberFormat="0" applyAlignment="0" applyProtection="0"/>
    <xf numFmtId="0" fontId="9" fillId="6" borderId="0" applyNumberFormat="0" applyBorder="0" applyAlignment="0" applyProtection="0"/>
    <xf numFmtId="0" fontId="9" fillId="7" borderId="0" applyNumberFormat="0" applyBorder="0" applyAlignment="0" applyProtection="0"/>
    <xf numFmtId="0" fontId="10" fillId="0" borderId="0"/>
    <xf numFmtId="165" fontId="18" fillId="10" borderId="0" applyNumberFormat="0" applyBorder="0" applyAlignment="0" applyProtection="0"/>
    <xf numFmtId="0" fontId="34" fillId="0" borderId="0" applyNumberFormat="0" applyFill="0" applyBorder="0" applyAlignment="0" applyProtection="0">
      <alignment vertical="top"/>
      <protection locked="0"/>
    </xf>
    <xf numFmtId="4" fontId="22" fillId="0" borderId="0" applyNumberFormat="0" applyFill="0" applyBorder="0" applyAlignment="0" applyProtection="0">
      <alignment horizontal="center"/>
    </xf>
    <xf numFmtId="165" fontId="4" fillId="12" borderId="0" applyNumberFormat="0" applyBorder="0" applyAlignment="0" applyProtection="0"/>
    <xf numFmtId="9" fontId="10" fillId="0" borderId="0" applyFont="0" applyFill="0" applyBorder="0" applyAlignment="0" applyProtection="0"/>
    <xf numFmtId="0" fontId="37" fillId="0" borderId="1" applyNumberFormat="0" applyFill="0" applyAlignment="0" applyProtection="0"/>
    <xf numFmtId="0" fontId="10" fillId="0" borderId="0"/>
    <xf numFmtId="0" fontId="1" fillId="0" borderId="0"/>
    <xf numFmtId="0" fontId="20" fillId="0" borderId="0" applyNumberFormat="0" applyFill="0" applyBorder="0" applyAlignment="0" applyProtection="0"/>
    <xf numFmtId="0" fontId="64" fillId="0" borderId="0" applyNumberFormat="0" applyFill="0" applyBorder="0" applyAlignment="0" applyProtection="0">
      <alignment vertical="top"/>
      <protection locked="0"/>
    </xf>
    <xf numFmtId="183" fontId="1" fillId="0" borderId="0" applyFont="0" applyFill="0" applyBorder="0" applyAlignment="0" applyProtection="0"/>
    <xf numFmtId="165" fontId="5" fillId="4" borderId="3" applyNumberFormat="0" applyAlignment="0" applyProtection="0"/>
    <xf numFmtId="165" fontId="6" fillId="5" borderId="3" applyNumberFormat="0" applyAlignment="0" applyProtection="0"/>
    <xf numFmtId="0" fontId="1" fillId="0" borderId="0"/>
  </cellStyleXfs>
  <cellXfs count="450">
    <xf numFmtId="0" fontId="0" fillId="0" borderId="0" xfId="0"/>
    <xf numFmtId="0" fontId="0" fillId="0" borderId="9" xfId="0" applyBorder="1" applyAlignment="1">
      <alignment horizontal="center"/>
    </xf>
    <xf numFmtId="0" fontId="0" fillId="8" borderId="0" xfId="0" applyFill="1"/>
    <xf numFmtId="0" fontId="13" fillId="0" borderId="0" xfId="0" applyFont="1"/>
    <xf numFmtId="0" fontId="14" fillId="2" borderId="0" xfId="6" applyFont="1"/>
    <xf numFmtId="0" fontId="8" fillId="0" borderId="9" xfId="0" applyFont="1" applyBorder="1"/>
    <xf numFmtId="0" fontId="0" fillId="0" borderId="10" xfId="0" applyBorder="1" applyAlignment="1">
      <alignment wrapText="1"/>
    </xf>
    <xf numFmtId="22" fontId="0" fillId="0" borderId="9" xfId="0" applyNumberFormat="1" applyBorder="1"/>
    <xf numFmtId="0" fontId="0" fillId="0" borderId="9" xfId="0" applyBorder="1"/>
    <xf numFmtId="14" fontId="0" fillId="0" borderId="11" xfId="0" applyNumberFormat="1" applyBorder="1"/>
    <xf numFmtId="0" fontId="0" fillId="0" borderId="12" xfId="0" applyBorder="1"/>
    <xf numFmtId="0" fontId="0" fillId="0" borderId="13" xfId="0" applyBorder="1"/>
    <xf numFmtId="15" fontId="0" fillId="0" borderId="0" xfId="0" applyNumberFormat="1"/>
    <xf numFmtId="0" fontId="0" fillId="0" borderId="14" xfId="0" applyBorder="1"/>
    <xf numFmtId="0" fontId="0" fillId="0" borderId="15" xfId="0" applyBorder="1"/>
    <xf numFmtId="0" fontId="0" fillId="0" borderId="16" xfId="0" applyBorder="1"/>
    <xf numFmtId="0" fontId="0" fillId="0" borderId="17" xfId="0" applyBorder="1"/>
    <xf numFmtId="0" fontId="0" fillId="0" borderId="17" xfId="0" applyBorder="1" applyAlignment="1">
      <alignment wrapText="1"/>
    </xf>
    <xf numFmtId="22" fontId="0" fillId="0" borderId="0" xfId="0" applyNumberFormat="1"/>
    <xf numFmtId="0" fontId="0" fillId="0" borderId="0" xfId="0" applyAlignment="1">
      <alignment wrapText="1"/>
    </xf>
    <xf numFmtId="14" fontId="0" fillId="0" borderId="0" xfId="0" applyNumberFormat="1"/>
    <xf numFmtId="0" fontId="4" fillId="2" borderId="0" xfId="6"/>
    <xf numFmtId="17" fontId="0" fillId="0" borderId="0" xfId="0" applyNumberFormat="1"/>
    <xf numFmtId="16" fontId="0" fillId="0" borderId="0" xfId="0" applyNumberFormat="1"/>
    <xf numFmtId="0" fontId="0" fillId="0" borderId="0" xfId="0" applyAlignment="1">
      <alignment horizontal="center" vertical="center"/>
    </xf>
    <xf numFmtId="0" fontId="0" fillId="0" borderId="0" xfId="0" applyAlignment="1">
      <alignment horizontal="left" vertical="center" wrapText="1"/>
    </xf>
    <xf numFmtId="0" fontId="8" fillId="0" borderId="0" xfId="0" applyFont="1"/>
    <xf numFmtId="164" fontId="0" fillId="0" borderId="0" xfId="0" applyNumberFormat="1" applyAlignment="1">
      <alignment horizontal="left"/>
    </xf>
    <xf numFmtId="0" fontId="10" fillId="0" borderId="0" xfId="12"/>
    <xf numFmtId="0" fontId="11" fillId="0" borderId="0" xfId="12" applyFont="1"/>
    <xf numFmtId="0" fontId="10" fillId="0" borderId="0" xfId="12" applyAlignment="1">
      <alignment horizontal="center"/>
    </xf>
    <xf numFmtId="11" fontId="10" fillId="0" borderId="0" xfId="12" applyNumberFormat="1"/>
    <xf numFmtId="0" fontId="17" fillId="0" borderId="0" xfId="12" applyFont="1"/>
    <xf numFmtId="0" fontId="19" fillId="0" borderId="0" xfId="12" applyFont="1"/>
    <xf numFmtId="0" fontId="10" fillId="0" borderId="0" xfId="12" applyAlignment="1">
      <alignment horizontal="left"/>
    </xf>
    <xf numFmtId="0" fontId="10" fillId="0" borderId="0" xfId="12" applyAlignment="1">
      <alignment horizontal="right"/>
    </xf>
    <xf numFmtId="0" fontId="21" fillId="0" borderId="0" xfId="12" applyFont="1" applyAlignment="1">
      <alignment horizontal="center"/>
    </xf>
    <xf numFmtId="0" fontId="21" fillId="0" borderId="0" xfId="12" applyFont="1"/>
    <xf numFmtId="0" fontId="10" fillId="0" borderId="0" xfId="12" applyAlignment="1" applyProtection="1">
      <alignment horizontal="center"/>
      <protection locked="0"/>
    </xf>
    <xf numFmtId="0" fontId="11" fillId="0" borderId="0" xfId="12" applyFont="1" applyAlignment="1">
      <alignment horizontal="left"/>
    </xf>
    <xf numFmtId="0" fontId="11" fillId="0" borderId="0" xfId="12" applyFont="1" applyAlignment="1">
      <alignment horizontal="left" wrapText="1"/>
    </xf>
    <xf numFmtId="0" fontId="10" fillId="0" borderId="0" xfId="12" applyAlignment="1">
      <alignment horizontal="center" wrapText="1"/>
    </xf>
    <xf numFmtId="0" fontId="10" fillId="0" borderId="0" xfId="12" applyAlignment="1">
      <alignment wrapText="1"/>
    </xf>
    <xf numFmtId="0" fontId="10" fillId="11" borderId="0" xfId="12" applyFill="1" applyAlignment="1">
      <alignment wrapText="1"/>
    </xf>
    <xf numFmtId="0" fontId="10" fillId="11" borderId="0" xfId="12" applyFill="1" applyAlignment="1">
      <alignment horizontal="center" wrapText="1"/>
    </xf>
    <xf numFmtId="2" fontId="10" fillId="0" borderId="0" xfId="12" applyNumberFormat="1" applyAlignment="1">
      <alignment horizontal="center"/>
    </xf>
    <xf numFmtId="169" fontId="22" fillId="0" borderId="0" xfId="15" applyNumberFormat="1">
      <alignment horizontal="center"/>
    </xf>
    <xf numFmtId="4" fontId="22" fillId="0" borderId="0" xfId="15">
      <alignment horizontal="center"/>
    </xf>
    <xf numFmtId="4" fontId="6" fillId="5" borderId="20" xfId="9" applyNumberFormat="1" applyBorder="1" applyAlignment="1">
      <alignment horizontal="center"/>
    </xf>
    <xf numFmtId="0" fontId="6" fillId="5" borderId="21" xfId="9" applyBorder="1"/>
    <xf numFmtId="2" fontId="23" fillId="0" borderId="0" xfId="12" applyNumberFormat="1" applyFont="1" applyAlignment="1">
      <alignment horizontal="center"/>
    </xf>
    <xf numFmtId="0" fontId="24" fillId="0" borderId="19" xfId="12" applyFont="1" applyBorder="1"/>
    <xf numFmtId="0" fontId="10" fillId="0" borderId="22" xfId="12" applyBorder="1"/>
    <xf numFmtId="0" fontId="11" fillId="0" borderId="22" xfId="12" applyFont="1" applyBorder="1" applyAlignment="1">
      <alignment horizontal="center"/>
    </xf>
    <xf numFmtId="2" fontId="23" fillId="0" borderId="24" xfId="12" applyNumberFormat="1" applyFont="1" applyBorder="1" applyAlignment="1">
      <alignment horizontal="center"/>
    </xf>
    <xf numFmtId="0" fontId="10" fillId="0" borderId="25" xfId="12" applyBorder="1" applyAlignment="1" applyProtection="1">
      <alignment horizontal="center"/>
      <protection locked="0"/>
    </xf>
    <xf numFmtId="0" fontId="10" fillId="0" borderId="24" xfId="12" applyBorder="1"/>
    <xf numFmtId="168" fontId="0" fillId="0" borderId="0" xfId="0" applyNumberFormat="1"/>
    <xf numFmtId="1" fontId="10" fillId="0" borderId="25" xfId="12" applyNumberFormat="1" applyBorder="1"/>
    <xf numFmtId="0" fontId="6" fillId="5" borderId="3" xfId="9"/>
    <xf numFmtId="0" fontId="5" fillId="4" borderId="3" xfId="8"/>
    <xf numFmtId="168" fontId="0" fillId="0" borderId="18" xfId="0" applyNumberFormat="1" applyBorder="1"/>
    <xf numFmtId="1" fontId="4" fillId="12" borderId="0" xfId="16" applyNumberFormat="1" applyBorder="1"/>
    <xf numFmtId="1" fontId="5" fillId="4" borderId="3" xfId="8" applyNumberFormat="1"/>
    <xf numFmtId="0" fontId="10" fillId="0" borderId="24" xfId="12" applyBorder="1" applyAlignment="1" applyProtection="1">
      <alignment horizontal="left"/>
      <protection locked="0"/>
    </xf>
    <xf numFmtId="0" fontId="10" fillId="0" borderId="6" xfId="12" applyBorder="1"/>
    <xf numFmtId="0" fontId="10" fillId="0" borderId="26" xfId="12" applyBorder="1"/>
    <xf numFmtId="0" fontId="10" fillId="0" borderId="26" xfId="12" applyBorder="1" applyAlignment="1">
      <alignment horizontal="center"/>
    </xf>
    <xf numFmtId="0" fontId="10" fillId="0" borderId="6" xfId="12" applyBorder="1" applyAlignment="1">
      <alignment horizontal="left"/>
    </xf>
    <xf numFmtId="0" fontId="11" fillId="0" borderId="19" xfId="12" applyFont="1" applyBorder="1"/>
    <xf numFmtId="0" fontId="10" fillId="0" borderId="22" xfId="12" applyBorder="1" applyAlignment="1">
      <alignment horizontal="center"/>
    </xf>
    <xf numFmtId="0" fontId="0" fillId="0" borderId="24" xfId="0" applyBorder="1"/>
    <xf numFmtId="167" fontId="10" fillId="0" borderId="0" xfId="12" applyNumberFormat="1"/>
    <xf numFmtId="0" fontId="0" fillId="0" borderId="18" xfId="0" applyBorder="1"/>
    <xf numFmtId="0" fontId="10" fillId="0" borderId="25" xfId="12" applyBorder="1"/>
    <xf numFmtId="168" fontId="10" fillId="0" borderId="0" xfId="12" applyNumberFormat="1"/>
    <xf numFmtId="0" fontId="10" fillId="0" borderId="0" xfId="12" quotePrefix="1"/>
    <xf numFmtId="1" fontId="0" fillId="0" borderId="0" xfId="0" applyNumberFormat="1"/>
    <xf numFmtId="1" fontId="0" fillId="0" borderId="25" xfId="0" applyNumberFormat="1" applyBorder="1"/>
    <xf numFmtId="9" fontId="10" fillId="0" borderId="0" xfId="2" applyFont="1" applyAlignment="1">
      <alignment horizontal="right"/>
    </xf>
    <xf numFmtId="0" fontId="11" fillId="0" borderId="24" xfId="12" applyFont="1" applyBorder="1"/>
    <xf numFmtId="0" fontId="8" fillId="0" borderId="0" xfId="0" applyFont="1" applyAlignment="1">
      <alignment wrapText="1"/>
    </xf>
    <xf numFmtId="2" fontId="0" fillId="0" borderId="0" xfId="0" applyNumberFormat="1"/>
    <xf numFmtId="2" fontId="0" fillId="0" borderId="25" xfId="0" applyNumberFormat="1" applyBorder="1"/>
    <xf numFmtId="0" fontId="25" fillId="0" borderId="5" xfId="0" applyFont="1" applyBorder="1" applyAlignment="1">
      <alignment vertical="top"/>
    </xf>
    <xf numFmtId="0" fontId="26" fillId="0" borderId="4" xfId="0" applyFont="1" applyBorder="1" applyAlignment="1">
      <alignment horizontal="center" vertical="center"/>
    </xf>
    <xf numFmtId="0" fontId="26" fillId="0" borderId="28" xfId="0" applyFont="1" applyBorder="1" applyAlignment="1">
      <alignment horizontal="center" vertical="center"/>
    </xf>
    <xf numFmtId="0" fontId="27" fillId="0" borderId="28" xfId="0" applyFont="1" applyBorder="1" applyAlignment="1">
      <alignment vertical="top"/>
    </xf>
    <xf numFmtId="0" fontId="26" fillId="0" borderId="8" xfId="0" applyFont="1" applyBorder="1" applyAlignment="1">
      <alignment horizontal="center" vertical="center"/>
    </xf>
    <xf numFmtId="166" fontId="10" fillId="0" borderId="0" xfId="2" applyNumberFormat="1" applyFont="1"/>
    <xf numFmtId="0" fontId="28" fillId="0" borderId="7" xfId="0" applyFont="1" applyBorder="1" applyAlignment="1">
      <alignment vertical="center"/>
    </xf>
    <xf numFmtId="0" fontId="26" fillId="0" borderId="29" xfId="0" applyFont="1" applyBorder="1" applyAlignment="1">
      <alignment vertical="center"/>
    </xf>
    <xf numFmtId="0" fontId="26" fillId="0" borderId="29" xfId="0" applyFont="1" applyBorder="1" applyAlignment="1">
      <alignment horizontal="center" vertical="center"/>
    </xf>
    <xf numFmtId="49" fontId="28" fillId="0" borderId="29" xfId="0" applyNumberFormat="1" applyFont="1" applyBorder="1" applyAlignment="1">
      <alignment vertical="center"/>
    </xf>
    <xf numFmtId="49" fontId="28" fillId="0" borderId="29" xfId="0" applyNumberFormat="1" applyFont="1" applyBorder="1" applyAlignment="1">
      <alignment horizontal="center" vertical="center"/>
    </xf>
    <xf numFmtId="0" fontId="0" fillId="0" borderId="26" xfId="0" applyBorder="1"/>
    <xf numFmtId="168" fontId="0" fillId="0" borderId="26" xfId="0" applyNumberFormat="1" applyBorder="1"/>
    <xf numFmtId="1" fontId="0" fillId="0" borderId="26" xfId="0" applyNumberFormat="1" applyBorder="1"/>
    <xf numFmtId="1" fontId="0" fillId="0" borderId="29" xfId="0" applyNumberFormat="1" applyBorder="1"/>
    <xf numFmtId="0" fontId="6" fillId="5" borderId="3" xfId="9" applyAlignment="1">
      <alignment horizontal="center"/>
    </xf>
    <xf numFmtId="0" fontId="6" fillId="5" borderId="30" xfId="9" applyBorder="1"/>
    <xf numFmtId="0" fontId="6" fillId="5" borderId="31" xfId="9" applyBorder="1"/>
    <xf numFmtId="0" fontId="10" fillId="0" borderId="32" xfId="12" applyBorder="1"/>
    <xf numFmtId="9" fontId="10" fillId="0" borderId="0" xfId="2" applyFont="1"/>
    <xf numFmtId="0" fontId="0" fillId="0" borderId="19" xfId="0" applyBorder="1"/>
    <xf numFmtId="0" fontId="10" fillId="0" borderId="23" xfId="12" applyBorder="1"/>
    <xf numFmtId="0" fontId="10" fillId="0" borderId="33" xfId="12" applyBorder="1"/>
    <xf numFmtId="0" fontId="0" fillId="0" borderId="11" xfId="0" applyBorder="1"/>
    <xf numFmtId="166" fontId="10" fillId="0" borderId="0" xfId="2" applyNumberFormat="1" applyFont="1" applyAlignment="1">
      <alignment horizontal="center"/>
    </xf>
    <xf numFmtId="0" fontId="5" fillId="4" borderId="3" xfId="8" applyAlignment="1" applyProtection="1">
      <alignment horizontal="center"/>
      <protection locked="0"/>
    </xf>
    <xf numFmtId="166" fontId="1" fillId="0" borderId="24" xfId="2" applyNumberFormat="1" applyFont="1" applyBorder="1"/>
    <xf numFmtId="9" fontId="4" fillId="2" borderId="0" xfId="6" applyNumberFormat="1"/>
    <xf numFmtId="166" fontId="10" fillId="0" borderId="18" xfId="12" applyNumberFormat="1" applyBorder="1"/>
    <xf numFmtId="9" fontId="10" fillId="0" borderId="0" xfId="12" applyNumberFormat="1"/>
    <xf numFmtId="166" fontId="10" fillId="0" borderId="0" xfId="12" applyNumberFormat="1"/>
    <xf numFmtId="0" fontId="29" fillId="0" borderId="34" xfId="0" applyFont="1" applyBorder="1"/>
    <xf numFmtId="166" fontId="4" fillId="2" borderId="0" xfId="6" applyNumberFormat="1"/>
    <xf numFmtId="166" fontId="10" fillId="0" borderId="0" xfId="2" applyNumberFormat="1" applyFont="1" applyBorder="1"/>
    <xf numFmtId="4" fontId="10" fillId="0" borderId="33" xfId="12" applyNumberFormat="1" applyBorder="1"/>
    <xf numFmtId="166" fontId="1" fillId="0" borderId="6" xfId="2" applyNumberFormat="1" applyFont="1" applyBorder="1"/>
    <xf numFmtId="166" fontId="4" fillId="2" borderId="26" xfId="6" applyNumberFormat="1" applyBorder="1"/>
    <xf numFmtId="166" fontId="10" fillId="0" borderId="26" xfId="2" applyNumberFormat="1" applyFont="1" applyBorder="1"/>
    <xf numFmtId="166" fontId="10" fillId="0" borderId="27" xfId="2" applyNumberFormat="1" applyFont="1" applyBorder="1"/>
    <xf numFmtId="166" fontId="10" fillId="0" borderId="26" xfId="12" applyNumberFormat="1" applyBorder="1"/>
    <xf numFmtId="4" fontId="10" fillId="0" borderId="7" xfId="12" applyNumberFormat="1" applyBorder="1"/>
    <xf numFmtId="2" fontId="10" fillId="0" borderId="0" xfId="12" applyNumberFormat="1"/>
    <xf numFmtId="0" fontId="0" fillId="0" borderId="0" xfId="0" applyAlignment="1">
      <alignment horizontal="left"/>
    </xf>
    <xf numFmtId="0" fontId="8" fillId="0" borderId="0" xfId="0" applyFont="1" applyAlignment="1">
      <alignment horizontal="center" vertical="center"/>
    </xf>
    <xf numFmtId="0" fontId="8" fillId="0" borderId="0" xfId="0" applyFont="1" applyAlignment="1">
      <alignment horizontal="left" vertical="center"/>
    </xf>
    <xf numFmtId="0" fontId="0" fillId="0" borderId="0" xfId="0" applyAlignment="1">
      <alignment horizontal="right" vertical="center"/>
    </xf>
    <xf numFmtId="0" fontId="11" fillId="0" borderId="14" xfId="12" applyFont="1" applyBorder="1"/>
    <xf numFmtId="0" fontId="11" fillId="0" borderId="14" xfId="12" applyFont="1" applyBorder="1" applyAlignment="1">
      <alignment horizontal="center"/>
    </xf>
    <xf numFmtId="0" fontId="10" fillId="0" borderId="14" xfId="12" applyBorder="1"/>
    <xf numFmtId="2" fontId="11" fillId="0" borderId="14" xfId="12" applyNumberFormat="1" applyFont="1" applyBorder="1" applyAlignment="1">
      <alignment horizontal="center"/>
    </xf>
    <xf numFmtId="2" fontId="10" fillId="0" borderId="14" xfId="12" applyNumberFormat="1" applyBorder="1" applyAlignment="1">
      <alignment horizontal="center"/>
    </xf>
    <xf numFmtId="0" fontId="8" fillId="0" borderId="0" xfId="0" applyFont="1" applyAlignment="1">
      <alignment horizontal="right" vertical="center"/>
    </xf>
    <xf numFmtId="2" fontId="10" fillId="0" borderId="0" xfId="12" applyNumberFormat="1" applyAlignment="1">
      <alignment horizontal="left"/>
    </xf>
    <xf numFmtId="170" fontId="10" fillId="0" borderId="0" xfId="12" applyNumberFormat="1" applyAlignment="1" applyProtection="1">
      <alignment horizontal="right"/>
      <protection locked="0"/>
    </xf>
    <xf numFmtId="2" fontId="30" fillId="0" borderId="0" xfId="12" applyNumberFormat="1" applyFont="1" applyAlignment="1">
      <alignment horizontal="center"/>
    </xf>
    <xf numFmtId="3" fontId="10" fillId="0" borderId="0" xfId="12" applyNumberFormat="1" applyAlignment="1">
      <alignment horizontal="left"/>
    </xf>
    <xf numFmtId="2" fontId="10" fillId="0" borderId="26" xfId="12" applyNumberFormat="1" applyBorder="1" applyAlignment="1">
      <alignment horizontal="center"/>
    </xf>
    <xf numFmtId="2" fontId="11" fillId="0" borderId="0" xfId="12" applyNumberFormat="1" applyFont="1" applyAlignment="1">
      <alignment horizontal="left"/>
    </xf>
    <xf numFmtId="0" fontId="0" fillId="0" borderId="0" xfId="0" applyAlignment="1">
      <alignment horizontal="center"/>
    </xf>
    <xf numFmtId="0" fontId="17" fillId="0" borderId="0" xfId="12" applyFont="1" applyAlignment="1">
      <alignment wrapText="1"/>
    </xf>
    <xf numFmtId="0" fontId="31" fillId="0" borderId="0" xfId="12" applyFont="1"/>
    <xf numFmtId="0" fontId="11" fillId="0" borderId="0" xfId="12" applyFont="1" applyAlignment="1">
      <alignment horizontal="center" wrapText="1"/>
    </xf>
    <xf numFmtId="166" fontId="11" fillId="0" borderId="0" xfId="2" applyNumberFormat="1" applyFont="1" applyFill="1" applyBorder="1" applyAlignment="1">
      <alignment horizontal="center" wrapText="1"/>
    </xf>
    <xf numFmtId="0" fontId="11" fillId="0" borderId="11" xfId="12" applyFont="1" applyBorder="1" applyAlignment="1">
      <alignment horizontal="center" wrapText="1"/>
    </xf>
    <xf numFmtId="0" fontId="11" fillId="0" borderId="0" xfId="12" applyFont="1" applyAlignment="1">
      <alignment horizontal="center" vertical="center" wrapText="1"/>
    </xf>
    <xf numFmtId="0" fontId="10" fillId="0" borderId="0" xfId="12" applyAlignment="1">
      <alignment horizontal="center" vertical="center"/>
    </xf>
    <xf numFmtId="2" fontId="32" fillId="0" borderId="26" xfId="12" applyNumberFormat="1" applyFont="1" applyBorder="1" applyAlignment="1">
      <alignment horizontal="center"/>
    </xf>
    <xf numFmtId="1" fontId="10" fillId="0" borderId="26" xfId="12" applyNumberFormat="1" applyBorder="1" applyAlignment="1">
      <alignment horizontal="center"/>
    </xf>
    <xf numFmtId="0" fontId="11" fillId="13" borderId="27" xfId="12" applyFont="1" applyFill="1" applyBorder="1" applyAlignment="1">
      <alignment horizontal="center" wrapText="1"/>
    </xf>
    <xf numFmtId="0" fontId="11" fillId="13" borderId="26" xfId="12" applyFont="1" applyFill="1" applyBorder="1" applyAlignment="1">
      <alignment horizontal="center" wrapText="1"/>
    </xf>
    <xf numFmtId="2" fontId="10" fillId="0" borderId="26" xfId="12" applyNumberFormat="1" applyBorder="1"/>
    <xf numFmtId="0" fontId="11" fillId="0" borderId="0" xfId="12" applyFont="1" applyAlignment="1" applyProtection="1">
      <alignment horizontal="left"/>
      <protection locked="0"/>
    </xf>
    <xf numFmtId="0" fontId="31" fillId="0" borderId="0" xfId="12" applyFont="1" applyAlignment="1" applyProtection="1">
      <alignment horizontal="center"/>
      <protection locked="0"/>
    </xf>
    <xf numFmtId="0" fontId="31" fillId="0" borderId="0" xfId="12" applyFont="1" applyAlignment="1">
      <alignment horizontal="center"/>
    </xf>
    <xf numFmtId="0" fontId="10" fillId="0" borderId="0" xfId="12" applyAlignment="1" applyProtection="1">
      <alignment horizontal="left"/>
      <protection locked="0"/>
    </xf>
    <xf numFmtId="0" fontId="33" fillId="0" borderId="0" xfId="6" applyFont="1" applyFill="1" applyBorder="1"/>
    <xf numFmtId="3" fontId="10" fillId="0" borderId="0" xfId="12" applyNumberFormat="1" applyAlignment="1">
      <alignment horizontal="right"/>
    </xf>
    <xf numFmtId="0" fontId="10" fillId="0" borderId="0" xfId="17" applyNumberFormat="1" applyFont="1" applyFill="1" applyBorder="1" applyAlignment="1"/>
    <xf numFmtId="0" fontId="10" fillId="0" borderId="0" xfId="17" applyNumberFormat="1" applyFont="1" applyFill="1" applyBorder="1" applyAlignment="1">
      <alignment horizontal="right"/>
    </xf>
    <xf numFmtId="0" fontId="31" fillId="0" borderId="0" xfId="12" applyFont="1" applyAlignment="1" applyProtection="1">
      <alignment horizontal="left"/>
      <protection locked="0"/>
    </xf>
    <xf numFmtId="166" fontId="10" fillId="0" borderId="0" xfId="17" applyNumberFormat="1" applyFont="1" applyFill="1" applyAlignment="1">
      <alignment horizontal="right"/>
    </xf>
    <xf numFmtId="2" fontId="10" fillId="0" borderId="0" xfId="17" applyNumberFormat="1" applyFont="1" applyFill="1" applyBorder="1" applyAlignment="1">
      <alignment horizontal="right"/>
    </xf>
    <xf numFmtId="0" fontId="10" fillId="0" borderId="0" xfId="17" applyNumberFormat="1" applyFont="1" applyFill="1" applyAlignment="1">
      <alignment horizontal="right"/>
    </xf>
    <xf numFmtId="2" fontId="10" fillId="0" borderId="0" xfId="17" applyNumberFormat="1" applyFont="1" applyFill="1" applyAlignment="1">
      <alignment horizontal="right"/>
    </xf>
    <xf numFmtId="0" fontId="34" fillId="0" borderId="0" xfId="14" applyAlignment="1" applyProtection="1"/>
    <xf numFmtId="165" fontId="37" fillId="0" borderId="1" xfId="18" applyNumberFormat="1"/>
    <xf numFmtId="0" fontId="38" fillId="0" borderId="0" xfId="0" applyFont="1"/>
    <xf numFmtId="165" fontId="39" fillId="0" borderId="0" xfId="19" applyNumberFormat="1" applyFont="1"/>
    <xf numFmtId="0" fontId="39" fillId="0" borderId="0" xfId="20" applyFont="1"/>
    <xf numFmtId="0" fontId="41" fillId="0" borderId="0" xfId="0" applyFont="1" applyAlignment="1">
      <alignment horizontal="right"/>
    </xf>
    <xf numFmtId="167" fontId="41" fillId="0" borderId="0" xfId="0" applyNumberFormat="1" applyFont="1"/>
    <xf numFmtId="0" fontId="41" fillId="0" borderId="0" xfId="0" applyFont="1" applyAlignment="1">
      <alignment horizontal="left"/>
    </xf>
    <xf numFmtId="0" fontId="0" fillId="0" borderId="0" xfId="0" applyAlignment="1">
      <alignment horizontal="center" wrapText="1"/>
    </xf>
    <xf numFmtId="0" fontId="39" fillId="0" borderId="0" xfId="0" applyFont="1" applyAlignment="1">
      <alignment horizontal="right" vertical="top" wrapText="1"/>
    </xf>
    <xf numFmtId="171" fontId="39" fillId="0" borderId="0" xfId="0" applyNumberFormat="1" applyFont="1"/>
    <xf numFmtId="0" fontId="39" fillId="0" borderId="0" xfId="0" applyFont="1"/>
    <xf numFmtId="0" fontId="39" fillId="0" borderId="0" xfId="0" applyFont="1" applyAlignment="1">
      <alignment horizontal="right"/>
    </xf>
    <xf numFmtId="0" fontId="8" fillId="0" borderId="18" xfId="0" applyFont="1" applyBorder="1" applyAlignment="1">
      <alignment horizontal="left" wrapText="1"/>
    </xf>
    <xf numFmtId="0" fontId="8" fillId="0" borderId="17" xfId="0" applyFont="1" applyBorder="1" applyAlignment="1">
      <alignment horizontal="left"/>
    </xf>
    <xf numFmtId="16" fontId="0" fillId="15" borderId="18" xfId="0" applyNumberFormat="1" applyFill="1" applyBorder="1"/>
    <xf numFmtId="0" fontId="0" fillId="15" borderId="0" xfId="0" applyFill="1"/>
    <xf numFmtId="0" fontId="0" fillId="16" borderId="17" xfId="0" applyFill="1" applyBorder="1" applyAlignment="1">
      <alignment horizontal="center" wrapText="1"/>
    </xf>
    <xf numFmtId="168" fontId="0" fillId="0" borderId="0" xfId="0" quotePrefix="1" applyNumberFormat="1"/>
    <xf numFmtId="0" fontId="44" fillId="0" borderId="0" xfId="0" applyFont="1"/>
    <xf numFmtId="166" fontId="9" fillId="7" borderId="0" xfId="11" applyNumberFormat="1"/>
    <xf numFmtId="9" fontId="9" fillId="7" borderId="0" xfId="11" applyNumberFormat="1"/>
    <xf numFmtId="9" fontId="9" fillId="6" borderId="0" xfId="10" applyNumberFormat="1"/>
    <xf numFmtId="0" fontId="0" fillId="0" borderId="34" xfId="0" applyBorder="1"/>
    <xf numFmtId="168" fontId="0" fillId="0" borderId="34" xfId="0" applyNumberFormat="1" applyBorder="1"/>
    <xf numFmtId="168" fontId="0" fillId="0" borderId="11" xfId="0" applyNumberFormat="1" applyBorder="1"/>
    <xf numFmtId="168" fontId="0" fillId="0" borderId="12" xfId="0" applyNumberFormat="1" applyBorder="1"/>
    <xf numFmtId="9" fontId="5" fillId="4" borderId="36" xfId="8" applyNumberFormat="1" applyBorder="1"/>
    <xf numFmtId="9" fontId="5" fillId="4" borderId="37" xfId="8" applyNumberFormat="1" applyBorder="1"/>
    <xf numFmtId="9" fontId="5" fillId="4" borderId="38" xfId="8" applyNumberFormat="1" applyBorder="1"/>
    <xf numFmtId="173" fontId="45" fillId="0" borderId="0" xfId="1" applyNumberFormat="1" applyFont="1"/>
    <xf numFmtId="173" fontId="0" fillId="0" borderId="0" xfId="1" applyNumberFormat="1" applyFont="1"/>
    <xf numFmtId="168" fontId="0" fillId="0" borderId="17" xfId="0" applyNumberFormat="1" applyBorder="1"/>
    <xf numFmtId="0" fontId="8" fillId="0" borderId="9" xfId="0" applyFont="1" applyBorder="1" applyAlignment="1">
      <alignment horizontal="center"/>
    </xf>
    <xf numFmtId="9" fontId="46" fillId="4" borderId="39" xfId="8" applyNumberFormat="1" applyFont="1" applyBorder="1"/>
    <xf numFmtId="9" fontId="46" fillId="4" borderId="3" xfId="8" applyNumberFormat="1" applyFont="1"/>
    <xf numFmtId="9" fontId="46" fillId="4" borderId="40" xfId="8" applyNumberFormat="1" applyFont="1" applyBorder="1"/>
    <xf numFmtId="9" fontId="5" fillId="4" borderId="39" xfId="8" applyNumberFormat="1" applyBorder="1"/>
    <xf numFmtId="9" fontId="5" fillId="4" borderId="3" xfId="8" applyNumberFormat="1"/>
    <xf numFmtId="9" fontId="5" fillId="4" borderId="40" xfId="8" applyNumberFormat="1" applyBorder="1"/>
    <xf numFmtId="0" fontId="0" fillId="0" borderId="10" xfId="0" applyBorder="1"/>
    <xf numFmtId="171" fontId="39" fillId="0" borderId="0" xfId="0" applyNumberFormat="1" applyFont="1" applyAlignment="1">
      <alignment vertical="top" wrapText="1"/>
    </xf>
    <xf numFmtId="0" fontId="0" fillId="0" borderId="35" xfId="0" applyBorder="1"/>
    <xf numFmtId="168" fontId="0" fillId="0" borderId="35" xfId="0" applyNumberFormat="1" applyBorder="1"/>
    <xf numFmtId="168" fontId="0" fillId="0" borderId="14" xfId="0" applyNumberFormat="1" applyBorder="1"/>
    <xf numFmtId="168" fontId="0" fillId="0" borderId="10" xfId="0" applyNumberFormat="1" applyBorder="1"/>
    <xf numFmtId="9" fontId="5" fillId="4" borderId="41" xfId="8" applyNumberFormat="1" applyBorder="1"/>
    <xf numFmtId="9" fontId="5" fillId="4" borderId="42" xfId="8" applyNumberFormat="1" applyBorder="1"/>
    <xf numFmtId="9" fontId="5" fillId="4" borderId="43" xfId="8" applyNumberFormat="1" applyBorder="1"/>
    <xf numFmtId="10" fontId="0" fillId="0" borderId="0" xfId="2" applyNumberFormat="1" applyFont="1"/>
    <xf numFmtId="0" fontId="41" fillId="0" borderId="0" xfId="0" applyFont="1"/>
    <xf numFmtId="174" fontId="41" fillId="0" borderId="0" xfId="0" applyNumberFormat="1" applyFont="1"/>
    <xf numFmtId="0" fontId="0" fillId="0" borderId="45" xfId="0" applyBorder="1"/>
    <xf numFmtId="0" fontId="0" fillId="0" borderId="46" xfId="0" applyBorder="1"/>
    <xf numFmtId="0" fontId="0" fillId="0" borderId="22" xfId="0" applyBorder="1"/>
    <xf numFmtId="0" fontId="0" fillId="0" borderId="47" xfId="0" applyBorder="1"/>
    <xf numFmtId="0" fontId="0" fillId="0" borderId="49" xfId="0" applyBorder="1"/>
    <xf numFmtId="0" fontId="0" fillId="0" borderId="51" xfId="0" applyBorder="1"/>
    <xf numFmtId="0" fontId="0" fillId="0" borderId="52" xfId="0" applyBorder="1"/>
    <xf numFmtId="0" fontId="0" fillId="0" borderId="29" xfId="0" applyBorder="1"/>
    <xf numFmtId="0" fontId="8" fillId="0" borderId="53" xfId="0" applyFont="1" applyBorder="1"/>
    <xf numFmtId="0" fontId="8" fillId="0" borderId="54" xfId="0" applyFont="1" applyBorder="1"/>
    <xf numFmtId="0" fontId="8" fillId="0" borderId="54" xfId="0" applyFont="1" applyBorder="1" applyAlignment="1">
      <alignment horizontal="right"/>
    </xf>
    <xf numFmtId="0" fontId="8" fillId="0" borderId="55" xfId="0" applyFont="1" applyBorder="1" applyAlignment="1">
      <alignment horizontal="right"/>
    </xf>
    <xf numFmtId="9" fontId="33" fillId="3" borderId="0" xfId="7" applyNumberFormat="1" applyFont="1" applyAlignment="1">
      <alignment horizontal="center"/>
    </xf>
    <xf numFmtId="0" fontId="0" fillId="0" borderId="24" xfId="0" applyBorder="1" applyAlignment="1">
      <alignment horizontal="center" wrapText="1"/>
    </xf>
    <xf numFmtId="9" fontId="0" fillId="0" borderId="24" xfId="0" applyNumberFormat="1" applyBorder="1" applyAlignment="1">
      <alignment horizontal="center" wrapText="1"/>
    </xf>
    <xf numFmtId="0" fontId="0" fillId="0" borderId="4" xfId="0" applyBorder="1" applyAlignment="1">
      <alignment horizontal="center" wrapText="1"/>
    </xf>
    <xf numFmtId="0" fontId="0" fillId="0" borderId="5" xfId="0" applyBorder="1" applyAlignment="1">
      <alignment horizontal="center" wrapText="1"/>
    </xf>
    <xf numFmtId="0" fontId="7" fillId="0" borderId="0" xfId="0" applyFont="1"/>
    <xf numFmtId="166" fontId="0" fillId="0" borderId="22" xfId="2" applyNumberFormat="1" applyFont="1" applyBorder="1"/>
    <xf numFmtId="175" fontId="0" fillId="0" borderId="22" xfId="1" applyNumberFormat="1" applyFont="1" applyBorder="1"/>
    <xf numFmtId="166" fontId="0" fillId="0" borderId="0" xfId="2" applyNumberFormat="1" applyFont="1" applyBorder="1"/>
    <xf numFmtId="175" fontId="0" fillId="0" borderId="0" xfId="1" applyNumberFormat="1" applyFont="1" applyBorder="1"/>
    <xf numFmtId="0" fontId="0" fillId="0" borderId="25" xfId="0" applyBorder="1"/>
    <xf numFmtId="0" fontId="7" fillId="0" borderId="18" xfId="0" applyFont="1" applyBorder="1"/>
    <xf numFmtId="0" fontId="7" fillId="0" borderId="13" xfId="0" applyFont="1" applyBorder="1"/>
    <xf numFmtId="0" fontId="7" fillId="0" borderId="9" xfId="0" applyFont="1" applyBorder="1"/>
    <xf numFmtId="166" fontId="0" fillId="0" borderId="26" xfId="2" applyNumberFormat="1" applyFont="1" applyBorder="1"/>
    <xf numFmtId="175" fontId="0" fillId="0" borderId="26" xfId="1" applyNumberFormat="1" applyFont="1" applyBorder="1"/>
    <xf numFmtId="0" fontId="0" fillId="0" borderId="53" xfId="0" applyBorder="1"/>
    <xf numFmtId="0" fontId="0" fillId="0" borderId="54" xfId="0" applyBorder="1"/>
    <xf numFmtId="0" fontId="0" fillId="0" borderId="55" xfId="0" applyBorder="1"/>
    <xf numFmtId="0" fontId="7" fillId="0" borderId="35" xfId="0" applyFont="1" applyBorder="1"/>
    <xf numFmtId="0" fontId="7" fillId="0" borderId="14" xfId="0" applyFont="1" applyBorder="1"/>
    <xf numFmtId="0" fontId="7" fillId="0" borderId="15" xfId="0" applyFont="1" applyBorder="1"/>
    <xf numFmtId="9" fontId="0" fillId="0" borderId="0" xfId="0" applyNumberFormat="1"/>
    <xf numFmtId="0" fontId="8" fillId="0" borderId="14" xfId="0" applyFont="1" applyBorder="1"/>
    <xf numFmtId="171" fontId="0" fillId="0" borderId="0" xfId="0" applyNumberFormat="1"/>
    <xf numFmtId="0" fontId="0" fillId="0" borderId="0" xfId="0" applyAlignment="1">
      <alignment horizontal="right"/>
    </xf>
    <xf numFmtId="0" fontId="0" fillId="0" borderId="9" xfId="0" applyBorder="1" applyAlignment="1">
      <alignment horizontal="center" wrapText="1"/>
    </xf>
    <xf numFmtId="9" fontId="0" fillId="0" borderId="9" xfId="2" applyFont="1" applyBorder="1"/>
    <xf numFmtId="0" fontId="47" fillId="0" borderId="0" xfId="0" applyFont="1"/>
    <xf numFmtId="0" fontId="48" fillId="0" borderId="0" xfId="0" applyFont="1"/>
    <xf numFmtId="0" fontId="49" fillId="0" borderId="0" xfId="0" applyFont="1"/>
    <xf numFmtId="0" fontId="50" fillId="0" borderId="0" xfId="0" applyFont="1"/>
    <xf numFmtId="0" fontId="51" fillId="18" borderId="56" xfId="0" applyFont="1" applyFill="1" applyBorder="1" applyAlignment="1">
      <alignment horizontal="center" vertical="center" wrapText="1"/>
    </xf>
    <xf numFmtId="0" fontId="51" fillId="18" borderId="57" xfId="0" applyFont="1" applyFill="1" applyBorder="1" applyAlignment="1">
      <alignment horizontal="center" vertical="center" wrapText="1"/>
    </xf>
    <xf numFmtId="0" fontId="38" fillId="0" borderId="59" xfId="0" applyFont="1" applyBorder="1" applyAlignment="1">
      <alignment horizontal="center" vertical="center" wrapText="1"/>
    </xf>
    <xf numFmtId="0" fontId="54" fillId="18" borderId="58" xfId="0" applyFont="1" applyFill="1" applyBorder="1" applyAlignment="1">
      <alignment horizontal="justify" vertical="center"/>
    </xf>
    <xf numFmtId="0" fontId="54" fillId="18" borderId="62" xfId="0" applyFont="1" applyFill="1" applyBorder="1" applyAlignment="1">
      <alignment horizontal="center" vertical="center"/>
    </xf>
    <xf numFmtId="0" fontId="54" fillId="18" borderId="63" xfId="0" applyFont="1" applyFill="1" applyBorder="1" applyAlignment="1">
      <alignment horizontal="center" vertical="center"/>
    </xf>
    <xf numFmtId="0" fontId="38" fillId="0" borderId="61" xfId="0" applyFont="1" applyBorder="1" applyAlignment="1">
      <alignment horizontal="justify" vertical="center"/>
    </xf>
    <xf numFmtId="1" fontId="38" fillId="0" borderId="63" xfId="0" applyNumberFormat="1" applyFont="1" applyBorder="1" applyAlignment="1">
      <alignment horizontal="center" vertical="center"/>
    </xf>
    <xf numFmtId="10" fontId="38" fillId="0" borderId="63" xfId="2" applyNumberFormat="1" applyFont="1" applyBorder="1" applyAlignment="1">
      <alignment horizontal="center" vertical="center"/>
    </xf>
    <xf numFmtId="0" fontId="38" fillId="0" borderId="61" xfId="0" applyFont="1" applyBorder="1" applyAlignment="1">
      <alignment horizontal="center" vertical="center"/>
    </xf>
    <xf numFmtId="0" fontId="0" fillId="19" borderId="0" xfId="0" applyFill="1"/>
    <xf numFmtId="176" fontId="0" fillId="0" borderId="0" xfId="1" applyNumberFormat="1" applyFont="1"/>
    <xf numFmtId="0" fontId="0" fillId="20" borderId="0" xfId="0" applyFill="1"/>
    <xf numFmtId="0" fontId="38" fillId="0" borderId="60" xfId="0" applyFont="1" applyBorder="1" applyAlignment="1">
      <alignment horizontal="justify" vertical="center"/>
    </xf>
    <xf numFmtId="1" fontId="38" fillId="0" borderId="59" xfId="0" applyNumberFormat="1" applyFont="1" applyBorder="1" applyAlignment="1">
      <alignment horizontal="center" vertical="center"/>
    </xf>
    <xf numFmtId="10" fontId="38" fillId="0" borderId="59" xfId="2" applyNumberFormat="1" applyFont="1" applyBorder="1" applyAlignment="1">
      <alignment horizontal="center" vertical="center"/>
    </xf>
    <xf numFmtId="0" fontId="38" fillId="0" borderId="60" xfId="0" applyFont="1" applyBorder="1" applyAlignment="1">
      <alignment horizontal="center" vertical="center"/>
    </xf>
    <xf numFmtId="177" fontId="0" fillId="0" borderId="0" xfId="0" applyNumberFormat="1"/>
    <xf numFmtId="178" fontId="0" fillId="0" borderId="0" xfId="0" applyNumberFormat="1"/>
    <xf numFmtId="0" fontId="55" fillId="0" borderId="0" xfId="0" applyFont="1"/>
    <xf numFmtId="0" fontId="56" fillId="0" borderId="0" xfId="0" applyFont="1"/>
    <xf numFmtId="1" fontId="0" fillId="0" borderId="0" xfId="0" applyNumberFormat="1" applyAlignment="1">
      <alignment vertical="center"/>
    </xf>
    <xf numFmtId="2" fontId="57" fillId="0" borderId="0" xfId="0" applyNumberFormat="1" applyFont="1"/>
    <xf numFmtId="9" fontId="0" fillId="0" borderId="0" xfId="2" applyFont="1"/>
    <xf numFmtId="3" fontId="0" fillId="0" borderId="0" xfId="0" applyNumberFormat="1"/>
    <xf numFmtId="3" fontId="55" fillId="0" borderId="0" xfId="0" applyNumberFormat="1" applyFont="1"/>
    <xf numFmtId="171" fontId="4" fillId="2" borderId="0" xfId="6" applyNumberFormat="1"/>
    <xf numFmtId="0" fontId="40" fillId="0" borderId="0" xfId="12" applyFont="1"/>
    <xf numFmtId="165" fontId="40" fillId="0" borderId="0" xfId="19" applyNumberFormat="1" applyFont="1"/>
    <xf numFmtId="0" fontId="0" fillId="0" borderId="0" xfId="0" applyAlignment="1">
      <alignment vertical="center"/>
    </xf>
    <xf numFmtId="17" fontId="5" fillId="4" borderId="3" xfId="8" applyNumberFormat="1"/>
    <xf numFmtId="0" fontId="2" fillId="0" borderId="1" xfId="3"/>
    <xf numFmtId="0" fontId="3" fillId="0" borderId="0" xfId="5"/>
    <xf numFmtId="0" fontId="3" fillId="0" borderId="2" xfId="4"/>
    <xf numFmtId="167" fontId="0" fillId="0" borderId="0" xfId="0" applyNumberFormat="1"/>
    <xf numFmtId="0" fontId="20" fillId="0" borderId="0" xfId="21"/>
    <xf numFmtId="166" fontId="0" fillId="0" borderId="0" xfId="2" applyNumberFormat="1" applyFont="1"/>
    <xf numFmtId="0" fontId="2" fillId="0" borderId="0" xfId="3" applyBorder="1"/>
    <xf numFmtId="0" fontId="8" fillId="0" borderId="11" xfId="0" applyFont="1" applyBorder="1"/>
    <xf numFmtId="0" fontId="8" fillId="0" borderId="34" xfId="0" applyFont="1" applyBorder="1"/>
    <xf numFmtId="0" fontId="8" fillId="0" borderId="16" xfId="0" applyFont="1" applyBorder="1"/>
    <xf numFmtId="0" fontId="20" fillId="0" borderId="0" xfId="21" applyBorder="1" applyAlignment="1" applyProtection="1"/>
    <xf numFmtId="0" fontId="0" fillId="0" borderId="0" xfId="0" quotePrefix="1"/>
    <xf numFmtId="0" fontId="8" fillId="0" borderId="18" xfId="0" applyFont="1" applyBorder="1"/>
    <xf numFmtId="0" fontId="8" fillId="0" borderId="13" xfId="0" applyFont="1" applyBorder="1"/>
    <xf numFmtId="0" fontId="8" fillId="0" borderId="14" xfId="0" applyFont="1" applyBorder="1" applyAlignment="1">
      <alignment wrapText="1"/>
    </xf>
    <xf numFmtId="0" fontId="8" fillId="0" borderId="15" xfId="0" applyFont="1" applyBorder="1" applyAlignment="1">
      <alignment wrapText="1"/>
    </xf>
    <xf numFmtId="0" fontId="8" fillId="0" borderId="35" xfId="0" applyFont="1" applyBorder="1" applyAlignment="1">
      <alignment wrapText="1"/>
    </xf>
    <xf numFmtId="17" fontId="0" fillId="0" borderId="17" xfId="0" applyNumberFormat="1" applyBorder="1"/>
    <xf numFmtId="2" fontId="0" fillId="0" borderId="17" xfId="0" applyNumberFormat="1" applyBorder="1"/>
    <xf numFmtId="0" fontId="0" fillId="8" borderId="34" xfId="0" applyFill="1" applyBorder="1"/>
    <xf numFmtId="0" fontId="0" fillId="8" borderId="16" xfId="0" applyFill="1" applyBorder="1"/>
    <xf numFmtId="0" fontId="59" fillId="0" borderId="18" xfId="0" applyFont="1" applyBorder="1"/>
    <xf numFmtId="0" fontId="49" fillId="0" borderId="13" xfId="0" applyFont="1" applyBorder="1"/>
    <xf numFmtId="180" fontId="0" fillId="0" borderId="0" xfId="0" applyNumberFormat="1"/>
    <xf numFmtId="4" fontId="0" fillId="0" borderId="18" xfId="0" applyNumberFormat="1" applyBorder="1"/>
    <xf numFmtId="17" fontId="0" fillId="0" borderId="10" xfId="0" applyNumberFormat="1" applyBorder="1"/>
    <xf numFmtId="2" fontId="0" fillId="0" borderId="10" xfId="0" applyNumberFormat="1" applyBorder="1"/>
    <xf numFmtId="181" fontId="0" fillId="0" borderId="0" xfId="0" applyNumberFormat="1"/>
    <xf numFmtId="166" fontId="1" fillId="0" borderId="0" xfId="2" applyNumberFormat="1" applyFont="1"/>
    <xf numFmtId="1" fontId="0" fillId="0" borderId="24" xfId="0" applyNumberFormat="1" applyBorder="1"/>
    <xf numFmtId="168" fontId="0" fillId="0" borderId="24" xfId="0" applyNumberFormat="1" applyBorder="1"/>
    <xf numFmtId="0" fontId="0" fillId="0" borderId="6" xfId="0" applyBorder="1"/>
    <xf numFmtId="168" fontId="0" fillId="0" borderId="6" xfId="0" applyNumberFormat="1" applyBorder="1"/>
    <xf numFmtId="10" fontId="1" fillId="0" borderId="0" xfId="2" applyNumberFormat="1" applyFont="1"/>
    <xf numFmtId="166" fontId="0" fillId="0" borderId="0" xfId="0" applyNumberFormat="1"/>
    <xf numFmtId="9" fontId="1" fillId="0" borderId="0" xfId="2" applyFont="1"/>
    <xf numFmtId="182" fontId="1" fillId="0" borderId="0" xfId="2" applyNumberFormat="1" applyFont="1"/>
    <xf numFmtId="10" fontId="0" fillId="0" borderId="0" xfId="0" applyNumberFormat="1"/>
    <xf numFmtId="0" fontId="11" fillId="0" borderId="0" xfId="0" applyFont="1"/>
    <xf numFmtId="0" fontId="11" fillId="0" borderId="0" xfId="0" applyFont="1" applyAlignment="1">
      <alignment horizontal="right"/>
    </xf>
    <xf numFmtId="0" fontId="60" fillId="0" borderId="64" xfId="0" applyFont="1" applyBorder="1" applyAlignment="1">
      <alignment wrapText="1"/>
    </xf>
    <xf numFmtId="0" fontId="60" fillId="0" borderId="0" xfId="0" applyFont="1" applyAlignment="1">
      <alignment wrapText="1"/>
    </xf>
    <xf numFmtId="2" fontId="60" fillId="0" borderId="0" xfId="0" applyNumberFormat="1" applyFont="1" applyAlignment="1">
      <alignment wrapText="1"/>
    </xf>
    <xf numFmtId="10" fontId="60" fillId="0" borderId="0" xfId="0" applyNumberFormat="1" applyFont="1" applyAlignment="1">
      <alignment wrapText="1"/>
    </xf>
    <xf numFmtId="2" fontId="5" fillId="4" borderId="3" xfId="8" applyNumberFormat="1" applyAlignment="1">
      <alignment wrapText="1"/>
    </xf>
    <xf numFmtId="2" fontId="60" fillId="0" borderId="64" xfId="0" applyNumberFormat="1" applyFont="1" applyBorder="1" applyAlignment="1">
      <alignment wrapText="1"/>
    </xf>
    <xf numFmtId="0" fontId="5" fillId="4" borderId="3" xfId="8" applyAlignment="1">
      <alignment wrapText="1"/>
    </xf>
    <xf numFmtId="183" fontId="0" fillId="0" borderId="0" xfId="0" applyNumberFormat="1"/>
    <xf numFmtId="165" fontId="61" fillId="21" borderId="65" xfId="12" applyNumberFormat="1" applyFont="1" applyFill="1" applyBorder="1" applyAlignment="1">
      <alignment horizontal="center" vertical="center" wrapText="1"/>
    </xf>
    <xf numFmtId="0" fontId="61" fillId="21" borderId="65" xfId="12" applyFont="1" applyFill="1" applyBorder="1" applyAlignment="1">
      <alignment horizontal="center" vertical="center" wrapText="1"/>
    </xf>
    <xf numFmtId="165" fontId="10" fillId="0" borderId="0" xfId="12" applyNumberFormat="1"/>
    <xf numFmtId="1" fontId="0" fillId="0" borderId="0" xfId="0" applyNumberFormat="1" applyAlignment="1">
      <alignment horizontal="center"/>
    </xf>
    <xf numFmtId="165" fontId="62" fillId="0" borderId="65" xfId="12" applyNumberFormat="1" applyFont="1" applyBorder="1" applyAlignment="1">
      <alignment horizontal="left" vertical="center" wrapText="1"/>
    </xf>
    <xf numFmtId="4" fontId="62" fillId="0" borderId="65" xfId="12" applyNumberFormat="1" applyFont="1" applyBorder="1" applyAlignment="1">
      <alignment horizontal="right" vertical="center" wrapText="1"/>
    </xf>
    <xf numFmtId="4" fontId="63" fillId="0" borderId="65" xfId="12" applyNumberFormat="1" applyFont="1" applyBorder="1" applyAlignment="1">
      <alignment horizontal="right" vertical="center" wrapText="1"/>
    </xf>
    <xf numFmtId="165" fontId="62" fillId="0" borderId="0" xfId="12" applyNumberFormat="1" applyFont="1" applyAlignment="1">
      <alignment horizontal="left" vertical="center" wrapText="1"/>
    </xf>
    <xf numFmtId="4" fontId="62" fillId="0" borderId="0" xfId="12" applyNumberFormat="1" applyFont="1" applyAlignment="1">
      <alignment horizontal="left" vertical="center"/>
    </xf>
    <xf numFmtId="0" fontId="64" fillId="0" borderId="0" xfId="22" applyAlignment="1" applyProtection="1"/>
    <xf numFmtId="184" fontId="0" fillId="0" borderId="0" xfId="23" applyNumberFormat="1" applyFont="1" applyAlignment="1">
      <alignment horizontal="center"/>
    </xf>
    <xf numFmtId="0" fontId="5" fillId="4" borderId="3" xfId="24" applyNumberFormat="1"/>
    <xf numFmtId="0" fontId="6" fillId="5" borderId="3" xfId="25" applyNumberFormat="1"/>
    <xf numFmtId="171" fontId="6" fillId="5" borderId="3" xfId="25" applyNumberFormat="1"/>
    <xf numFmtId="0" fontId="62" fillId="0" borderId="65" xfId="12" applyFont="1" applyBorder="1" applyAlignment="1">
      <alignment horizontal="right" vertical="center" wrapText="1"/>
    </xf>
    <xf numFmtId="0" fontId="62" fillId="0" borderId="0" xfId="12" applyFont="1" applyAlignment="1">
      <alignment horizontal="left" vertical="center"/>
    </xf>
    <xf numFmtId="1" fontId="0" fillId="0" borderId="9" xfId="0" applyNumberFormat="1" applyBorder="1" applyAlignment="1">
      <alignment horizontal="center"/>
    </xf>
    <xf numFmtId="1" fontId="0" fillId="0" borderId="9" xfId="0" applyNumberFormat="1" applyBorder="1"/>
    <xf numFmtId="183" fontId="0" fillId="0" borderId="9" xfId="0" applyNumberFormat="1" applyBorder="1"/>
    <xf numFmtId="165" fontId="62" fillId="0" borderId="0" xfId="12" applyNumberFormat="1" applyFont="1" applyAlignment="1">
      <alignment horizontal="left" vertical="center"/>
    </xf>
    <xf numFmtId="1" fontId="15" fillId="0" borderId="9" xfId="0" applyNumberFormat="1" applyFont="1" applyBorder="1"/>
    <xf numFmtId="183" fontId="15" fillId="0" borderId="9" xfId="0" applyNumberFormat="1" applyFont="1" applyBorder="1"/>
    <xf numFmtId="183" fontId="15" fillId="0" borderId="9" xfId="23" applyFont="1" applyBorder="1"/>
    <xf numFmtId="0" fontId="65" fillId="0" borderId="0" xfId="0" applyFont="1"/>
    <xf numFmtId="0" fontId="39" fillId="0" borderId="0" xfId="0" applyFont="1" applyAlignment="1">
      <alignment horizontal="center"/>
    </xf>
    <xf numFmtId="0" fontId="66" fillId="0" borderId="0" xfId="21" applyFont="1" applyAlignment="1" applyProtection="1">
      <alignment horizontal="center"/>
    </xf>
    <xf numFmtId="183" fontId="8" fillId="0" borderId="0" xfId="23" applyFont="1" applyAlignment="1">
      <alignment horizontal="left"/>
    </xf>
    <xf numFmtId="185" fontId="8" fillId="0" borderId="0" xfId="23" applyNumberFormat="1" applyFont="1"/>
    <xf numFmtId="2" fontId="8" fillId="0" borderId="9" xfId="0" applyNumberFormat="1" applyFont="1" applyBorder="1"/>
    <xf numFmtId="0" fontId="15" fillId="0" borderId="0" xfId="0" applyFont="1"/>
    <xf numFmtId="0" fontId="15" fillId="0" borderId="9" xfId="0" applyFont="1" applyBorder="1"/>
    <xf numFmtId="2" fontId="0" fillId="0" borderId="9" xfId="0" applyNumberFormat="1" applyBorder="1" applyAlignment="1">
      <alignment horizontal="center"/>
    </xf>
    <xf numFmtId="0" fontId="0" fillId="11" borderId="0" xfId="0" applyFill="1"/>
    <xf numFmtId="0" fontId="8" fillId="9" borderId="14" xfId="0" applyFont="1" applyFill="1" applyBorder="1"/>
    <xf numFmtId="0" fontId="0" fillId="9" borderId="0" xfId="0" applyFill="1"/>
    <xf numFmtId="0" fontId="67" fillId="0" borderId="0" xfId="0" applyFont="1" applyAlignment="1">
      <alignment horizontal="left" vertical="center" indent="3"/>
    </xf>
    <xf numFmtId="171" fontId="10" fillId="0" borderId="0" xfId="12" applyNumberFormat="1"/>
    <xf numFmtId="0" fontId="39" fillId="0" borderId="0" xfId="12" applyFont="1"/>
    <xf numFmtId="0" fontId="69" fillId="0" borderId="0" xfId="12" applyFont="1"/>
    <xf numFmtId="179" fontId="3" fillId="0" borderId="0" xfId="5" applyNumberFormat="1"/>
    <xf numFmtId="179" fontId="3" fillId="0" borderId="0" xfId="5" applyNumberFormat="1" applyFill="1"/>
    <xf numFmtId="0" fontId="3" fillId="0" borderId="0" xfId="5" applyFill="1"/>
    <xf numFmtId="179" fontId="3" fillId="0" borderId="11" xfId="5" applyNumberFormat="1" applyFill="1" applyBorder="1" applyAlignment="1">
      <alignment horizontal="left"/>
    </xf>
    <xf numFmtId="0" fontId="3" fillId="0" borderId="0" xfId="5" applyAlignment="1">
      <alignment horizontal="center" wrapText="1"/>
    </xf>
    <xf numFmtId="0" fontId="3" fillId="0" borderId="0" xfId="5" applyAlignment="1">
      <alignment wrapText="1"/>
    </xf>
    <xf numFmtId="0" fontId="3" fillId="0" borderId="14" xfId="5" applyBorder="1" applyAlignment="1">
      <alignment horizontal="center" wrapText="1"/>
    </xf>
    <xf numFmtId="0" fontId="58" fillId="0" borderId="26" xfId="0" applyFont="1" applyBorder="1" applyAlignment="1">
      <alignment horizontal="left" vertical="center" wrapText="1"/>
    </xf>
    <xf numFmtId="0" fontId="3" fillId="0" borderId="0" xfId="5" applyAlignment="1">
      <alignment vertical="center"/>
    </xf>
    <xf numFmtId="0" fontId="3" fillId="0" borderId="54" xfId="5" applyFill="1" applyBorder="1" applyAlignment="1">
      <alignment vertical="center"/>
    </xf>
    <xf numFmtId="0" fontId="3" fillId="0" borderId="54" xfId="5" applyFill="1" applyBorder="1" applyAlignment="1">
      <alignment horizontal="center" vertical="center"/>
    </xf>
    <xf numFmtId="2" fontId="4" fillId="2" borderId="0" xfId="6" applyNumberFormat="1"/>
    <xf numFmtId="1" fontId="10" fillId="0" borderId="0" xfId="17" applyNumberFormat="1" applyFont="1" applyFill="1" applyAlignment="1">
      <alignment horizontal="right"/>
    </xf>
    <xf numFmtId="1" fontId="70" fillId="0" borderId="0" xfId="17" applyNumberFormat="1" applyFont="1" applyFill="1" applyAlignment="1">
      <alignment horizontal="right"/>
    </xf>
    <xf numFmtId="168" fontId="10" fillId="0" borderId="0" xfId="17" applyNumberFormat="1" applyFont="1" applyFill="1" applyAlignment="1">
      <alignment horizontal="right"/>
    </xf>
    <xf numFmtId="171" fontId="10" fillId="0" borderId="0" xfId="17" applyNumberFormat="1" applyFont="1" applyFill="1" applyAlignment="1">
      <alignment horizontal="right"/>
    </xf>
    <xf numFmtId="0" fontId="37" fillId="0" borderId="1" xfId="18" applyFill="1" applyAlignment="1"/>
    <xf numFmtId="0" fontId="10" fillId="0" borderId="26" xfId="12" applyBorder="1" applyAlignment="1">
      <alignment horizontal="center" wrapText="1"/>
    </xf>
    <xf numFmtId="168" fontId="4" fillId="0" borderId="0" xfId="6" applyNumberFormat="1" applyFill="1" applyAlignment="1">
      <alignment horizontal="right"/>
    </xf>
    <xf numFmtId="0" fontId="71" fillId="0" borderId="0" xfId="20" applyFont="1"/>
    <xf numFmtId="166" fontId="22" fillId="0" borderId="0" xfId="2" applyNumberFormat="1" applyFont="1" applyAlignment="1">
      <alignment horizontal="center"/>
    </xf>
    <xf numFmtId="1" fontId="4" fillId="2" borderId="0" xfId="6" applyNumberFormat="1"/>
    <xf numFmtId="0" fontId="6" fillId="5" borderId="67" xfId="9" applyBorder="1" applyAlignment="1" applyProtection="1">
      <alignment horizontal="left"/>
      <protection locked="0"/>
    </xf>
    <xf numFmtId="4" fontId="22" fillId="0" borderId="47" xfId="15" applyBorder="1">
      <alignment horizontal="center"/>
    </xf>
    <xf numFmtId="1" fontId="10" fillId="0" borderId="0" xfId="12" applyNumberFormat="1"/>
    <xf numFmtId="1" fontId="10" fillId="0" borderId="0" xfId="12" applyNumberFormat="1" applyAlignment="1" applyProtection="1">
      <alignment horizontal="right"/>
      <protection locked="0"/>
    </xf>
    <xf numFmtId="1" fontId="10" fillId="0" borderId="25" xfId="12" applyNumberFormat="1" applyBorder="1" applyAlignment="1" applyProtection="1">
      <alignment horizontal="right"/>
      <protection locked="0"/>
    </xf>
    <xf numFmtId="1" fontId="10" fillId="0" borderId="26" xfId="12" applyNumberFormat="1" applyBorder="1" applyAlignment="1" applyProtection="1">
      <alignment horizontal="right"/>
      <protection locked="0"/>
    </xf>
    <xf numFmtId="1" fontId="10" fillId="0" borderId="29" xfId="12" applyNumberFormat="1" applyBorder="1" applyAlignment="1" applyProtection="1">
      <alignment horizontal="right"/>
      <protection locked="0"/>
    </xf>
    <xf numFmtId="8" fontId="10" fillId="0" borderId="0" xfId="12" applyNumberFormat="1"/>
    <xf numFmtId="0" fontId="21" fillId="0" borderId="0" xfId="12" applyFont="1" applyAlignment="1">
      <alignment horizontal="center"/>
    </xf>
    <xf numFmtId="0" fontId="11" fillId="0" borderId="0" xfId="12" applyFont="1" applyAlignment="1">
      <alignment horizontal="center" wrapText="1"/>
    </xf>
    <xf numFmtId="0" fontId="11" fillId="0" borderId="18" xfId="12" applyFont="1" applyBorder="1" applyAlignment="1">
      <alignment horizontal="center" wrapText="1"/>
    </xf>
    <xf numFmtId="0" fontId="38" fillId="0" borderId="58" xfId="0" applyFont="1" applyBorder="1" applyAlignment="1">
      <alignment horizontal="center" vertical="center" wrapText="1"/>
    </xf>
    <xf numFmtId="0" fontId="38" fillId="0" borderId="60" xfId="0" applyFont="1" applyBorder="1" applyAlignment="1">
      <alignment horizontal="center" vertical="center" wrapText="1"/>
    </xf>
    <xf numFmtId="0" fontId="45" fillId="0" borderId="58" xfId="0" applyFont="1" applyBorder="1" applyAlignment="1">
      <alignment horizontal="center" vertical="center" wrapText="1"/>
    </xf>
    <xf numFmtId="0" fontId="45" fillId="0" borderId="61" xfId="0" applyFont="1" applyBorder="1" applyAlignment="1">
      <alignment horizontal="center" vertical="center" wrapText="1"/>
    </xf>
    <xf numFmtId="0" fontId="45" fillId="0" borderId="60" xfId="0" applyFont="1" applyBorder="1" applyAlignment="1">
      <alignment horizontal="center" vertical="center" wrapText="1"/>
    </xf>
    <xf numFmtId="0" fontId="0" fillId="0" borderId="32" xfId="0" applyBorder="1" applyAlignment="1">
      <alignment horizontal="center" wrapText="1"/>
    </xf>
    <xf numFmtId="0" fontId="0" fillId="0" borderId="33" xfId="0" applyBorder="1" applyAlignment="1">
      <alignment horizontal="center" wrapText="1"/>
    </xf>
    <xf numFmtId="0" fontId="0" fillId="0" borderId="7" xfId="0" applyBorder="1" applyAlignment="1">
      <alignment horizontal="center" wrapText="1"/>
    </xf>
    <xf numFmtId="0" fontId="0" fillId="0" borderId="44" xfId="0" applyBorder="1" applyAlignment="1">
      <alignment horizontal="center" vertical="center" wrapText="1"/>
    </xf>
    <xf numFmtId="0" fontId="0" fillId="0" borderId="48" xfId="0" applyBorder="1" applyAlignment="1">
      <alignment horizontal="center" vertical="center" wrapText="1"/>
    </xf>
    <xf numFmtId="0" fontId="0" fillId="0" borderId="50" xfId="0" applyBorder="1" applyAlignment="1">
      <alignment horizontal="center" vertical="center" wrapText="1"/>
    </xf>
    <xf numFmtId="0" fontId="0" fillId="0" borderId="9" xfId="0" applyBorder="1" applyAlignment="1">
      <alignment horizontal="center" wrapText="1"/>
    </xf>
    <xf numFmtId="0" fontId="0" fillId="0" borderId="0" xfId="0" applyAlignment="1">
      <alignment horizontal="center"/>
    </xf>
    <xf numFmtId="0" fontId="0" fillId="0" borderId="0" xfId="0" applyAlignment="1">
      <alignment horizontal="center" wrapText="1"/>
    </xf>
    <xf numFmtId="0" fontId="0" fillId="0" borderId="44" xfId="0" applyBorder="1" applyAlignment="1">
      <alignment horizontal="center" wrapText="1"/>
    </xf>
    <xf numFmtId="0" fontId="0" fillId="0" borderId="48" xfId="0" applyBorder="1" applyAlignment="1">
      <alignment horizontal="center" wrapText="1"/>
    </xf>
    <xf numFmtId="0" fontId="0" fillId="0" borderId="50" xfId="0" applyBorder="1" applyAlignment="1">
      <alignment horizontal="center" wrapText="1"/>
    </xf>
    <xf numFmtId="0" fontId="42" fillId="17" borderId="0" xfId="0" applyFont="1" applyFill="1" applyAlignment="1">
      <alignment horizontal="center" vertical="top" wrapText="1"/>
    </xf>
    <xf numFmtId="0" fontId="42" fillId="14" borderId="0" xfId="0" applyFont="1" applyFill="1" applyAlignment="1">
      <alignment horizontal="center" vertical="top" wrapText="1"/>
    </xf>
    <xf numFmtId="0" fontId="8" fillId="0" borderId="12" xfId="0" applyFont="1" applyBorder="1" applyAlignment="1">
      <alignment horizontal="left" wrapText="1"/>
    </xf>
    <xf numFmtId="0" fontId="8" fillId="0" borderId="10" xfId="0" applyFont="1" applyBorder="1" applyAlignment="1">
      <alignment horizontal="left" wrapText="1"/>
    </xf>
    <xf numFmtId="0" fontId="8" fillId="0" borderId="12" xfId="0" applyFont="1" applyBorder="1" applyAlignment="1">
      <alignment horizontal="left"/>
    </xf>
    <xf numFmtId="0" fontId="8" fillId="0" borderId="10" xfId="0" applyFont="1" applyBorder="1" applyAlignment="1">
      <alignment horizontal="left"/>
    </xf>
    <xf numFmtId="0" fontId="8" fillId="15" borderId="34" xfId="0" applyFont="1" applyFill="1" applyBorder="1" applyAlignment="1">
      <alignment horizontal="center" wrapText="1"/>
    </xf>
    <xf numFmtId="0" fontId="8" fillId="15" borderId="11" xfId="0" applyFont="1" applyFill="1" applyBorder="1" applyAlignment="1">
      <alignment horizontal="center" wrapText="1"/>
    </xf>
    <xf numFmtId="0" fontId="8" fillId="15" borderId="16" xfId="0" applyFont="1" applyFill="1" applyBorder="1" applyAlignment="1">
      <alignment horizontal="center" wrapText="1"/>
    </xf>
    <xf numFmtId="0" fontId="8" fillId="15" borderId="35" xfId="0" applyFont="1" applyFill="1" applyBorder="1" applyAlignment="1">
      <alignment horizontal="center" wrapText="1"/>
    </xf>
    <xf numFmtId="0" fontId="8" fillId="15" borderId="14" xfId="0" applyFont="1" applyFill="1" applyBorder="1" applyAlignment="1">
      <alignment horizontal="center" wrapText="1"/>
    </xf>
    <xf numFmtId="0" fontId="0" fillId="16" borderId="12" xfId="0" applyFill="1" applyBorder="1" applyAlignment="1">
      <alignment horizontal="center" wrapText="1"/>
    </xf>
    <xf numFmtId="0" fontId="0" fillId="16" borderId="10" xfId="0" applyFill="1" applyBorder="1" applyAlignment="1">
      <alignment horizontal="center" wrapText="1"/>
    </xf>
    <xf numFmtId="0" fontId="15" fillId="0" borderId="9" xfId="0" applyFont="1" applyBorder="1" applyAlignment="1">
      <alignment horizontal="center"/>
    </xf>
    <xf numFmtId="0" fontId="0" fillId="0" borderId="66" xfId="0" applyBorder="1" applyAlignment="1">
      <alignment horizontal="center" vertical="center" wrapText="1"/>
    </xf>
    <xf numFmtId="0" fontId="0" fillId="0" borderId="10" xfId="0" applyBorder="1" applyAlignment="1">
      <alignment horizontal="center" vertical="center" wrapText="1"/>
    </xf>
    <xf numFmtId="2" fontId="0" fillId="0" borderId="66" xfId="0" applyNumberFormat="1" applyBorder="1" applyAlignment="1">
      <alignment horizontal="center" vertical="center" wrapText="1"/>
    </xf>
    <xf numFmtId="2" fontId="0" fillId="0" borderId="10" xfId="0" applyNumberFormat="1" applyBorder="1" applyAlignment="1">
      <alignment horizontal="center" vertical="center" wrapText="1"/>
    </xf>
  </cellXfs>
  <cellStyles count="27">
    <cellStyle name="Accent2" xfId="10" builtinId="33"/>
    <cellStyle name="Accent4" xfId="11" builtinId="41"/>
    <cellStyle name="Bad" xfId="6" builtinId="27"/>
    <cellStyle name="Bad 2" xfId="16" xr:uid="{C22BBABE-0275-46D8-957C-7FABB87D667C}"/>
    <cellStyle name="Calculation" xfId="9" builtinId="22"/>
    <cellStyle name="Calculation 2" xfId="25" xr:uid="{47415489-1E1D-48CB-BB6B-584CD289286B}"/>
    <cellStyle name="Comma" xfId="1" builtinId="3"/>
    <cellStyle name="Comma 5" xfId="23" xr:uid="{BFE84131-06BF-428A-855C-925D32DCE183}"/>
    <cellStyle name="External" xfId="15" xr:uid="{2C1469EB-A3D5-4D2F-98AD-ACF1D4693D90}"/>
    <cellStyle name="Heading 2" xfId="3" builtinId="17"/>
    <cellStyle name="Heading 2 2 2" xfId="18" xr:uid="{50BB6043-A408-4A3F-9C9B-25486B99EBCF}"/>
    <cellStyle name="Heading 3" xfId="4" builtinId="18"/>
    <cellStyle name="Heading 4" xfId="5" builtinId="19"/>
    <cellStyle name="Hyperlink" xfId="14" builtinId="8"/>
    <cellStyle name="Hyperlink 2" xfId="22" xr:uid="{1453A0D4-9274-4DCE-976F-A9AAD67C3195}"/>
    <cellStyle name="Hyperlink 3" xfId="21" xr:uid="{40583186-2F09-41CF-9B1E-29BA2D337FC0}"/>
    <cellStyle name="Input" xfId="8" builtinId="20"/>
    <cellStyle name="Input 2" xfId="24" xr:uid="{A216671B-3FB8-437B-9819-1134423C4E0A}"/>
    <cellStyle name="Neutral" xfId="7" builtinId="28"/>
    <cellStyle name="Neutral 2" xfId="13" xr:uid="{8BAB2F59-DD71-4645-89A4-3E1139B9805A}"/>
    <cellStyle name="Normal" xfId="0" builtinId="0"/>
    <cellStyle name="Normal 13" xfId="20" xr:uid="{E2592950-4ED9-41AE-B126-E7C61CACE4FB}"/>
    <cellStyle name="Normal 2" xfId="12" xr:uid="{07540C44-1236-4F52-ADF2-28F7197333C4}"/>
    <cellStyle name="Normal 2 2" xfId="19" xr:uid="{9E14FE11-A3BB-42F9-9021-8042EAB56468}"/>
    <cellStyle name="Normal 7" xfId="26" xr:uid="{ABB2DBC2-F744-4899-96E1-16AACB0FB8DE}"/>
    <cellStyle name="Percent" xfId="2" builtinId="5"/>
    <cellStyle name="Percent 2" xfId="17" xr:uid="{DEC93E5C-1EDF-4DE0-98A7-4B3BFAC40E9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3.xml"/><Relationship Id="rId26" Type="http://schemas.openxmlformats.org/officeDocument/2006/relationships/externalLink" Target="externalLinks/externalLink11.xml"/><Relationship Id="rId3" Type="http://schemas.openxmlformats.org/officeDocument/2006/relationships/worksheet" Target="worksheets/sheet3.xml"/><Relationship Id="rId21" Type="http://schemas.openxmlformats.org/officeDocument/2006/relationships/externalLink" Target="externalLinks/externalLink6.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openxmlformats.org/officeDocument/2006/relationships/externalLink" Target="externalLinks/externalLink10.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externalLink" Target="externalLinks/externalLink5.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9.xml"/><Relationship Id="rId32"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8.xml"/><Relationship Id="rId28" Type="http://schemas.openxmlformats.org/officeDocument/2006/relationships/externalLink" Target="externalLinks/externalLink13.xml"/><Relationship Id="rId10" Type="http://schemas.openxmlformats.org/officeDocument/2006/relationships/worksheet" Target="worksheets/sheet10.xml"/><Relationship Id="rId19" Type="http://schemas.openxmlformats.org/officeDocument/2006/relationships/externalLink" Target="externalLinks/externalLink4.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7.xml"/><Relationship Id="rId27" Type="http://schemas.openxmlformats.org/officeDocument/2006/relationships/externalLink" Target="externalLinks/externalLink12.xml"/><Relationship Id="rId30" Type="http://schemas.openxmlformats.org/officeDocument/2006/relationships/styles" Target="styles.xml"/><Relationship Id="rId8" Type="http://schemas.openxmlformats.org/officeDocument/2006/relationships/worksheet" Target="worksheets/sheet8.xml"/></Relationships>
</file>

<file path=xl/charts/_rels/chart4.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5.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8.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9.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invertIfNegative val="0"/>
          <c:cat>
            <c:multiLvlStrRef>
              <c:f>FugitiveEmissions!$L$36:$M$48</c:f>
              <c:multiLvlStrCache>
                <c:ptCount val="13"/>
                <c:lvl>
                  <c:pt idx="0">
                    <c:v>Stephenson et al. (2011)</c:v>
                  </c:pt>
                  <c:pt idx="1">
                    <c:v>Jiang et al. (2011)</c:v>
                  </c:pt>
                  <c:pt idx="2">
                    <c:v>Skone et al. (2011)</c:v>
                  </c:pt>
                  <c:pt idx="3">
                    <c:v>Howarth et al. (2011)</c:v>
                  </c:pt>
                  <c:pt idx="4">
                    <c:v>Lechtenbohmer et al. (2005)</c:v>
                  </c:pt>
                  <c:pt idx="5">
                    <c:v>Broderick et al. (2011)</c:v>
                  </c:pt>
                  <c:pt idx="6">
                    <c:v>Stephenson et al. (2011)</c:v>
                  </c:pt>
                  <c:pt idx="7">
                    <c:v>Skone et al. (2011)</c:v>
                  </c:pt>
                  <c:pt idx="8">
                    <c:v>Howarth et al. (2011)</c:v>
                  </c:pt>
                  <c:pt idx="9">
                    <c:v>Lechtenbohmer et al. (2005)</c:v>
                  </c:pt>
                  <c:pt idx="10">
                    <c:v>Stephenson et al. (2011)</c:v>
                  </c:pt>
                  <c:pt idx="11">
                    <c:v>Skone et al. (2011)</c:v>
                  </c:pt>
                  <c:pt idx="12">
                    <c:v>Howarth et al. (2011)</c:v>
                  </c:pt>
                </c:lvl>
                <c:lvl>
                  <c:pt idx="0">
                    <c:v>Well completion</c:v>
                  </c:pt>
                  <c:pt idx="6">
                    <c:v>Gas Processing</c:v>
                  </c:pt>
                  <c:pt idx="10">
                    <c:v>Transport, storage and distribution</c:v>
                  </c:pt>
                </c:lvl>
              </c:multiLvlStrCache>
            </c:multiLvlStrRef>
          </c:cat>
          <c:val>
            <c:numRef>
              <c:f>FugitiveEmissions!$Q$36:$Q$48</c:f>
              <c:numCache>
                <c:formatCode>0.0%</c:formatCode>
                <c:ptCount val="13"/>
                <c:pt idx="0">
                  <c:v>5.7999999999999996E-3</c:v>
                </c:pt>
                <c:pt idx="1">
                  <c:v>1.84E-2</c:v>
                </c:pt>
                <c:pt idx="2">
                  <c:v>1.5599999999999999E-2</c:v>
                </c:pt>
                <c:pt idx="3">
                  <c:v>4.6799999999999994E-2</c:v>
                </c:pt>
                <c:pt idx="4">
                  <c:v>3.5799999999999998E-2</c:v>
                </c:pt>
                <c:pt idx="5">
                  <c:v>3.3799999999999997E-2</c:v>
                </c:pt>
                <c:pt idx="6">
                  <c:v>8.3999999999999995E-3</c:v>
                </c:pt>
                <c:pt idx="7">
                  <c:v>7.0000000000000001E-3</c:v>
                </c:pt>
                <c:pt idx="8">
                  <c:v>4.4000000000000003E-3</c:v>
                </c:pt>
                <c:pt idx="9">
                  <c:v>1.78E-2</c:v>
                </c:pt>
                <c:pt idx="10">
                  <c:v>0</c:v>
                </c:pt>
                <c:pt idx="11">
                  <c:v>3.8E-3</c:v>
                </c:pt>
                <c:pt idx="12">
                  <c:v>5.4000000000000003E-3</c:v>
                </c:pt>
              </c:numCache>
            </c:numRef>
          </c:val>
          <c:extLst>
            <c:ext xmlns:c16="http://schemas.microsoft.com/office/drawing/2014/chart" uri="{C3380CC4-5D6E-409C-BE32-E72D297353CC}">
              <c16:uniqueId val="{00000000-061B-42F5-86A6-17057D42A363}"/>
            </c:ext>
          </c:extLst>
        </c:ser>
        <c:dLbls>
          <c:showLegendKey val="0"/>
          <c:showVal val="0"/>
          <c:showCatName val="0"/>
          <c:showSerName val="0"/>
          <c:showPercent val="0"/>
          <c:showBubbleSize val="0"/>
        </c:dLbls>
        <c:gapWidth val="150"/>
        <c:axId val="546199656"/>
        <c:axId val="546198088"/>
      </c:barChart>
      <c:catAx>
        <c:axId val="546199656"/>
        <c:scaling>
          <c:orientation val="minMax"/>
        </c:scaling>
        <c:delete val="0"/>
        <c:axPos val="b"/>
        <c:numFmt formatCode="General" sourceLinked="0"/>
        <c:majorTickMark val="out"/>
        <c:minorTickMark val="none"/>
        <c:tickLblPos val="nextTo"/>
        <c:crossAx val="546198088"/>
        <c:crosses val="autoZero"/>
        <c:auto val="1"/>
        <c:lblAlgn val="ctr"/>
        <c:lblOffset val="100"/>
        <c:noMultiLvlLbl val="0"/>
      </c:catAx>
      <c:valAx>
        <c:axId val="546198088"/>
        <c:scaling>
          <c:orientation val="minMax"/>
        </c:scaling>
        <c:delete val="0"/>
        <c:axPos val="l"/>
        <c:majorGridlines/>
        <c:numFmt formatCode="0.0%" sourceLinked="1"/>
        <c:majorTickMark val="out"/>
        <c:minorTickMark val="none"/>
        <c:tickLblPos val="nextTo"/>
        <c:crossAx val="546199656"/>
        <c:crosses val="autoZero"/>
        <c:crossBetween val="between"/>
      </c:valAx>
    </c:plotArea>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4"/>
          <c:order val="0"/>
          <c:tx>
            <c:strRef>
              <c:f>'Liq Fuel Prices'!$H$25</c:f>
              <c:strCache>
                <c:ptCount val="1"/>
                <c:pt idx="0">
                  <c:v>Illum Paraffin</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Prices'!$H$27:$H$110</c:f>
              <c:numCache>
                <c:formatCode>General</c:formatCode>
                <c:ptCount val="84"/>
                <c:pt idx="0">
                  <c:v>307.12799999999999</c:v>
                </c:pt>
                <c:pt idx="1">
                  <c:v>311.12799999999999</c:v>
                </c:pt>
                <c:pt idx="2">
                  <c:v>315.12799999999999</c:v>
                </c:pt>
                <c:pt idx="3">
                  <c:v>330.12799999999999</c:v>
                </c:pt>
                <c:pt idx="4">
                  <c:v>350.12799999999999</c:v>
                </c:pt>
                <c:pt idx="5">
                  <c:v>370.12799999999999</c:v>
                </c:pt>
                <c:pt idx="6">
                  <c:v>406.12799999999999</c:v>
                </c:pt>
                <c:pt idx="7">
                  <c:v>427.12799999999999</c:v>
                </c:pt>
                <c:pt idx="8">
                  <c:v>422.12799999999999</c:v>
                </c:pt>
                <c:pt idx="9">
                  <c:v>400.12799999999999</c:v>
                </c:pt>
                <c:pt idx="10">
                  <c:v>387.12799999999999</c:v>
                </c:pt>
                <c:pt idx="11">
                  <c:v>362.12799999999999</c:v>
                </c:pt>
                <c:pt idx="12">
                  <c:v>365.12799999999999</c:v>
                </c:pt>
                <c:pt idx="13">
                  <c:v>339.12799999999999</c:v>
                </c:pt>
                <c:pt idx="14">
                  <c:v>349.12799999999999</c:v>
                </c:pt>
                <c:pt idx="15">
                  <c:v>379.12799999999999</c:v>
                </c:pt>
                <c:pt idx="16">
                  <c:v>397.12799999999999</c:v>
                </c:pt>
                <c:pt idx="17">
                  <c:v>399.12799999999999</c:v>
                </c:pt>
                <c:pt idx="18">
                  <c:v>416.12799999999999</c:v>
                </c:pt>
                <c:pt idx="19">
                  <c:v>423.12799999999999</c:v>
                </c:pt>
                <c:pt idx="20">
                  <c:v>423.12799999999999</c:v>
                </c:pt>
                <c:pt idx="21">
                  <c:v>441.12799999999999</c:v>
                </c:pt>
                <c:pt idx="22">
                  <c:v>451.12799999999999</c:v>
                </c:pt>
                <c:pt idx="23">
                  <c:v>509.12799999999999</c:v>
                </c:pt>
                <c:pt idx="24">
                  <c:v>500.12799999999999</c:v>
                </c:pt>
                <c:pt idx="25">
                  <c:v>502.12799999999999</c:v>
                </c:pt>
                <c:pt idx="26">
                  <c:v>578.12800000000004</c:v>
                </c:pt>
                <c:pt idx="27">
                  <c:v>696.12800000000004</c:v>
                </c:pt>
                <c:pt idx="28">
                  <c:v>749.12800000000004</c:v>
                </c:pt>
                <c:pt idx="29">
                  <c:v>820.12800000000004</c:v>
                </c:pt>
                <c:pt idx="30">
                  <c:v>869.12800000000004</c:v>
                </c:pt>
                <c:pt idx="31">
                  <c:v>867.12800000000004</c:v>
                </c:pt>
                <c:pt idx="32">
                  <c:v>721.12800000000004</c:v>
                </c:pt>
                <c:pt idx="33">
                  <c:v>656.12800000000004</c:v>
                </c:pt>
                <c:pt idx="34">
                  <c:v>617.12800000000004</c:v>
                </c:pt>
                <c:pt idx="35">
                  <c:v>542.12800000000004</c:v>
                </c:pt>
                <c:pt idx="36">
                  <c:v>405.12799999999999</c:v>
                </c:pt>
                <c:pt idx="37">
                  <c:v>391.12799999999999</c:v>
                </c:pt>
                <c:pt idx="38">
                  <c:v>365.12799999999999</c:v>
                </c:pt>
                <c:pt idx="39">
                  <c:v>360.12799999999999</c:v>
                </c:pt>
                <c:pt idx="40">
                  <c:v>373.12799999999999</c:v>
                </c:pt>
                <c:pt idx="41">
                  <c:v>364.12799999999999</c:v>
                </c:pt>
                <c:pt idx="42">
                  <c:v>410.12799999999999</c:v>
                </c:pt>
                <c:pt idx="43">
                  <c:v>396.12799999999999</c:v>
                </c:pt>
                <c:pt idx="44">
                  <c:v>417.12799999999999</c:v>
                </c:pt>
                <c:pt idx="45">
                  <c:v>382.12799999999999</c:v>
                </c:pt>
                <c:pt idx="46">
                  <c:v>396.12799999999999</c:v>
                </c:pt>
                <c:pt idx="47">
                  <c:v>425.12799999999999</c:v>
                </c:pt>
                <c:pt idx="48">
                  <c:v>413.12799999999999</c:v>
                </c:pt>
                <c:pt idx="49">
                  <c:v>418.12799999999999</c:v>
                </c:pt>
                <c:pt idx="50">
                  <c:v>416.12799999999999</c:v>
                </c:pt>
                <c:pt idx="51">
                  <c:v>437.12799999999999</c:v>
                </c:pt>
                <c:pt idx="52">
                  <c:v>467.12880000000001</c:v>
                </c:pt>
                <c:pt idx="53">
                  <c:v>454.12799999999999</c:v>
                </c:pt>
                <c:pt idx="54">
                  <c:v>442.12799999999999</c:v>
                </c:pt>
                <c:pt idx="55">
                  <c:v>427.18200000000002</c:v>
                </c:pt>
                <c:pt idx="56">
                  <c:v>422.12799999999999</c:v>
                </c:pt>
                <c:pt idx="57">
                  <c:v>421.12799999999999</c:v>
                </c:pt>
                <c:pt idx="58">
                  <c:v>435.12799999999999</c:v>
                </c:pt>
                <c:pt idx="59">
                  <c:v>449.12799999999999</c:v>
                </c:pt>
                <c:pt idx="60">
                  <c:v>467.12799999999999</c:v>
                </c:pt>
                <c:pt idx="61">
                  <c:v>499.12799999999999</c:v>
                </c:pt>
                <c:pt idx="62">
                  <c:v>569.12800000000004</c:v>
                </c:pt>
                <c:pt idx="63">
                  <c:v>609.12800000000004</c:v>
                </c:pt>
                <c:pt idx="64">
                  <c:v>624.12800000000004</c:v>
                </c:pt>
                <c:pt idx="65">
                  <c:v>592.12800000000004</c:v>
                </c:pt>
                <c:pt idx="66">
                  <c:v>580.12800000000004</c:v>
                </c:pt>
                <c:pt idx="67">
                  <c:v>590.12800000000004</c:v>
                </c:pt>
                <c:pt idx="68">
                  <c:v>588.12800000000004</c:v>
                </c:pt>
                <c:pt idx="69">
                  <c:v>618.12800000000004</c:v>
                </c:pt>
                <c:pt idx="70">
                  <c:v>659.12800000000004</c:v>
                </c:pt>
                <c:pt idx="71">
                  <c:v>694.12800000000004</c:v>
                </c:pt>
                <c:pt idx="72">
                  <c:v>669.12800000000004</c:v>
                </c:pt>
                <c:pt idx="73">
                  <c:v>666.12800000000004</c:v>
                </c:pt>
                <c:pt idx="74">
                  <c:v>670.12800000000004</c:v>
                </c:pt>
                <c:pt idx="75">
                  <c:v>691.12800000000004</c:v>
                </c:pt>
                <c:pt idx="76">
                  <c:v>700.12800000000004</c:v>
                </c:pt>
                <c:pt idx="77">
                  <c:v>679.12800000000004</c:v>
                </c:pt>
                <c:pt idx="78">
                  <c:v>621.12800000000004</c:v>
                </c:pt>
                <c:pt idx="79">
                  <c:v>636.12800000000004</c:v>
                </c:pt>
                <c:pt idx="80">
                  <c:v>709.12800000000004</c:v>
                </c:pt>
                <c:pt idx="81">
                  <c:v>742.12800000000004</c:v>
                </c:pt>
                <c:pt idx="82">
                  <c:v>745.12800000000004</c:v>
                </c:pt>
                <c:pt idx="83">
                  <c:v>731.12800000000004</c:v>
                </c:pt>
              </c:numCache>
            </c:numRef>
          </c:val>
          <c:smooth val="0"/>
          <c:extLst>
            <c:ext xmlns:c16="http://schemas.microsoft.com/office/drawing/2014/chart" uri="{C3380CC4-5D6E-409C-BE32-E72D297353CC}">
              <c16:uniqueId val="{00000000-07D1-4EF0-A699-E961F751CBF7}"/>
            </c:ext>
          </c:extLst>
        </c:ser>
        <c:ser>
          <c:idx val="7"/>
          <c:order val="1"/>
          <c:tx>
            <c:strRef>
              <c:f>'Liq Fuel Prices'!$L$25</c:f>
              <c:strCache>
                <c:ptCount val="1"/>
                <c:pt idx="0">
                  <c:v>Crude in Rands</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Prices'!$L$27:$L$110</c:f>
              <c:numCache>
                <c:formatCode>0.00</c:formatCode>
                <c:ptCount val="84"/>
                <c:pt idx="0">
                  <c:v>347.24785200000002</c:v>
                </c:pt>
                <c:pt idx="1">
                  <c:v>340.75299200000001</c:v>
                </c:pt>
                <c:pt idx="2">
                  <c:v>374.86628399999995</c:v>
                </c:pt>
                <c:pt idx="3">
                  <c:v>411.03159999999997</c:v>
                </c:pt>
                <c:pt idx="4">
                  <c:v>419.02639999999997</c:v>
                </c:pt>
                <c:pt idx="5">
                  <c:v>444.49739999999997</c:v>
                </c:pt>
                <c:pt idx="6">
                  <c:v>504.45905999999997</c:v>
                </c:pt>
                <c:pt idx="7">
                  <c:v>525.30412000000001</c:v>
                </c:pt>
                <c:pt idx="8">
                  <c:v>453.91896000000008</c:v>
                </c:pt>
                <c:pt idx="9">
                  <c:v>439.46511700000002</c:v>
                </c:pt>
                <c:pt idx="10">
                  <c:v>485.33730300000002</c:v>
                </c:pt>
                <c:pt idx="11">
                  <c:v>426.220056</c:v>
                </c:pt>
                <c:pt idx="12">
                  <c:v>409.67341800000003</c:v>
                </c:pt>
                <c:pt idx="13">
                  <c:v>382.08684799999997</c:v>
                </c:pt>
                <c:pt idx="14">
                  <c:v>412.66766000000001</c:v>
                </c:pt>
                <c:pt idx="15">
                  <c:v>458.55261000000002</c:v>
                </c:pt>
                <c:pt idx="16">
                  <c:v>459.68383999999998</c:v>
                </c:pt>
                <c:pt idx="17">
                  <c:v>468.18676500000004</c:v>
                </c:pt>
                <c:pt idx="18">
                  <c:v>455.64668399999999</c:v>
                </c:pt>
                <c:pt idx="19">
                  <c:v>422.04153600000001</c:v>
                </c:pt>
                <c:pt idx="20">
                  <c:v>519.44372400000009</c:v>
                </c:pt>
                <c:pt idx="21">
                  <c:v>547.10025600000006</c:v>
                </c:pt>
                <c:pt idx="22">
                  <c:v>561.885806</c:v>
                </c:pt>
                <c:pt idx="23">
                  <c:v>624.75471300000004</c:v>
                </c:pt>
                <c:pt idx="24">
                  <c:v>618.42902100000003</c:v>
                </c:pt>
                <c:pt idx="25">
                  <c:v>643.62700799999993</c:v>
                </c:pt>
                <c:pt idx="26">
                  <c:v>726.13472999999999</c:v>
                </c:pt>
                <c:pt idx="27">
                  <c:v>818.01216000000011</c:v>
                </c:pt>
                <c:pt idx="28">
                  <c:v>850.11930200000006</c:v>
                </c:pt>
                <c:pt idx="29">
                  <c:v>934.40564999999992</c:v>
                </c:pt>
                <c:pt idx="30">
                  <c:v>1043.796208</c:v>
                </c:pt>
                <c:pt idx="31">
                  <c:v>1026.5422959999999</c:v>
                </c:pt>
                <c:pt idx="32">
                  <c:v>868.34849999999994</c:v>
                </c:pt>
                <c:pt idx="33">
                  <c:v>794.44325600000002</c:v>
                </c:pt>
                <c:pt idx="34">
                  <c:v>722.42223300000001</c:v>
                </c:pt>
                <c:pt idx="35">
                  <c:v>540.78195299999993</c:v>
                </c:pt>
                <c:pt idx="36">
                  <c:v>397.9625302</c:v>
                </c:pt>
                <c:pt idx="37">
                  <c:v>432.57099360000001</c:v>
                </c:pt>
                <c:pt idx="38">
                  <c:v>433.29281400000002</c:v>
                </c:pt>
                <c:pt idx="39">
                  <c:v>468.488632</c:v>
                </c:pt>
                <c:pt idx="40">
                  <c:v>460.1629494</c:v>
                </c:pt>
                <c:pt idx="41">
                  <c:v>477.34580669999991</c:v>
                </c:pt>
                <c:pt idx="42">
                  <c:v>554.18956200000002</c:v>
                </c:pt>
                <c:pt idx="43">
                  <c:v>518.08176000000003</c:v>
                </c:pt>
                <c:pt idx="44">
                  <c:v>580.64785799999993</c:v>
                </c:pt>
                <c:pt idx="45">
                  <c:v>513.98297600000001</c:v>
                </c:pt>
                <c:pt idx="46">
                  <c:v>546.81249600000001</c:v>
                </c:pt>
                <c:pt idx="47">
                  <c:v>580.03051999999991</c:v>
                </c:pt>
                <c:pt idx="48">
                  <c:v>559.15302600000007</c:v>
                </c:pt>
                <c:pt idx="49">
                  <c:v>574.26373999999998</c:v>
                </c:pt>
                <c:pt idx="50">
                  <c:v>562.69193400000006</c:v>
                </c:pt>
                <c:pt idx="51">
                  <c:v>589.72641699999997</c:v>
                </c:pt>
                <c:pt idx="52">
                  <c:v>632.39767500000005</c:v>
                </c:pt>
                <c:pt idx="53">
                  <c:v>584.26724999999999</c:v>
                </c:pt>
                <c:pt idx="54">
                  <c:v>572.31838800000003</c:v>
                </c:pt>
                <c:pt idx="55">
                  <c:v>596.05607600000008</c:v>
                </c:pt>
                <c:pt idx="56">
                  <c:v>566.32454200000006</c:v>
                </c:pt>
                <c:pt idx="57">
                  <c:v>555.97308300000009</c:v>
                </c:pt>
                <c:pt idx="58">
                  <c:v>573.93110200000001</c:v>
                </c:pt>
                <c:pt idx="59">
                  <c:v>594.06600500000002</c:v>
                </c:pt>
                <c:pt idx="60">
                  <c:v>626.40377000000001</c:v>
                </c:pt>
                <c:pt idx="61">
                  <c:v>662.02985100000001</c:v>
                </c:pt>
                <c:pt idx="62">
                  <c:v>740.483158</c:v>
                </c:pt>
                <c:pt idx="63">
                  <c:v>795.28679199999999</c:v>
                </c:pt>
                <c:pt idx="64">
                  <c:v>836.03964899999994</c:v>
                </c:pt>
                <c:pt idx="65">
                  <c:v>795.81334000000004</c:v>
                </c:pt>
                <c:pt idx="66">
                  <c:v>780.52290700000003</c:v>
                </c:pt>
                <c:pt idx="67">
                  <c:v>796.35019199999988</c:v>
                </c:pt>
                <c:pt idx="68">
                  <c:v>781.21953000000008</c:v>
                </c:pt>
                <c:pt idx="69">
                  <c:v>859.539177</c:v>
                </c:pt>
                <c:pt idx="70">
                  <c:v>874.37113600000009</c:v>
                </c:pt>
                <c:pt idx="71">
                  <c:v>899.52929799999993</c:v>
                </c:pt>
                <c:pt idx="72">
                  <c:v>886.58911199999989</c:v>
                </c:pt>
                <c:pt idx="73">
                  <c:v>892.64632199999994</c:v>
                </c:pt>
                <c:pt idx="74">
                  <c:v>970.54881</c:v>
                </c:pt>
                <c:pt idx="75">
                  <c:v>955.61260600000003</c:v>
                </c:pt>
                <c:pt idx="76">
                  <c:v>943.8456480000001</c:v>
                </c:pt>
                <c:pt idx="77">
                  <c:v>893.52883699999995</c:v>
                </c:pt>
                <c:pt idx="78">
                  <c:v>801.64765800000009</c:v>
                </c:pt>
                <c:pt idx="79">
                  <c:v>843.43202800000017</c:v>
                </c:pt>
                <c:pt idx="80">
                  <c:v>939.38605800000005</c:v>
                </c:pt>
                <c:pt idx="81">
                  <c:v>938.41519999999991</c:v>
                </c:pt>
                <c:pt idx="82">
                  <c:v>943.053495</c:v>
                </c:pt>
                <c:pt idx="83">
                  <c:v>962.2998080000001</c:v>
                </c:pt>
              </c:numCache>
            </c:numRef>
          </c:val>
          <c:smooth val="0"/>
          <c:extLst>
            <c:ext xmlns:c16="http://schemas.microsoft.com/office/drawing/2014/chart" uri="{C3380CC4-5D6E-409C-BE32-E72D297353CC}">
              <c16:uniqueId val="{00000001-07D1-4EF0-A699-E961F751CBF7}"/>
            </c:ext>
          </c:extLst>
        </c:ser>
        <c:ser>
          <c:idx val="5"/>
          <c:order val="2"/>
          <c:tx>
            <c:strRef>
              <c:f>'Liq Fuel Prices'!$M$25</c:f>
              <c:strCache>
                <c:ptCount val="1"/>
                <c:pt idx="0">
                  <c:v>Average Petrol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Prices'!$M$27:$M$110</c:f>
              <c:numCache>
                <c:formatCode>General</c:formatCode>
                <c:ptCount val="84"/>
                <c:pt idx="0">
                  <c:v>267.6225</c:v>
                </c:pt>
                <c:pt idx="1">
                  <c:v>281.6225</c:v>
                </c:pt>
                <c:pt idx="2">
                  <c:v>270.6225</c:v>
                </c:pt>
                <c:pt idx="3">
                  <c:v>296.52250000000004</c:v>
                </c:pt>
                <c:pt idx="4">
                  <c:v>335.52250000000004</c:v>
                </c:pt>
                <c:pt idx="5">
                  <c:v>371.52250000000004</c:v>
                </c:pt>
                <c:pt idx="6">
                  <c:v>396.52250000000004</c:v>
                </c:pt>
                <c:pt idx="7">
                  <c:v>427.52250000000004</c:v>
                </c:pt>
                <c:pt idx="8">
                  <c:v>391.52250000000004</c:v>
                </c:pt>
                <c:pt idx="9">
                  <c:v>338.63099999999997</c:v>
                </c:pt>
                <c:pt idx="10">
                  <c:v>317.52250000000004</c:v>
                </c:pt>
                <c:pt idx="11">
                  <c:v>310.52250000000004</c:v>
                </c:pt>
                <c:pt idx="12">
                  <c:v>317.52250000000004</c:v>
                </c:pt>
                <c:pt idx="13">
                  <c:v>294.52250000000004</c:v>
                </c:pt>
                <c:pt idx="14">
                  <c:v>317.42250000000001</c:v>
                </c:pt>
                <c:pt idx="15">
                  <c:v>375.92250000000001</c:v>
                </c:pt>
                <c:pt idx="16">
                  <c:v>409.92250000000001</c:v>
                </c:pt>
                <c:pt idx="17">
                  <c:v>432.92250000000001</c:v>
                </c:pt>
                <c:pt idx="18">
                  <c:v>424.72249999999997</c:v>
                </c:pt>
                <c:pt idx="19">
                  <c:v>409.72249999999997</c:v>
                </c:pt>
                <c:pt idx="20">
                  <c:v>388.02250000000004</c:v>
                </c:pt>
                <c:pt idx="21">
                  <c:v>397.52250000000004</c:v>
                </c:pt>
                <c:pt idx="22">
                  <c:v>400.52250000000004</c:v>
                </c:pt>
                <c:pt idx="23">
                  <c:v>443.5215</c:v>
                </c:pt>
                <c:pt idx="24">
                  <c:v>443.52250000000004</c:v>
                </c:pt>
                <c:pt idx="25">
                  <c:v>460.52250000000004</c:v>
                </c:pt>
                <c:pt idx="26">
                  <c:v>521.52250000000004</c:v>
                </c:pt>
                <c:pt idx="27">
                  <c:v>577.02250000000004</c:v>
                </c:pt>
                <c:pt idx="28">
                  <c:v>608.02250000000004</c:v>
                </c:pt>
                <c:pt idx="29">
                  <c:v>653.02250000000004</c:v>
                </c:pt>
                <c:pt idx="30">
                  <c:v>726.62249999999995</c:v>
                </c:pt>
                <c:pt idx="31">
                  <c:v>687.52250000000004</c:v>
                </c:pt>
                <c:pt idx="32">
                  <c:v>596.02250000000004</c:v>
                </c:pt>
                <c:pt idx="33">
                  <c:v>567.42250000000001</c:v>
                </c:pt>
                <c:pt idx="34">
                  <c:v>522.42250000000001</c:v>
                </c:pt>
                <c:pt idx="35">
                  <c:v>361.42250000000001</c:v>
                </c:pt>
                <c:pt idx="36">
                  <c:v>270.3725</c:v>
                </c:pt>
                <c:pt idx="37">
                  <c:v>331.3725</c:v>
                </c:pt>
                <c:pt idx="38">
                  <c:v>376.3725</c:v>
                </c:pt>
                <c:pt idx="39">
                  <c:v>369.3725</c:v>
                </c:pt>
                <c:pt idx="40">
                  <c:v>366.3725</c:v>
                </c:pt>
                <c:pt idx="41">
                  <c:v>381.27250000000004</c:v>
                </c:pt>
                <c:pt idx="42">
                  <c:v>419.77250000000004</c:v>
                </c:pt>
                <c:pt idx="43">
                  <c:v>393.37199999999996</c:v>
                </c:pt>
                <c:pt idx="44">
                  <c:v>429.34550000000002</c:v>
                </c:pt>
                <c:pt idx="45">
                  <c:v>382.3725</c:v>
                </c:pt>
                <c:pt idx="46">
                  <c:v>382.3725</c:v>
                </c:pt>
                <c:pt idx="47">
                  <c:v>409.3725</c:v>
                </c:pt>
                <c:pt idx="48">
                  <c:v>401.8725</c:v>
                </c:pt>
                <c:pt idx="49">
                  <c:v>419.8725</c:v>
                </c:pt>
                <c:pt idx="50">
                  <c:v>426.17250000000001</c:v>
                </c:pt>
                <c:pt idx="51">
                  <c:v>449.17250000000001</c:v>
                </c:pt>
                <c:pt idx="52">
                  <c:v>461.17250000000001</c:v>
                </c:pt>
                <c:pt idx="53">
                  <c:v>434.17250000000001</c:v>
                </c:pt>
                <c:pt idx="54">
                  <c:v>417.67250000000001</c:v>
                </c:pt>
                <c:pt idx="55">
                  <c:v>407.67250000000001</c:v>
                </c:pt>
                <c:pt idx="56">
                  <c:v>397.67250000000001</c:v>
                </c:pt>
                <c:pt idx="57">
                  <c:v>393.67250000000001</c:v>
                </c:pt>
                <c:pt idx="58">
                  <c:v>413.67250000000001</c:v>
                </c:pt>
                <c:pt idx="59">
                  <c:v>426.67250000000001</c:v>
                </c:pt>
                <c:pt idx="60">
                  <c:v>451.565</c:v>
                </c:pt>
                <c:pt idx="61">
                  <c:v>477.565</c:v>
                </c:pt>
                <c:pt idx="62">
                  <c:v>520.56500000000005</c:v>
                </c:pt>
                <c:pt idx="63">
                  <c:v>549.26499999999999</c:v>
                </c:pt>
                <c:pt idx="64">
                  <c:v>578.26499999999999</c:v>
                </c:pt>
                <c:pt idx="65">
                  <c:v>576.26499999999999</c:v>
                </c:pt>
                <c:pt idx="66">
                  <c:v>544.26499999999999</c:v>
                </c:pt>
                <c:pt idx="67">
                  <c:v>561.26499999999999</c:v>
                </c:pt>
                <c:pt idx="68">
                  <c:v>570.26499999999999</c:v>
                </c:pt>
                <c:pt idx="69">
                  <c:v>602.76499999999999</c:v>
                </c:pt>
                <c:pt idx="70">
                  <c:v>625.76499999999999</c:v>
                </c:pt>
                <c:pt idx="71">
                  <c:v>600.04999999999995</c:v>
                </c:pt>
                <c:pt idx="72">
                  <c:v>594.54999999999995</c:v>
                </c:pt>
                <c:pt idx="73">
                  <c:v>628.54999999999995</c:v>
                </c:pt>
                <c:pt idx="74">
                  <c:v>652.16999999999996</c:v>
                </c:pt>
                <c:pt idx="75">
                  <c:v>691.07</c:v>
                </c:pt>
                <c:pt idx="76">
                  <c:v>714.67</c:v>
                </c:pt>
                <c:pt idx="77">
                  <c:v>657.49</c:v>
                </c:pt>
                <c:pt idx="78">
                  <c:v>577.07000000000005</c:v>
                </c:pt>
                <c:pt idx="79">
                  <c:v>603.45000000000005</c:v>
                </c:pt>
                <c:pt idx="80">
                  <c:v>692.95</c:v>
                </c:pt>
                <c:pt idx="81">
                  <c:v>701.79</c:v>
                </c:pt>
                <c:pt idx="82">
                  <c:v>689.59</c:v>
                </c:pt>
                <c:pt idx="83">
                  <c:v>666.69</c:v>
                </c:pt>
              </c:numCache>
            </c:numRef>
          </c:val>
          <c:smooth val="0"/>
          <c:extLst>
            <c:ext xmlns:c16="http://schemas.microsoft.com/office/drawing/2014/chart" uri="{C3380CC4-5D6E-409C-BE32-E72D297353CC}">
              <c16:uniqueId val="{00000002-07D1-4EF0-A699-E961F751CBF7}"/>
            </c:ext>
          </c:extLst>
        </c:ser>
        <c:ser>
          <c:idx val="6"/>
          <c:order val="3"/>
          <c:tx>
            <c:strRef>
              <c:f>'Liq Fuel Prices'!$N$25</c:f>
              <c:strCache>
                <c:ptCount val="1"/>
                <c:pt idx="0">
                  <c:v>average diesel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Prices'!$N$27:$N$110</c:f>
              <c:numCache>
                <c:formatCode>General</c:formatCode>
                <c:ptCount val="84"/>
                <c:pt idx="0">
                  <c:v>311.07899999999995</c:v>
                </c:pt>
                <c:pt idx="1">
                  <c:v>312.57899999999995</c:v>
                </c:pt>
                <c:pt idx="2">
                  <c:v>313.57899999999995</c:v>
                </c:pt>
                <c:pt idx="3">
                  <c:v>336.07899999999995</c:v>
                </c:pt>
                <c:pt idx="4">
                  <c:v>359.57899999999995</c:v>
                </c:pt>
                <c:pt idx="5">
                  <c:v>385.57899999999995</c:v>
                </c:pt>
                <c:pt idx="6">
                  <c:v>419.07899999999995</c:v>
                </c:pt>
                <c:pt idx="7">
                  <c:v>442.07899999999995</c:v>
                </c:pt>
                <c:pt idx="8">
                  <c:v>433.57899999999995</c:v>
                </c:pt>
                <c:pt idx="9">
                  <c:v>395.57899999999995</c:v>
                </c:pt>
                <c:pt idx="10">
                  <c:v>388.57899999999995</c:v>
                </c:pt>
                <c:pt idx="11">
                  <c:v>363.07899999999995</c:v>
                </c:pt>
                <c:pt idx="12">
                  <c:v>356.07899999999995</c:v>
                </c:pt>
                <c:pt idx="13">
                  <c:v>340.07899999999995</c:v>
                </c:pt>
                <c:pt idx="14">
                  <c:v>349.07899999999995</c:v>
                </c:pt>
                <c:pt idx="15">
                  <c:v>377.57899999999995</c:v>
                </c:pt>
                <c:pt idx="16">
                  <c:v>401.57899999999995</c:v>
                </c:pt>
                <c:pt idx="17">
                  <c:v>406.07899999999995</c:v>
                </c:pt>
                <c:pt idx="18">
                  <c:v>420.07899999999995</c:v>
                </c:pt>
                <c:pt idx="19">
                  <c:v>431.07899999999995</c:v>
                </c:pt>
                <c:pt idx="20">
                  <c:v>433.57899999999995</c:v>
                </c:pt>
                <c:pt idx="21">
                  <c:v>454.07899999999995</c:v>
                </c:pt>
                <c:pt idx="22">
                  <c:v>456.07899999999995</c:v>
                </c:pt>
                <c:pt idx="23">
                  <c:v>511.07899999999995</c:v>
                </c:pt>
                <c:pt idx="24">
                  <c:v>506.57899999999995</c:v>
                </c:pt>
                <c:pt idx="25">
                  <c:v>511.21399999999994</c:v>
                </c:pt>
                <c:pt idx="26">
                  <c:v>588.21399999999994</c:v>
                </c:pt>
                <c:pt idx="27">
                  <c:v>706.57899999999995</c:v>
                </c:pt>
                <c:pt idx="28">
                  <c:v>757.07899999999995</c:v>
                </c:pt>
                <c:pt idx="29">
                  <c:v>827.57899999999995</c:v>
                </c:pt>
                <c:pt idx="30">
                  <c:v>883.57899999999995</c:v>
                </c:pt>
                <c:pt idx="31">
                  <c:v>871.07899999999995</c:v>
                </c:pt>
                <c:pt idx="32">
                  <c:v>715.07899999999995</c:v>
                </c:pt>
                <c:pt idx="33">
                  <c:v>655.07899999999995</c:v>
                </c:pt>
                <c:pt idx="34">
                  <c:v>625.07899999999995</c:v>
                </c:pt>
                <c:pt idx="35">
                  <c:v>547.57899999999995</c:v>
                </c:pt>
                <c:pt idx="36">
                  <c:v>418.07899999999995</c:v>
                </c:pt>
                <c:pt idx="37">
                  <c:v>407.57899999999995</c:v>
                </c:pt>
                <c:pt idx="38">
                  <c:v>375.57899999999995</c:v>
                </c:pt>
                <c:pt idx="39">
                  <c:v>372.07899999999995</c:v>
                </c:pt>
                <c:pt idx="40">
                  <c:v>381.57899999999995</c:v>
                </c:pt>
                <c:pt idx="41">
                  <c:v>370.07899999999995</c:v>
                </c:pt>
                <c:pt idx="42">
                  <c:v>413.07899999999995</c:v>
                </c:pt>
                <c:pt idx="43">
                  <c:v>395.57899999999995</c:v>
                </c:pt>
                <c:pt idx="44">
                  <c:v>424.07899999999995</c:v>
                </c:pt>
                <c:pt idx="45">
                  <c:v>386.07899999999995</c:v>
                </c:pt>
                <c:pt idx="46">
                  <c:v>397.07899999999995</c:v>
                </c:pt>
                <c:pt idx="47">
                  <c:v>424.57899999999995</c:v>
                </c:pt>
                <c:pt idx="48">
                  <c:v>411.57899999999995</c:v>
                </c:pt>
                <c:pt idx="49">
                  <c:v>419.07899999999995</c:v>
                </c:pt>
                <c:pt idx="50">
                  <c:v>420.07899999999995</c:v>
                </c:pt>
                <c:pt idx="51">
                  <c:v>442.07899999999995</c:v>
                </c:pt>
                <c:pt idx="52">
                  <c:v>471.07939999999996</c:v>
                </c:pt>
                <c:pt idx="53">
                  <c:v>457.07899999999995</c:v>
                </c:pt>
                <c:pt idx="54">
                  <c:v>443.07899999999995</c:v>
                </c:pt>
                <c:pt idx="55">
                  <c:v>429.10599999999999</c:v>
                </c:pt>
                <c:pt idx="56">
                  <c:v>427.57899999999995</c:v>
                </c:pt>
                <c:pt idx="57">
                  <c:v>425.57899999999995</c:v>
                </c:pt>
                <c:pt idx="58">
                  <c:v>438.57899999999995</c:v>
                </c:pt>
                <c:pt idx="59">
                  <c:v>453.07899999999995</c:v>
                </c:pt>
                <c:pt idx="60">
                  <c:v>472.07899999999995</c:v>
                </c:pt>
                <c:pt idx="61">
                  <c:v>504.07899999999995</c:v>
                </c:pt>
                <c:pt idx="62">
                  <c:v>570.57899999999995</c:v>
                </c:pt>
                <c:pt idx="63">
                  <c:v>612.57899999999995</c:v>
                </c:pt>
                <c:pt idx="64">
                  <c:v>628.07899999999995</c:v>
                </c:pt>
                <c:pt idx="65">
                  <c:v>593.57899999999995</c:v>
                </c:pt>
                <c:pt idx="66">
                  <c:v>581.57899999999995</c:v>
                </c:pt>
                <c:pt idx="67">
                  <c:v>594.07899999999995</c:v>
                </c:pt>
                <c:pt idx="68">
                  <c:v>593.07899999999995</c:v>
                </c:pt>
                <c:pt idx="69">
                  <c:v>626.57899999999995</c:v>
                </c:pt>
                <c:pt idx="70">
                  <c:v>665.07899999999995</c:v>
                </c:pt>
                <c:pt idx="71">
                  <c:v>700.57899999999995</c:v>
                </c:pt>
                <c:pt idx="72">
                  <c:v>678.07899999999995</c:v>
                </c:pt>
                <c:pt idx="73">
                  <c:v>675.57899999999995</c:v>
                </c:pt>
                <c:pt idx="74">
                  <c:v>680.07899999999995</c:v>
                </c:pt>
                <c:pt idx="75">
                  <c:v>701.57899999999995</c:v>
                </c:pt>
                <c:pt idx="76">
                  <c:v>708.07899999999995</c:v>
                </c:pt>
                <c:pt idx="77">
                  <c:v>684.07899999999995</c:v>
                </c:pt>
                <c:pt idx="78">
                  <c:v>627.57899999999995</c:v>
                </c:pt>
                <c:pt idx="79">
                  <c:v>645.07899999999995</c:v>
                </c:pt>
                <c:pt idx="80">
                  <c:v>716.07899999999995</c:v>
                </c:pt>
                <c:pt idx="81">
                  <c:v>746.07899999999995</c:v>
                </c:pt>
                <c:pt idx="82">
                  <c:v>751.07899999999995</c:v>
                </c:pt>
                <c:pt idx="83">
                  <c:v>736.07899999999995</c:v>
                </c:pt>
              </c:numCache>
            </c:numRef>
          </c:val>
          <c:smooth val="0"/>
          <c:extLst>
            <c:ext xmlns:c16="http://schemas.microsoft.com/office/drawing/2014/chart" uri="{C3380CC4-5D6E-409C-BE32-E72D297353CC}">
              <c16:uniqueId val="{00000003-07D1-4EF0-A699-E961F751CBF7}"/>
            </c:ext>
          </c:extLst>
        </c:ser>
        <c:ser>
          <c:idx val="0"/>
          <c:order val="4"/>
          <c:tx>
            <c:strRef>
              <c:f>'Liq Fuel Prices'!$O$25</c:f>
              <c:strCache>
                <c:ptCount val="1"/>
                <c:pt idx="0">
                  <c:v>Crude Price Model Petrol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Prices'!$O$27:$O$110</c:f>
              <c:numCache>
                <c:formatCode>General</c:formatCode>
                <c:ptCount val="84"/>
                <c:pt idx="0">
                  <c:v>258.09627500781392</c:v>
                </c:pt>
                <c:pt idx="1">
                  <c:v>253.60630567425645</c:v>
                </c:pt>
                <c:pt idx="2">
                  <c:v>277.18920583633701</c:v>
                </c:pt>
                <c:pt idx="3">
                  <c:v>302.19069313220098</c:v>
                </c:pt>
                <c:pt idx="4">
                  <c:v>307.71758775778568</c:v>
                </c:pt>
                <c:pt idx="5">
                  <c:v>325.32597483541969</c:v>
                </c:pt>
                <c:pt idx="6">
                  <c:v>366.77814079268416</c:v>
                </c:pt>
                <c:pt idx="7">
                  <c:v>381.18856382815608</c:v>
                </c:pt>
                <c:pt idx="8">
                  <c:v>331.83920460084528</c:v>
                </c:pt>
                <c:pt idx="9">
                  <c:v>321.84710133425381</c:v>
                </c:pt>
                <c:pt idx="10">
                  <c:v>353.55905638844183</c:v>
                </c:pt>
                <c:pt idx="11">
                  <c:v>312.69064257900766</c:v>
                </c:pt>
                <c:pt idx="12">
                  <c:v>301.25176673049418</c:v>
                </c:pt>
                <c:pt idx="13">
                  <c:v>282.18086245880295</c:v>
                </c:pt>
                <c:pt idx="14">
                  <c:v>303.32171970211323</c:v>
                </c:pt>
                <c:pt idx="15">
                  <c:v>335.04249865220868</c:v>
                </c:pt>
                <c:pt idx="16">
                  <c:v>335.82453059888655</c:v>
                </c:pt>
                <c:pt idx="17">
                  <c:v>341.70269771804527</c:v>
                </c:pt>
                <c:pt idx="18">
                  <c:v>333.03359951880361</c:v>
                </c:pt>
                <c:pt idx="19">
                  <c:v>309.8019849852094</c:v>
                </c:pt>
                <c:pt idx="20">
                  <c:v>377.1372065514015</c:v>
                </c:pt>
                <c:pt idx="21">
                  <c:v>396.25647633590035</c:v>
                </c:pt>
                <c:pt idx="22">
                  <c:v>406.47789236023038</c:v>
                </c:pt>
                <c:pt idx="23">
                  <c:v>449.93987067296939</c:v>
                </c:pt>
                <c:pt idx="24">
                  <c:v>445.56684906918889</c:v>
                </c:pt>
                <c:pt idx="25">
                  <c:v>462.98649920751041</c:v>
                </c:pt>
                <c:pt idx="26">
                  <c:v>520.02500990084081</c:v>
                </c:pt>
                <c:pt idx="27">
                  <c:v>583.54090449226737</c:v>
                </c:pt>
                <c:pt idx="28">
                  <c:v>605.73693072965727</c:v>
                </c:pt>
                <c:pt idx="29">
                  <c:v>664.00502546265398</c:v>
                </c:pt>
                <c:pt idx="30">
                  <c:v>739.62794124540198</c:v>
                </c:pt>
                <c:pt idx="31">
                  <c:v>727.70011897303584</c:v>
                </c:pt>
                <c:pt idx="32">
                  <c:v>618.33897911797453</c:v>
                </c:pt>
                <c:pt idx="33">
                  <c:v>567.24745764575175</c:v>
                </c:pt>
                <c:pt idx="34">
                  <c:v>517.45851921729661</c:v>
                </c:pt>
                <c:pt idx="35">
                  <c:v>391.88856283043225</c:v>
                </c:pt>
                <c:pt idx="36">
                  <c:v>293.15589906117839</c:v>
                </c:pt>
                <c:pt idx="37">
                  <c:v>317.08111674832571</c:v>
                </c:pt>
                <c:pt idx="38">
                  <c:v>317.58011926113369</c:v>
                </c:pt>
                <c:pt idx="39">
                  <c:v>341.9113817501588</c:v>
                </c:pt>
                <c:pt idx="40">
                  <c:v>336.15574428377261</c:v>
                </c:pt>
                <c:pt idx="41">
                  <c:v>348.03444564760395</c:v>
                </c:pt>
                <c:pt idx="42">
                  <c:v>401.1573928354407</c:v>
                </c:pt>
                <c:pt idx="43">
                  <c:v>376.19566561081007</c:v>
                </c:pt>
                <c:pt idx="44">
                  <c:v>419.44830867630344</c:v>
                </c:pt>
                <c:pt idx="45">
                  <c:v>373.36213040529742</c:v>
                </c:pt>
                <c:pt idx="46">
                  <c:v>396.05754463060958</c:v>
                </c:pt>
                <c:pt idx="47">
                  <c:v>419.02153601477727</c:v>
                </c:pt>
                <c:pt idx="48">
                  <c:v>404.58869099247823</c:v>
                </c:pt>
                <c:pt idx="49">
                  <c:v>415.03489652549308</c:v>
                </c:pt>
                <c:pt idx="50">
                  <c:v>407.03517765951665</c:v>
                </c:pt>
                <c:pt idx="51">
                  <c:v>425.72441801551815</c:v>
                </c:pt>
                <c:pt idx="52">
                  <c:v>455.2235357554415</c:v>
                </c:pt>
                <c:pt idx="53">
                  <c:v>421.95043483239044</c:v>
                </c:pt>
                <c:pt idx="54">
                  <c:v>413.69005293795243</c:v>
                </c:pt>
                <c:pt idx="55">
                  <c:v>430.10018205075164</c:v>
                </c:pt>
                <c:pt idx="56">
                  <c:v>409.54644018416468</c:v>
                </c:pt>
                <c:pt idx="57">
                  <c:v>402.3903608433356</c:v>
                </c:pt>
                <c:pt idx="58">
                  <c:v>414.80494015704545</c:v>
                </c:pt>
                <c:pt idx="59">
                  <c:v>428.72442371853163</c:v>
                </c:pt>
                <c:pt idx="60">
                  <c:v>451.07988221429406</c:v>
                </c:pt>
                <c:pt idx="61">
                  <c:v>475.70859032575976</c:v>
                </c:pt>
                <c:pt idx="62">
                  <c:v>529.94423859934352</c:v>
                </c:pt>
                <c:pt idx="63">
                  <c:v>567.83060351367681</c:v>
                </c:pt>
                <c:pt idx="64">
                  <c:v>596.00350919368407</c:v>
                </c:pt>
                <c:pt idx="65">
                  <c:v>568.19461203312858</c:v>
                </c:pt>
                <c:pt idx="66">
                  <c:v>557.62416474607153</c:v>
                </c:pt>
                <c:pt idx="67">
                  <c:v>568.56574382298368</c:v>
                </c:pt>
                <c:pt idx="68">
                  <c:v>558.10574801454095</c:v>
                </c:pt>
                <c:pt idx="69">
                  <c:v>612.24899563574365</c:v>
                </c:pt>
                <c:pt idx="70">
                  <c:v>622.50249472064797</c:v>
                </c:pt>
                <c:pt idx="71">
                  <c:v>639.89461339120749</c:v>
                </c:pt>
                <c:pt idx="72">
                  <c:v>630.94891813210575</c:v>
                </c:pt>
                <c:pt idx="73">
                  <c:v>635.13633512753256</c:v>
                </c:pt>
                <c:pt idx="74">
                  <c:v>688.99119606800366</c:v>
                </c:pt>
                <c:pt idx="75">
                  <c:v>678.66563124909169</c:v>
                </c:pt>
                <c:pt idx="76">
                  <c:v>670.53100162362512</c:v>
                </c:pt>
                <c:pt idx="77">
                  <c:v>635.74642761396092</c:v>
                </c:pt>
                <c:pt idx="78">
                  <c:v>572.22794129691908</c:v>
                </c:pt>
                <c:pt idx="79">
                  <c:v>601.11394344662187</c:v>
                </c:pt>
                <c:pt idx="80">
                  <c:v>667.44803719633342</c:v>
                </c:pt>
                <c:pt idx="81">
                  <c:v>666.776872206289</c:v>
                </c:pt>
                <c:pt idx="82">
                  <c:v>669.98337739808585</c:v>
                </c:pt>
                <c:pt idx="83">
                  <c:v>683.28856875772226</c:v>
                </c:pt>
              </c:numCache>
            </c:numRef>
          </c:val>
          <c:smooth val="0"/>
          <c:extLst>
            <c:ext xmlns:c16="http://schemas.microsoft.com/office/drawing/2014/chart" uri="{C3380CC4-5D6E-409C-BE32-E72D297353CC}">
              <c16:uniqueId val="{00000004-07D1-4EF0-A699-E961F751CBF7}"/>
            </c:ext>
          </c:extLst>
        </c:ser>
        <c:ser>
          <c:idx val="1"/>
          <c:order val="5"/>
          <c:tx>
            <c:strRef>
              <c:f>'Liq Fuel Prices'!$P$25</c:f>
              <c:strCache>
                <c:ptCount val="1"/>
                <c:pt idx="0">
                  <c:v>Crude Price Model Diesel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Prices'!$P$27:$P$110</c:f>
              <c:numCache>
                <c:formatCode>General</c:formatCode>
                <c:ptCount val="84"/>
                <c:pt idx="0">
                  <c:v>259.3226866225329</c:v>
                </c:pt>
                <c:pt idx="1">
                  <c:v>254.34912438136848</c:v>
                </c:pt>
                <c:pt idx="2">
                  <c:v>280.47202480000971</c:v>
                </c:pt>
                <c:pt idx="3">
                  <c:v>308.16630151996668</c:v>
                </c:pt>
                <c:pt idx="4">
                  <c:v>314.28847126737639</c:v>
                </c:pt>
                <c:pt idx="5">
                  <c:v>333.79337265781425</c:v>
                </c:pt>
                <c:pt idx="6">
                  <c:v>379.71015117090604</c:v>
                </c:pt>
                <c:pt idx="7">
                  <c:v>395.67265126033169</c:v>
                </c:pt>
                <c:pt idx="8">
                  <c:v>341.00811093837234</c:v>
                </c:pt>
                <c:pt idx="9">
                  <c:v>329.93980649693418</c:v>
                </c:pt>
                <c:pt idx="10">
                  <c:v>365.06730304178217</c:v>
                </c:pt>
                <c:pt idx="11">
                  <c:v>319.79714980048198</c:v>
                </c:pt>
                <c:pt idx="12">
                  <c:v>307.12624789112346</c:v>
                </c:pt>
                <c:pt idx="13">
                  <c:v>286.00130864451307</c:v>
                </c:pt>
                <c:pt idx="14">
                  <c:v>309.41914549817096</c:v>
                </c:pt>
                <c:pt idx="15">
                  <c:v>344.55641631812978</c:v>
                </c:pt>
                <c:pt idx="16">
                  <c:v>345.42267714808952</c:v>
                </c:pt>
                <c:pt idx="17">
                  <c:v>351.93395325249412</c:v>
                </c:pt>
                <c:pt idx="18">
                  <c:v>342.33114836328269</c:v>
                </c:pt>
                <c:pt idx="19">
                  <c:v>316.5973688512467</c:v>
                </c:pt>
                <c:pt idx="20">
                  <c:v>391.18494186184267</c:v>
                </c:pt>
                <c:pt idx="21">
                  <c:v>412.36345583701001</c:v>
                </c:pt>
                <c:pt idx="22">
                  <c:v>423.68577120560127</c:v>
                </c:pt>
                <c:pt idx="23">
                  <c:v>471.82882925434723</c:v>
                </c:pt>
                <c:pt idx="24">
                  <c:v>466.98481061800464</c:v>
                </c:pt>
                <c:pt idx="25">
                  <c:v>486.28064712511207</c:v>
                </c:pt>
                <c:pt idx="26">
                  <c:v>549.46250027417022</c:v>
                </c:pt>
                <c:pt idx="27">
                  <c:v>619.81938505124447</c:v>
                </c:pt>
                <c:pt idx="28">
                  <c:v>644.40603805421972</c:v>
                </c:pt>
                <c:pt idx="29">
                  <c:v>708.94990780021033</c:v>
                </c:pt>
                <c:pt idx="30">
                  <c:v>792.71780253677241</c:v>
                </c:pt>
                <c:pt idx="31">
                  <c:v>779.50529214615972</c:v>
                </c:pt>
                <c:pt idx="32">
                  <c:v>658.36539219880638</c:v>
                </c:pt>
                <c:pt idx="33">
                  <c:v>601.77104975224961</c:v>
                </c:pt>
                <c:pt idx="34">
                  <c:v>546.61958527682827</c:v>
                </c:pt>
                <c:pt idx="35">
                  <c:v>407.52509546757381</c:v>
                </c:pt>
                <c:pt idx="36">
                  <c:v>298.1584134231606</c:v>
                </c:pt>
                <c:pt idx="37">
                  <c:v>324.66050073388953</c:v>
                </c:pt>
                <c:pt idx="38">
                  <c:v>325.21324839686338</c:v>
                </c:pt>
                <c:pt idx="39">
                  <c:v>352.16511363363446</c:v>
                </c:pt>
                <c:pt idx="40">
                  <c:v>345.78956425900907</c:v>
                </c:pt>
                <c:pt idx="41">
                  <c:v>358.94766316531286</c:v>
                </c:pt>
                <c:pt idx="42">
                  <c:v>417.79222637827809</c:v>
                </c:pt>
                <c:pt idx="43">
                  <c:v>390.14199209476135</c:v>
                </c:pt>
                <c:pt idx="44">
                  <c:v>438.05316840799873</c:v>
                </c:pt>
                <c:pt idx="45">
                  <c:v>387.0032704999789</c:v>
                </c:pt>
                <c:pt idx="46">
                  <c:v>412.14309815870473</c:v>
                </c:pt>
                <c:pt idx="47">
                  <c:v>437.58043012467374</c:v>
                </c:pt>
                <c:pt idx="48">
                  <c:v>421.5930930845318</c:v>
                </c:pt>
                <c:pt idx="49">
                  <c:v>433.1644089539169</c:v>
                </c:pt>
                <c:pt idx="50">
                  <c:v>424.30307901244322</c:v>
                </c:pt>
                <c:pt idx="51">
                  <c:v>445.00524716667616</c:v>
                </c:pt>
                <c:pt idx="52">
                  <c:v>477.68157237950379</c:v>
                </c:pt>
                <c:pt idx="53">
                  <c:v>440.82478648555127</c:v>
                </c:pt>
                <c:pt idx="54">
                  <c:v>431.67471875998297</c:v>
                </c:pt>
                <c:pt idx="55">
                  <c:v>449.85230360851585</c:v>
                </c:pt>
                <c:pt idx="56">
                  <c:v>427.0848174926802</c:v>
                </c:pt>
                <c:pt idx="57">
                  <c:v>419.15799141431029</c:v>
                </c:pt>
                <c:pt idx="58">
                  <c:v>432.90968509585429</c:v>
                </c:pt>
                <c:pt idx="59">
                  <c:v>448.32836899209047</c:v>
                </c:pt>
                <c:pt idx="60">
                  <c:v>473.0916259318318</c:v>
                </c:pt>
                <c:pt idx="61">
                  <c:v>500.37297322219149</c:v>
                </c:pt>
                <c:pt idx="62">
                  <c:v>560.45008117981968</c:v>
                </c:pt>
                <c:pt idx="63">
                  <c:v>602.41700344465596</c:v>
                </c:pt>
                <c:pt idx="64">
                  <c:v>633.62427670301315</c:v>
                </c:pt>
                <c:pt idx="65">
                  <c:v>602.82021756335314</c:v>
                </c:pt>
                <c:pt idx="66">
                  <c:v>591.11127846076204</c:v>
                </c:pt>
                <c:pt idx="67">
                  <c:v>603.23132216549891</c:v>
                </c:pt>
                <c:pt idx="68">
                  <c:v>591.64473073673514</c:v>
                </c:pt>
                <c:pt idx="69">
                  <c:v>651.61948601406618</c:v>
                </c:pt>
                <c:pt idx="70">
                  <c:v>662.97733995470537</c:v>
                </c:pt>
                <c:pt idx="71">
                  <c:v>682.24267971265192</c:v>
                </c:pt>
                <c:pt idx="72">
                  <c:v>672.33348683039662</c:v>
                </c:pt>
                <c:pt idx="73">
                  <c:v>676.97191028260409</c:v>
                </c:pt>
                <c:pt idx="74">
                  <c:v>736.62721814290671</c:v>
                </c:pt>
                <c:pt idx="75">
                  <c:v>725.18953661617184</c:v>
                </c:pt>
                <c:pt idx="76">
                  <c:v>716.17876532900516</c:v>
                </c:pt>
                <c:pt idx="77">
                  <c:v>677.64771288362408</c:v>
                </c:pt>
                <c:pt idx="78">
                  <c:v>607.28795723868814</c:v>
                </c:pt>
                <c:pt idx="79">
                  <c:v>639.28513114279747</c:v>
                </c:pt>
                <c:pt idx="80">
                  <c:v>712.7637496958622</c:v>
                </c:pt>
                <c:pt idx="81">
                  <c:v>712.02029676687948</c:v>
                </c:pt>
                <c:pt idx="82">
                  <c:v>715.57215914349456</c:v>
                </c:pt>
                <c:pt idx="83">
                  <c:v>730.31038839222856</c:v>
                </c:pt>
              </c:numCache>
            </c:numRef>
          </c:val>
          <c:smooth val="0"/>
          <c:extLst>
            <c:ext xmlns:c16="http://schemas.microsoft.com/office/drawing/2014/chart" uri="{C3380CC4-5D6E-409C-BE32-E72D297353CC}">
              <c16:uniqueId val="{00000005-07D1-4EF0-A699-E961F751CBF7}"/>
            </c:ext>
          </c:extLst>
        </c:ser>
        <c:dLbls>
          <c:showLegendKey val="0"/>
          <c:showVal val="0"/>
          <c:showCatName val="0"/>
          <c:showSerName val="0"/>
          <c:showPercent val="0"/>
          <c:showBubbleSize val="0"/>
        </c:dLbls>
        <c:smooth val="0"/>
        <c:axId val="618491248"/>
        <c:axId val="618491640"/>
      </c:lineChart>
      <c:dateAx>
        <c:axId val="618491248"/>
        <c:scaling>
          <c:orientation val="minMax"/>
        </c:scaling>
        <c:delete val="0"/>
        <c:axPos val="b"/>
        <c:numFmt formatCode="mmm\-yy" sourceLinked="1"/>
        <c:majorTickMark val="out"/>
        <c:minorTickMark val="none"/>
        <c:tickLblPos val="nextTo"/>
        <c:crossAx val="618491640"/>
        <c:crosses val="autoZero"/>
        <c:auto val="1"/>
        <c:lblOffset val="100"/>
        <c:baseTimeUnit val="months"/>
      </c:dateAx>
      <c:valAx>
        <c:axId val="618491640"/>
        <c:scaling>
          <c:orientation val="minMax"/>
        </c:scaling>
        <c:delete val="0"/>
        <c:axPos val="l"/>
        <c:majorGridlines/>
        <c:numFmt formatCode="General" sourceLinked="1"/>
        <c:majorTickMark val="out"/>
        <c:minorTickMark val="none"/>
        <c:tickLblPos val="nextTo"/>
        <c:crossAx val="61849124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'Liq Fuel Prices'!$Z$25</c:f>
              <c:strCache>
                <c:ptCount val="1"/>
                <c:pt idx="0">
                  <c:v>Average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Prices'!$Z$75:$Z$110</c:f>
              <c:numCache>
                <c:formatCode>0.0</c:formatCode>
                <c:ptCount val="36"/>
                <c:pt idx="0">
                  <c:v>772</c:v>
                </c:pt>
                <c:pt idx="1">
                  <c:v>790</c:v>
                </c:pt>
                <c:pt idx="2">
                  <c:v>796</c:v>
                </c:pt>
                <c:pt idx="3">
                  <c:v>844.33333333333337</c:v>
                </c:pt>
                <c:pt idx="4">
                  <c:v>858</c:v>
                </c:pt>
                <c:pt idx="5">
                  <c:v>831</c:v>
                </c:pt>
                <c:pt idx="6">
                  <c:v>814</c:v>
                </c:pt>
                <c:pt idx="7">
                  <c:v>804</c:v>
                </c:pt>
                <c:pt idx="8">
                  <c:v>794</c:v>
                </c:pt>
                <c:pt idx="9">
                  <c:v>798.66666666666663</c:v>
                </c:pt>
                <c:pt idx="10">
                  <c:v>818.66666666666663</c:v>
                </c:pt>
                <c:pt idx="11">
                  <c:v>831.66666666666663</c:v>
                </c:pt>
                <c:pt idx="12">
                  <c:v>855</c:v>
                </c:pt>
                <c:pt idx="13">
                  <c:v>886</c:v>
                </c:pt>
                <c:pt idx="14">
                  <c:v>929</c:v>
                </c:pt>
                <c:pt idx="15">
                  <c:v>980.66666666666663</c:v>
                </c:pt>
                <c:pt idx="16">
                  <c:v>1009.6666666666666</c:v>
                </c:pt>
                <c:pt idx="17">
                  <c:v>1007.6666666666666</c:v>
                </c:pt>
                <c:pt idx="18">
                  <c:v>976</c:v>
                </c:pt>
                <c:pt idx="19">
                  <c:v>993</c:v>
                </c:pt>
                <c:pt idx="20">
                  <c:v>1002</c:v>
                </c:pt>
                <c:pt idx="21">
                  <c:v>1038.3333333333333</c:v>
                </c:pt>
                <c:pt idx="22">
                  <c:v>1061.3333333333333</c:v>
                </c:pt>
                <c:pt idx="23">
                  <c:v>1050.3333333333333</c:v>
                </c:pt>
                <c:pt idx="24">
                  <c:v>1045</c:v>
                </c:pt>
                <c:pt idx="25" formatCode="General">
                  <c:v>1079</c:v>
                </c:pt>
                <c:pt idx="26" formatCode="General">
                  <c:v>1107</c:v>
                </c:pt>
                <c:pt idx="27" formatCode="General">
                  <c:v>1178.3333333333333</c:v>
                </c:pt>
                <c:pt idx="28" formatCode="General">
                  <c:v>1204.6666666666667</c:v>
                </c:pt>
                <c:pt idx="29" formatCode="General">
                  <c:v>1149.6666666666667</c:v>
                </c:pt>
                <c:pt idx="30" formatCode="General">
                  <c:v>1063.3333333333333</c:v>
                </c:pt>
                <c:pt idx="31" formatCode="General">
                  <c:v>1085.3333333333333</c:v>
                </c:pt>
                <c:pt idx="32" formatCode="General">
                  <c:v>1178.3333333333333</c:v>
                </c:pt>
                <c:pt idx="33" formatCode="General">
                  <c:v>1200.6666666666667</c:v>
                </c:pt>
                <c:pt idx="34" formatCode="General">
                  <c:v>1190.6666666666667</c:v>
                </c:pt>
                <c:pt idx="35" formatCode="General">
                  <c:v>1181.6666666666667</c:v>
                </c:pt>
              </c:numCache>
            </c:numRef>
          </c:val>
          <c:smooth val="0"/>
          <c:extLst>
            <c:ext xmlns:c16="http://schemas.microsoft.com/office/drawing/2014/chart" uri="{C3380CC4-5D6E-409C-BE32-E72D297353CC}">
              <c16:uniqueId val="{00000000-9B03-4B80-BE28-1F7D8E5516F3}"/>
            </c:ext>
          </c:extLst>
        </c:ser>
        <c:ser>
          <c:idx val="1"/>
          <c:order val="1"/>
          <c:tx>
            <c:strRef>
              <c:f>'Liq Fuel Prices'!$AA$25</c:f>
              <c:strCache>
                <c:ptCount val="1"/>
                <c:pt idx="0">
                  <c:v>Average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Prices'!$AA$75:$AA$110</c:f>
              <c:numCache>
                <c:formatCode>0.0</c:formatCode>
                <c:ptCount val="36"/>
                <c:pt idx="0">
                  <c:v>682.8</c:v>
                </c:pt>
                <c:pt idx="1">
                  <c:v>692.8</c:v>
                </c:pt>
                <c:pt idx="2">
                  <c:v>696.8</c:v>
                </c:pt>
                <c:pt idx="3">
                  <c:v>745.3</c:v>
                </c:pt>
                <c:pt idx="4">
                  <c:v>774.55</c:v>
                </c:pt>
                <c:pt idx="5">
                  <c:v>759.55</c:v>
                </c:pt>
                <c:pt idx="6">
                  <c:v>744.55</c:v>
                </c:pt>
                <c:pt idx="7">
                  <c:v>731.55</c:v>
                </c:pt>
                <c:pt idx="8">
                  <c:v>731.55</c:v>
                </c:pt>
                <c:pt idx="9">
                  <c:v>728.55</c:v>
                </c:pt>
                <c:pt idx="10">
                  <c:v>739.55</c:v>
                </c:pt>
                <c:pt idx="11">
                  <c:v>753.55</c:v>
                </c:pt>
                <c:pt idx="12">
                  <c:v>777.15100000000007</c:v>
                </c:pt>
                <c:pt idx="13">
                  <c:v>807.15100000000007</c:v>
                </c:pt>
                <c:pt idx="14">
                  <c:v>871.15100000000007</c:v>
                </c:pt>
                <c:pt idx="15">
                  <c:v>938.25099999999998</c:v>
                </c:pt>
                <c:pt idx="16">
                  <c:v>954.25099999999998</c:v>
                </c:pt>
                <c:pt idx="17">
                  <c:v>916.25099999999998</c:v>
                </c:pt>
                <c:pt idx="18">
                  <c:v>905.25099999999998</c:v>
                </c:pt>
                <c:pt idx="19">
                  <c:v>920.25099999999998</c:v>
                </c:pt>
                <c:pt idx="20">
                  <c:v>920.25099999999998</c:v>
                </c:pt>
                <c:pt idx="21">
                  <c:v>955.25099999999998</c:v>
                </c:pt>
                <c:pt idx="22">
                  <c:v>991.25099999999998</c:v>
                </c:pt>
                <c:pt idx="23">
                  <c:v>1038.49</c:v>
                </c:pt>
                <c:pt idx="24">
                  <c:v>1017.49</c:v>
                </c:pt>
                <c:pt idx="25" formatCode="General">
                  <c:v>1016.49</c:v>
                </c:pt>
                <c:pt idx="26" formatCode="General">
                  <c:v>1026.8699999999999</c:v>
                </c:pt>
                <c:pt idx="27" formatCode="General">
                  <c:v>1076.6199999999999</c:v>
                </c:pt>
                <c:pt idx="28" formatCode="General">
                  <c:v>1086.02</c:v>
                </c:pt>
                <c:pt idx="29" formatCode="General">
                  <c:v>1061.1999999999998</c:v>
                </c:pt>
                <c:pt idx="30" formatCode="General">
                  <c:v>998.62</c:v>
                </c:pt>
                <c:pt idx="31" formatCode="General">
                  <c:v>1013.24</c:v>
                </c:pt>
                <c:pt idx="32" formatCode="General">
                  <c:v>1082.24</c:v>
                </c:pt>
                <c:pt idx="33" formatCode="General">
                  <c:v>1121.4000000000001</c:v>
                </c:pt>
                <c:pt idx="34" formatCode="General">
                  <c:v>1131.5999999999999</c:v>
                </c:pt>
                <c:pt idx="35" formatCode="General">
                  <c:v>1126.5999999999999</c:v>
                </c:pt>
              </c:numCache>
            </c:numRef>
          </c:val>
          <c:smooth val="0"/>
          <c:extLst>
            <c:ext xmlns:c16="http://schemas.microsoft.com/office/drawing/2014/chart" uri="{C3380CC4-5D6E-409C-BE32-E72D297353CC}">
              <c16:uniqueId val="{00000001-9B03-4B80-BE28-1F7D8E5516F3}"/>
            </c:ext>
          </c:extLst>
        </c:ser>
        <c:ser>
          <c:idx val="2"/>
          <c:order val="2"/>
          <c:tx>
            <c:strRef>
              <c:f>'Liq Fuel Prices'!$AB$25</c:f>
              <c:strCache>
                <c:ptCount val="1"/>
                <c:pt idx="0">
                  <c:v>Average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Prices'!$AB$75:$AB$110</c:f>
              <c:numCache>
                <c:formatCode>0.0</c:formatCode>
                <c:ptCount val="36"/>
                <c:pt idx="0">
                  <c:v>497.65000000000003</c:v>
                </c:pt>
                <c:pt idx="1">
                  <c:v>502.65000000000003</c:v>
                </c:pt>
                <c:pt idx="2">
                  <c:v>500.65000000000003</c:v>
                </c:pt>
                <c:pt idx="3">
                  <c:v>521.65000000000009</c:v>
                </c:pt>
                <c:pt idx="4">
                  <c:v>552.15000000000009</c:v>
                </c:pt>
                <c:pt idx="5">
                  <c:v>539.15000000000009</c:v>
                </c:pt>
                <c:pt idx="6">
                  <c:v>527.15000000000009</c:v>
                </c:pt>
                <c:pt idx="7">
                  <c:v>512.15000000000009</c:v>
                </c:pt>
                <c:pt idx="8">
                  <c:v>507.15000000000003</c:v>
                </c:pt>
                <c:pt idx="9">
                  <c:v>506.15000000000003</c:v>
                </c:pt>
                <c:pt idx="10">
                  <c:v>520.15000000000009</c:v>
                </c:pt>
                <c:pt idx="11">
                  <c:v>534.15000000000009</c:v>
                </c:pt>
                <c:pt idx="12">
                  <c:v>555.76299999999992</c:v>
                </c:pt>
                <c:pt idx="13">
                  <c:v>587.76299999999992</c:v>
                </c:pt>
                <c:pt idx="14">
                  <c:v>657.76299999999992</c:v>
                </c:pt>
                <c:pt idx="15">
                  <c:v>702.46299999999997</c:v>
                </c:pt>
                <c:pt idx="16">
                  <c:v>717.46299999999997</c:v>
                </c:pt>
                <c:pt idx="17">
                  <c:v>685.46299999999997</c:v>
                </c:pt>
                <c:pt idx="18">
                  <c:v>673.46299999999997</c:v>
                </c:pt>
                <c:pt idx="19">
                  <c:v>683.46299999999997</c:v>
                </c:pt>
                <c:pt idx="20">
                  <c:v>681.46299999999997</c:v>
                </c:pt>
                <c:pt idx="21">
                  <c:v>711.46299999999997</c:v>
                </c:pt>
                <c:pt idx="22">
                  <c:v>752.47199999999998</c:v>
                </c:pt>
                <c:pt idx="23">
                  <c:v>795.47800000000007</c:v>
                </c:pt>
                <c:pt idx="24">
                  <c:v>770.47800000000007</c:v>
                </c:pt>
                <c:pt idx="25" formatCode="General">
                  <c:v>767.47800000000007</c:v>
                </c:pt>
                <c:pt idx="26" formatCode="General">
                  <c:v>771.47800000000007</c:v>
                </c:pt>
                <c:pt idx="27" formatCode="General">
                  <c:v>795.07799999999997</c:v>
                </c:pt>
                <c:pt idx="28" formatCode="General">
                  <c:v>804.07799999999997</c:v>
                </c:pt>
                <c:pt idx="29" formatCode="General">
                  <c:v>783.07799999999997</c:v>
                </c:pt>
                <c:pt idx="30" formatCode="General">
                  <c:v>725.07799999999997</c:v>
                </c:pt>
                <c:pt idx="31" formatCode="General">
                  <c:v>740.07799999999997</c:v>
                </c:pt>
                <c:pt idx="32" formatCode="General">
                  <c:v>813.07799999999997</c:v>
                </c:pt>
                <c:pt idx="33" formatCode="General">
                  <c:v>846.07799999999997</c:v>
                </c:pt>
                <c:pt idx="34" formatCode="General">
                  <c:v>849.07799999999997</c:v>
                </c:pt>
                <c:pt idx="35" formatCode="General">
                  <c:v>845.07799999999997</c:v>
                </c:pt>
              </c:numCache>
            </c:numRef>
          </c:val>
          <c:smooth val="0"/>
          <c:extLst>
            <c:ext xmlns:c16="http://schemas.microsoft.com/office/drawing/2014/chart" uri="{C3380CC4-5D6E-409C-BE32-E72D297353CC}">
              <c16:uniqueId val="{00000002-9B03-4B80-BE28-1F7D8E5516F3}"/>
            </c:ext>
          </c:extLst>
        </c:ser>
        <c:ser>
          <c:idx val="3"/>
          <c:order val="3"/>
          <c:tx>
            <c:strRef>
              <c:f>'Liq Fuel Prices'!$AD$25</c:f>
              <c:strCache>
                <c:ptCount val="1"/>
                <c:pt idx="0">
                  <c:v>Crude Price Model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Prices'!$AD$75:$AD$110</c:f>
              <c:numCache>
                <c:formatCode>General</c:formatCode>
                <c:ptCount val="36"/>
                <c:pt idx="0">
                  <c:v>789.22523227507838</c:v>
                </c:pt>
                <c:pt idx="1">
                  <c:v>803.38272704595818</c:v>
                </c:pt>
                <c:pt idx="2">
                  <c:v>792.54089767015</c:v>
                </c:pt>
                <c:pt idx="3">
                  <c:v>817.86998216648431</c:v>
                </c:pt>
                <c:pt idx="4">
                  <c:v>857.84943727375912</c:v>
                </c:pt>
                <c:pt idx="5">
                  <c:v>812.75519220646925</c:v>
                </c:pt>
                <c:pt idx="6">
                  <c:v>801.56009240622382</c:v>
                </c:pt>
                <c:pt idx="7">
                  <c:v>823.80035145240652</c:v>
                </c:pt>
                <c:pt idx="8">
                  <c:v>795.9443522497719</c:v>
                </c:pt>
                <c:pt idx="9">
                  <c:v>786.24588752709383</c:v>
                </c:pt>
                <c:pt idx="10">
                  <c:v>803.07107263005207</c:v>
                </c:pt>
                <c:pt idx="11">
                  <c:v>821.93581879192595</c:v>
                </c:pt>
                <c:pt idx="12">
                  <c:v>852.23364183916544</c:v>
                </c:pt>
                <c:pt idx="13">
                  <c:v>885.6123462117348</c:v>
                </c:pt>
                <c:pt idx="14">
                  <c:v>959.11663486485452</c:v>
                </c:pt>
                <c:pt idx="15">
                  <c:v>1010.4631272794564</c:v>
                </c:pt>
                <c:pt idx="16">
                  <c:v>1048.6451986147963</c:v>
                </c:pt>
                <c:pt idx="17">
                  <c:v>1010.9564593984163</c:v>
                </c:pt>
                <c:pt idx="18">
                  <c:v>996.63058272296678</c:v>
                </c:pt>
                <c:pt idx="19">
                  <c:v>1011.4594455169237</c:v>
                </c:pt>
                <c:pt idx="20">
                  <c:v>997.2832611126031</c:v>
                </c:pt>
                <c:pt idx="21">
                  <c:v>1070.6623213515609</c:v>
                </c:pt>
                <c:pt idx="22">
                  <c:v>1084.5586456406982</c:v>
                </c:pt>
                <c:pt idx="23">
                  <c:v>1108.129771860144</c:v>
                </c:pt>
                <c:pt idx="24">
                  <c:v>1096.0058830995458</c:v>
                </c:pt>
                <c:pt idx="25">
                  <c:v>1101.6809901064762</c:v>
                </c:pt>
                <c:pt idx="26">
                  <c:v>1174.6692067121598</c:v>
                </c:pt>
                <c:pt idx="27">
                  <c:v>1160.6752134417693</c:v>
                </c:pt>
                <c:pt idx="28">
                  <c:v>1149.6505427111765</c:v>
                </c:pt>
                <c:pt idx="29">
                  <c:v>1102.5078339933848</c:v>
                </c:pt>
                <c:pt idx="30">
                  <c:v>1016.4227349547303</c:v>
                </c:pt>
                <c:pt idx="31">
                  <c:v>1055.5712490341784</c:v>
                </c:pt>
                <c:pt idx="32">
                  <c:v>1145.4722740929451</c:v>
                </c:pt>
                <c:pt idx="33">
                  <c:v>1144.5626600893797</c:v>
                </c:pt>
                <c:pt idx="34">
                  <c:v>1148.9083605776757</c:v>
                </c:pt>
                <c:pt idx="35">
                  <c:v>1166.9405710778692</c:v>
                </c:pt>
              </c:numCache>
            </c:numRef>
          </c:val>
          <c:smooth val="0"/>
          <c:extLst>
            <c:ext xmlns:c16="http://schemas.microsoft.com/office/drawing/2014/chart" uri="{C3380CC4-5D6E-409C-BE32-E72D297353CC}">
              <c16:uniqueId val="{00000003-9B03-4B80-BE28-1F7D8E5516F3}"/>
            </c:ext>
          </c:extLst>
        </c:ser>
        <c:ser>
          <c:idx val="4"/>
          <c:order val="4"/>
          <c:tx>
            <c:strRef>
              <c:f>'Liq Fuel Prices'!$AE$25</c:f>
              <c:strCache>
                <c:ptCount val="1"/>
                <c:pt idx="0">
                  <c:v>Crude Price Model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Prices'!$AE$75:$AE$110</c:f>
              <c:numCache>
                <c:formatCode>General</c:formatCode>
                <c:ptCount val="36"/>
                <c:pt idx="0">
                  <c:v>710.35635681148051</c:v>
                </c:pt>
                <c:pt idx="1">
                  <c:v>724.86549267425937</c:v>
                </c:pt>
                <c:pt idx="2">
                  <c:v>713.75437605649267</c:v>
                </c:pt>
                <c:pt idx="3">
                  <c:v>739.71257940988733</c:v>
                </c:pt>
                <c:pt idx="4">
                  <c:v>780.68503642003895</c:v>
                </c:pt>
                <c:pt idx="5">
                  <c:v>734.47074929513576</c:v>
                </c:pt>
                <c:pt idx="6">
                  <c:v>722.99758779107992</c:v>
                </c:pt>
                <c:pt idx="7">
                  <c:v>745.79024605066047</c:v>
                </c:pt>
                <c:pt idx="8">
                  <c:v>717.24236497668653</c:v>
                </c:pt>
                <c:pt idx="9">
                  <c:v>707.30301168014569</c:v>
                </c:pt>
                <c:pt idx="10">
                  <c:v>724.54609744679874</c:v>
                </c:pt>
                <c:pt idx="11">
                  <c:v>743.87940249187318</c:v>
                </c:pt>
                <c:pt idx="12">
                  <c:v>774.92975695451594</c:v>
                </c:pt>
                <c:pt idx="13">
                  <c:v>809.13751507152938</c:v>
                </c:pt>
                <c:pt idx="14">
                  <c:v>884.46748889985474</c:v>
                </c:pt>
                <c:pt idx="15">
                  <c:v>937.08931547138627</c:v>
                </c:pt>
                <c:pt idx="16">
                  <c:v>976.21974564228378</c:v>
                </c:pt>
                <c:pt idx="17">
                  <c:v>937.59490087722975</c:v>
                </c:pt>
                <c:pt idx="18">
                  <c:v>922.91320087299971</c:v>
                </c:pt>
                <c:pt idx="19">
                  <c:v>938.11038006677722</c:v>
                </c:pt>
                <c:pt idx="20">
                  <c:v>923.58209036108997</c:v>
                </c:pt>
                <c:pt idx="21">
                  <c:v>998.78372537634391</c:v>
                </c:pt>
                <c:pt idx="22">
                  <c:v>1013.0252038559292</c:v>
                </c:pt>
                <c:pt idx="23">
                  <c:v>1037.1817851078677</c:v>
                </c:pt>
                <c:pt idx="24">
                  <c:v>1024.7567655645403</c:v>
                </c:pt>
                <c:pt idx="25">
                  <c:v>1030.5728297716573</c:v>
                </c:pt>
                <c:pt idx="26">
                  <c:v>1105.3739134557579</c:v>
                </c:pt>
                <c:pt idx="27">
                  <c:v>1091.0323401118258</c:v>
                </c:pt>
                <c:pt idx="28">
                  <c:v>1079.7338407613904</c:v>
                </c:pt>
                <c:pt idx="29">
                  <c:v>1031.4202106456478</c:v>
                </c:pt>
                <c:pt idx="30">
                  <c:v>943.19694671891921</c:v>
                </c:pt>
                <c:pt idx="31">
                  <c:v>983.31782395017558</c:v>
                </c:pt>
                <c:pt idx="32">
                  <c:v>1075.4517931227222</c:v>
                </c:pt>
                <c:pt idx="33">
                  <c:v>1074.5195863040724</c:v>
                </c:pt>
                <c:pt idx="34">
                  <c:v>1078.973224452915</c:v>
                </c:pt>
                <c:pt idx="35">
                  <c:v>1097.4533154780361</c:v>
                </c:pt>
              </c:numCache>
            </c:numRef>
          </c:val>
          <c:smooth val="0"/>
          <c:extLst>
            <c:ext xmlns:c16="http://schemas.microsoft.com/office/drawing/2014/chart" uri="{C3380CC4-5D6E-409C-BE32-E72D297353CC}">
              <c16:uniqueId val="{00000004-9B03-4B80-BE28-1F7D8E5516F3}"/>
            </c:ext>
          </c:extLst>
        </c:ser>
        <c:ser>
          <c:idx val="5"/>
          <c:order val="5"/>
          <c:tx>
            <c:strRef>
              <c:f>'Liq Fuel Prices'!$AF$25</c:f>
              <c:strCache>
                <c:ptCount val="1"/>
                <c:pt idx="0">
                  <c:v>Crude Price Model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Prices'!$AF$75:$AF$110</c:f>
              <c:numCache>
                <c:formatCode>General</c:formatCode>
                <c:ptCount val="36"/>
                <c:pt idx="0">
                  <c:v>502.55261762128106</c:v>
                </c:pt>
                <c:pt idx="1">
                  <c:v>514.73147064117984</c:v>
                </c:pt>
                <c:pt idx="2">
                  <c:v>505.40488789672565</c:v>
                </c:pt>
                <c:pt idx="3">
                  <c:v>527.19399693061723</c:v>
                </c:pt>
                <c:pt idx="4">
                  <c:v>561.5859508353883</c:v>
                </c:pt>
                <c:pt idx="5">
                  <c:v>522.79404650444394</c:v>
                </c:pt>
                <c:pt idx="6">
                  <c:v>513.1635661675748</c:v>
                </c:pt>
                <c:pt idx="7">
                  <c:v>532.29554187595068</c:v>
                </c:pt>
                <c:pt idx="8">
                  <c:v>508.33267800054921</c:v>
                </c:pt>
                <c:pt idx="9">
                  <c:v>499.98966405014897</c:v>
                </c:pt>
                <c:pt idx="10">
                  <c:v>514.46337283251023</c:v>
                </c:pt>
                <c:pt idx="11">
                  <c:v>530.69159502021876</c:v>
                </c:pt>
                <c:pt idx="12">
                  <c:v>556.75501511585605</c:v>
                </c:pt>
                <c:pt idx="13">
                  <c:v>585.4687346776193</c:v>
                </c:pt>
                <c:pt idx="14">
                  <c:v>648.70011440448036</c:v>
                </c:pt>
                <c:pt idx="15">
                  <c:v>692.87045628523651</c:v>
                </c:pt>
                <c:pt idx="16">
                  <c:v>725.71622754025145</c:v>
                </c:pt>
                <c:pt idx="17">
                  <c:v>693.29484064589087</c:v>
                </c:pt>
                <c:pt idx="18">
                  <c:v>680.97113866082191</c:v>
                </c:pt>
                <c:pt idx="19">
                  <c:v>693.72752976974277</c:v>
                </c:pt>
                <c:pt idx="20">
                  <c:v>681.53259916674381</c:v>
                </c:pt>
                <c:pt idx="21">
                  <c:v>744.65625231664501</c:v>
                </c:pt>
                <c:pt idx="22">
                  <c:v>756.61043586205301</c:v>
                </c:pt>
                <c:pt idx="23">
                  <c:v>776.88727766111037</c:v>
                </c:pt>
                <c:pt idx="24">
                  <c:v>766.45781527143424</c:v>
                </c:pt>
                <c:pt idx="25">
                  <c:v>771.33977321866701</c:v>
                </c:pt>
                <c:pt idx="26">
                  <c:v>834.12720677319192</c:v>
                </c:pt>
                <c:pt idx="27">
                  <c:v>822.08900439630725</c:v>
                </c:pt>
                <c:pt idx="28">
                  <c:v>812.60513407930432</c:v>
                </c:pt>
                <c:pt idx="29">
                  <c:v>772.05105797151566</c:v>
                </c:pt>
                <c:pt idx="30">
                  <c:v>697.99715328269622</c:v>
                </c:pt>
                <c:pt idx="31">
                  <c:v>731.67429790730284</c:v>
                </c:pt>
                <c:pt idx="32">
                  <c:v>809.010817415048</c:v>
                </c:pt>
                <c:pt idx="33">
                  <c:v>808.22833044023037</c:v>
                </c:pt>
                <c:pt idx="34">
                  <c:v>811.96667881132203</c:v>
                </c:pt>
                <c:pt idx="35">
                  <c:v>827.47871994994523</c:v>
                </c:pt>
              </c:numCache>
            </c:numRef>
          </c:val>
          <c:smooth val="0"/>
          <c:extLst>
            <c:ext xmlns:c16="http://schemas.microsoft.com/office/drawing/2014/chart" uri="{C3380CC4-5D6E-409C-BE32-E72D297353CC}">
              <c16:uniqueId val="{00000005-9B03-4B80-BE28-1F7D8E5516F3}"/>
            </c:ext>
          </c:extLst>
        </c:ser>
        <c:ser>
          <c:idx val="6"/>
          <c:order val="6"/>
          <c:tx>
            <c:strRef>
              <c:f>'Liq Fuel Prices'!$AH$25</c:f>
              <c:strCache>
                <c:ptCount val="1"/>
                <c:pt idx="0">
                  <c:v>BFP Model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Prices'!$AH$75:$AH$110</c:f>
              <c:numCache>
                <c:formatCode>0.0</c:formatCode>
                <c:ptCount val="36"/>
                <c:pt idx="0">
                  <c:v>785.35960832452008</c:v>
                </c:pt>
                <c:pt idx="1">
                  <c:v>809.77797005609966</c:v>
                </c:pt>
                <c:pt idx="2">
                  <c:v>818.32439666215248</c:v>
                </c:pt>
                <c:pt idx="3">
                  <c:v>849.52563665250409</c:v>
                </c:pt>
                <c:pt idx="4">
                  <c:v>865.80454447355714</c:v>
                </c:pt>
                <c:pt idx="5">
                  <c:v>829.17700187618777</c:v>
                </c:pt>
                <c:pt idx="6">
                  <c:v>806.79350362223988</c:v>
                </c:pt>
                <c:pt idx="7">
                  <c:v>793.22774710469571</c:v>
                </c:pt>
                <c:pt idx="8">
                  <c:v>779.66199058715154</c:v>
                </c:pt>
                <c:pt idx="9">
                  <c:v>774.23568798013378</c:v>
                </c:pt>
                <c:pt idx="10">
                  <c:v>801.36720101522224</c:v>
                </c:pt>
                <c:pt idx="11">
                  <c:v>819.00268448802967</c:v>
                </c:pt>
                <c:pt idx="12">
                  <c:v>852.77124389932658</c:v>
                </c:pt>
                <c:pt idx="13">
                  <c:v>888.04221084494145</c:v>
                </c:pt>
                <c:pt idx="14">
                  <c:v>946.37496387038163</c:v>
                </c:pt>
                <c:pt idx="15">
                  <c:v>985.30868507573337</c:v>
                </c:pt>
                <c:pt idx="16">
                  <c:v>1024.6493789766114</c:v>
                </c:pt>
                <c:pt idx="17">
                  <c:v>1021.9362276731026</c:v>
                </c:pt>
                <c:pt idx="18">
                  <c:v>978.52580681696122</c:v>
                </c:pt>
                <c:pt idx="19">
                  <c:v>1001.5875928967864</c:v>
                </c:pt>
                <c:pt idx="20">
                  <c:v>1013.7967737625761</c:v>
                </c:pt>
                <c:pt idx="21">
                  <c:v>1057.8854824445948</c:v>
                </c:pt>
                <c:pt idx="22">
                  <c:v>1089.0867224349463</c:v>
                </c:pt>
                <c:pt idx="23">
                  <c:v>1054.2023795500813</c:v>
                </c:pt>
                <c:pt idx="24">
                  <c:v>1046.7412134654323</c:v>
                </c:pt>
                <c:pt idx="25">
                  <c:v>1092.8647856250823</c:v>
                </c:pt>
                <c:pt idx="26">
                  <c:v>1124.9071025195217</c:v>
                </c:pt>
                <c:pt idx="27">
                  <c:v>1177.6778953727689</c:v>
                </c:pt>
                <c:pt idx="28">
                  <c:v>1209.693080754173</c:v>
                </c:pt>
                <c:pt idx="29">
                  <c:v>1132.1240849868555</c:v>
                </c:pt>
                <c:pt idx="30">
                  <c:v>1023.0282710727651</c:v>
                </c:pt>
                <c:pt idx="31">
                  <c:v>1058.8147367660467</c:v>
                </c:pt>
                <c:pt idx="32">
                  <c:v>1180.2282575980671</c:v>
                </c:pt>
                <c:pt idx="33">
                  <c:v>1192.2203863595762</c:v>
                </c:pt>
                <c:pt idx="34">
                  <c:v>1175.6701634081724</c:v>
                </c:pt>
                <c:pt idx="35">
                  <c:v>1144.6045809829961</c:v>
                </c:pt>
              </c:numCache>
            </c:numRef>
          </c:val>
          <c:smooth val="0"/>
          <c:extLst>
            <c:ext xmlns:c16="http://schemas.microsoft.com/office/drawing/2014/chart" uri="{C3380CC4-5D6E-409C-BE32-E72D297353CC}">
              <c16:uniqueId val="{00000006-9B03-4B80-BE28-1F7D8E5516F3}"/>
            </c:ext>
          </c:extLst>
        </c:ser>
        <c:ser>
          <c:idx val="7"/>
          <c:order val="7"/>
          <c:tx>
            <c:strRef>
              <c:f>'Liq Fuel Prices'!$AI$25</c:f>
              <c:strCache>
                <c:ptCount val="1"/>
                <c:pt idx="0">
                  <c:v>BFP Model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Prices'!$AI$75:$AI$110</c:f>
              <c:numCache>
                <c:formatCode>0.0</c:formatCode>
                <c:ptCount val="36"/>
                <c:pt idx="0">
                  <c:v>697.28841299445492</c:v>
                </c:pt>
                <c:pt idx="1">
                  <c:v>706.71592718939928</c:v>
                </c:pt>
                <c:pt idx="2">
                  <c:v>707.9729290820585</c:v>
                </c:pt>
                <c:pt idx="3">
                  <c:v>735.62697072056187</c:v>
                </c:pt>
                <c:pt idx="4">
                  <c:v>772.08052840843686</c:v>
                </c:pt>
                <c:pt idx="5">
                  <c:v>754.48199911045037</c:v>
                </c:pt>
                <c:pt idx="6">
                  <c:v>736.88397261322109</c:v>
                </c:pt>
                <c:pt idx="7">
                  <c:v>719.3198851670935</c:v>
                </c:pt>
                <c:pt idx="8">
                  <c:v>717.40044327700286</c:v>
                </c:pt>
                <c:pt idx="9">
                  <c:v>714.88643949168431</c:v>
                </c:pt>
                <c:pt idx="10">
                  <c:v>731.22746409625449</c:v>
                </c:pt>
                <c:pt idx="11">
                  <c:v>749.4539915398135</c:v>
                </c:pt>
                <c:pt idx="12">
                  <c:v>773.33702750033899</c:v>
                </c:pt>
                <c:pt idx="13">
                  <c:v>813.56108806543477</c:v>
                </c:pt>
                <c:pt idx="14">
                  <c:v>897.15171392727427</c:v>
                </c:pt>
                <c:pt idx="15">
                  <c:v>949.94579341896235</c:v>
                </c:pt>
                <c:pt idx="16">
                  <c:v>969.42932275518058</c:v>
                </c:pt>
                <c:pt idx="17">
                  <c:v>926.06275745843675</c:v>
                </c:pt>
                <c:pt idx="18">
                  <c:v>910.9787347465259</c:v>
                </c:pt>
                <c:pt idx="19">
                  <c:v>926.69125840476636</c:v>
                </c:pt>
                <c:pt idx="20">
                  <c:v>925.43425651210714</c:v>
                </c:pt>
                <c:pt idx="21">
                  <c:v>967.54381991619175</c:v>
                </c:pt>
                <c:pt idx="22">
                  <c:v>1015.9383927835725</c:v>
                </c:pt>
                <c:pt idx="23">
                  <c:v>1060.5619599729755</c:v>
                </c:pt>
                <c:pt idx="24">
                  <c:v>1032.2794173881425</c:v>
                </c:pt>
                <c:pt idx="25">
                  <c:v>1029.1369126564946</c:v>
                </c:pt>
                <c:pt idx="26">
                  <c:v>1034.793421173461</c:v>
                </c:pt>
                <c:pt idx="27">
                  <c:v>1061.8189618656347</c:v>
                </c:pt>
                <c:pt idx="28">
                  <c:v>1069.98947416792</c:v>
                </c:pt>
                <c:pt idx="29">
                  <c:v>1039.8214287440981</c:v>
                </c:pt>
                <c:pt idx="30">
                  <c:v>968.80082180885097</c:v>
                </c:pt>
                <c:pt idx="31">
                  <c:v>990.79835493038775</c:v>
                </c:pt>
                <c:pt idx="32">
                  <c:v>1080.0454893091937</c:v>
                </c:pt>
                <c:pt idx="33">
                  <c:v>1117.755546088971</c:v>
                </c:pt>
                <c:pt idx="34">
                  <c:v>1124.0405555522671</c:v>
                </c:pt>
                <c:pt idx="35">
                  <c:v>1105.1855271623785</c:v>
                </c:pt>
              </c:numCache>
            </c:numRef>
          </c:val>
          <c:smooth val="0"/>
          <c:extLst>
            <c:ext xmlns:c16="http://schemas.microsoft.com/office/drawing/2014/chart" uri="{C3380CC4-5D6E-409C-BE32-E72D297353CC}">
              <c16:uniqueId val="{00000007-9B03-4B80-BE28-1F7D8E5516F3}"/>
            </c:ext>
          </c:extLst>
        </c:ser>
        <c:ser>
          <c:idx val="8"/>
          <c:order val="8"/>
          <c:tx>
            <c:strRef>
              <c:f>'Liq Fuel Prices'!$AJ$25</c:f>
              <c:strCache>
                <c:ptCount val="1"/>
                <c:pt idx="0">
                  <c:v>BFP Model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Prices'!$AJ$75:$AJ$110</c:f>
              <c:numCache>
                <c:formatCode>0.0</c:formatCode>
                <c:ptCount val="36"/>
                <c:pt idx="0">
                  <c:v>496.18505630617784</c:v>
                </c:pt>
                <c:pt idx="1">
                  <c:v>501.52979789622339</c:v>
                </c:pt>
                <c:pt idx="2">
                  <c:v>499.39190126020515</c:v>
                </c:pt>
                <c:pt idx="3">
                  <c:v>521.83981593839644</c:v>
                </c:pt>
                <c:pt idx="4">
                  <c:v>553.90912063732435</c:v>
                </c:pt>
                <c:pt idx="5">
                  <c:v>540.01193734455137</c:v>
                </c:pt>
                <c:pt idx="6">
                  <c:v>527.18455752844216</c:v>
                </c:pt>
                <c:pt idx="7">
                  <c:v>511.20805596747795</c:v>
                </c:pt>
                <c:pt idx="8">
                  <c:v>505.80559116825981</c:v>
                </c:pt>
                <c:pt idx="9">
                  <c:v>504.73664285025075</c:v>
                </c:pt>
                <c:pt idx="10">
                  <c:v>519.70191930237831</c:v>
                </c:pt>
                <c:pt idx="11">
                  <c:v>534.66719575450588</c:v>
                </c:pt>
                <c:pt idx="12">
                  <c:v>553.90826547866993</c:v>
                </c:pt>
                <c:pt idx="13">
                  <c:v>588.11461165496155</c:v>
                </c:pt>
                <c:pt idx="14">
                  <c:v>662.94099391559951</c:v>
                </c:pt>
                <c:pt idx="15">
                  <c:v>705.69892663596397</c:v>
                </c:pt>
                <c:pt idx="16">
                  <c:v>721.73315140610066</c:v>
                </c:pt>
                <c:pt idx="17">
                  <c:v>687.52680522980904</c:v>
                </c:pt>
                <c:pt idx="18">
                  <c:v>674.69942541369971</c:v>
                </c:pt>
                <c:pt idx="19">
                  <c:v>685.3889085937908</c:v>
                </c:pt>
                <c:pt idx="20">
                  <c:v>683.25101195777268</c:v>
                </c:pt>
                <c:pt idx="21">
                  <c:v>715.31946149804605</c:v>
                </c:pt>
                <c:pt idx="22">
                  <c:v>759.14634253641964</c:v>
                </c:pt>
                <c:pt idx="23">
                  <c:v>796.55953366673862</c:v>
                </c:pt>
                <c:pt idx="24">
                  <c:v>769.83582571651073</c:v>
                </c:pt>
                <c:pt idx="25">
                  <c:v>766.62898076248348</c:v>
                </c:pt>
                <c:pt idx="26">
                  <c:v>770.90477403451985</c:v>
                </c:pt>
                <c:pt idx="27">
                  <c:v>793.35268871271126</c:v>
                </c:pt>
                <c:pt idx="28">
                  <c:v>802.97322357479322</c:v>
                </c:pt>
                <c:pt idx="29">
                  <c:v>780.52530889660193</c:v>
                </c:pt>
                <c:pt idx="30">
                  <c:v>718.5263064520733</c:v>
                </c:pt>
                <c:pt idx="31">
                  <c:v>734.56053122220999</c:v>
                </c:pt>
                <c:pt idx="32">
                  <c:v>812.59375843687531</c:v>
                </c:pt>
                <c:pt idx="33">
                  <c:v>847.86905293117604</c:v>
                </c:pt>
                <c:pt idx="34">
                  <c:v>851.07589788520329</c:v>
                </c:pt>
                <c:pt idx="35">
                  <c:v>836.11062143307572</c:v>
                </c:pt>
              </c:numCache>
            </c:numRef>
          </c:val>
          <c:smooth val="0"/>
          <c:extLst>
            <c:ext xmlns:c16="http://schemas.microsoft.com/office/drawing/2014/chart" uri="{C3380CC4-5D6E-409C-BE32-E72D297353CC}">
              <c16:uniqueId val="{00000008-9B03-4B80-BE28-1F7D8E5516F3}"/>
            </c:ext>
          </c:extLst>
        </c:ser>
        <c:dLbls>
          <c:showLegendKey val="0"/>
          <c:showVal val="0"/>
          <c:showCatName val="0"/>
          <c:showSerName val="0"/>
          <c:showPercent val="0"/>
          <c:showBubbleSize val="0"/>
        </c:dLbls>
        <c:smooth val="0"/>
        <c:axId val="618492424"/>
        <c:axId val="618492816"/>
      </c:lineChart>
      <c:dateAx>
        <c:axId val="618492424"/>
        <c:scaling>
          <c:orientation val="minMax"/>
        </c:scaling>
        <c:delete val="0"/>
        <c:axPos val="b"/>
        <c:numFmt formatCode="mmm\-yy" sourceLinked="1"/>
        <c:majorTickMark val="out"/>
        <c:minorTickMark val="none"/>
        <c:tickLblPos val="nextTo"/>
        <c:crossAx val="618492816"/>
        <c:crosses val="autoZero"/>
        <c:auto val="1"/>
        <c:lblOffset val="100"/>
        <c:baseTimeUnit val="months"/>
      </c:dateAx>
      <c:valAx>
        <c:axId val="618492816"/>
        <c:scaling>
          <c:orientation val="minMax"/>
        </c:scaling>
        <c:delete val="0"/>
        <c:axPos val="l"/>
        <c:majorGridlines/>
        <c:numFmt formatCode="0.0" sourceLinked="1"/>
        <c:majorTickMark val="out"/>
        <c:minorTickMark val="none"/>
        <c:tickLblPos val="nextTo"/>
        <c:crossAx val="61849242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avg</a:t>
            </a:r>
            <a:r>
              <a:rPr lang="en-GB" baseline="0"/>
              <a:t> tax vs crude price</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'Liq Fuel Prices'!$AR$74</c:f>
              <c:strCache>
                <c:ptCount val="1"/>
                <c:pt idx="0">
                  <c:v>avg diesel (R/GJ)</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38952628001793843"/>
                  <c:y val="-0.1737695732615333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'Liq Fuel Prices'!$AL$75:$AL$110</c:f>
              <c:numCache>
                <c:formatCode>General</c:formatCode>
                <c:ptCount val="36"/>
                <c:pt idx="0">
                  <c:v>90.9191912195122</c:v>
                </c:pt>
                <c:pt idx="1">
                  <c:v>93.37621788617885</c:v>
                </c:pt>
                <c:pt idx="2">
                  <c:v>91.494623414634148</c:v>
                </c:pt>
                <c:pt idx="3">
                  <c:v>95.890474308943084</c:v>
                </c:pt>
                <c:pt idx="4">
                  <c:v>102.82889024390244</c:v>
                </c:pt>
                <c:pt idx="5">
                  <c:v>95.002804878048778</c:v>
                </c:pt>
                <c:pt idx="6">
                  <c:v>93.059900487804882</c:v>
                </c:pt>
                <c:pt idx="7">
                  <c:v>96.919687154471546</c:v>
                </c:pt>
                <c:pt idx="8">
                  <c:v>92.085291382113823</c:v>
                </c:pt>
                <c:pt idx="9">
                  <c:v>90.40212731707318</c:v>
                </c:pt>
                <c:pt idx="10">
                  <c:v>93.322130406504058</c:v>
                </c:pt>
                <c:pt idx="11">
                  <c:v>96.596098373983736</c:v>
                </c:pt>
                <c:pt idx="12">
                  <c:v>101.85427154471544</c:v>
                </c:pt>
                <c:pt idx="13">
                  <c:v>107.64713024390244</c:v>
                </c:pt>
                <c:pt idx="14">
                  <c:v>120.40376552845528</c:v>
                </c:pt>
                <c:pt idx="15">
                  <c:v>129.31492552845526</c:v>
                </c:pt>
                <c:pt idx="16">
                  <c:v>135.94140634146339</c:v>
                </c:pt>
                <c:pt idx="17">
                  <c:v>129.4005430894309</c:v>
                </c:pt>
                <c:pt idx="18">
                  <c:v>126.91429382113822</c:v>
                </c:pt>
                <c:pt idx="19">
                  <c:v>129.48783609756094</c:v>
                </c:pt>
                <c:pt idx="20">
                  <c:v>127.02756585365854</c:v>
                </c:pt>
                <c:pt idx="21">
                  <c:v>139.76246780487804</c:v>
                </c:pt>
                <c:pt idx="22">
                  <c:v>142.17416845528456</c:v>
                </c:pt>
                <c:pt idx="23">
                  <c:v>146.26492650406502</c:v>
                </c:pt>
                <c:pt idx="24">
                  <c:v>144.16083121951218</c:v>
                </c:pt>
                <c:pt idx="25">
                  <c:v>145.14574341463413</c:v>
                </c:pt>
                <c:pt idx="26">
                  <c:v>157.81281463414632</c:v>
                </c:pt>
                <c:pt idx="27">
                  <c:v>155.38416357723577</c:v>
                </c:pt>
                <c:pt idx="28">
                  <c:v>153.47083707317074</c:v>
                </c:pt>
                <c:pt idx="29">
                  <c:v>145.28924178861786</c:v>
                </c:pt>
                <c:pt idx="30">
                  <c:v>130.34921268292683</c:v>
                </c:pt>
                <c:pt idx="31">
                  <c:v>137.14341918699188</c:v>
                </c:pt>
                <c:pt idx="32">
                  <c:v>152.74570048780487</c:v>
                </c:pt>
                <c:pt idx="33">
                  <c:v>152.58783739837395</c:v>
                </c:pt>
                <c:pt idx="34">
                  <c:v>153.34203170731706</c:v>
                </c:pt>
                <c:pt idx="35">
                  <c:v>156.47151349593497</c:v>
                </c:pt>
              </c:numCache>
            </c:numRef>
          </c:xVal>
          <c:yVal>
            <c:numRef>
              <c:f>'Liq Fuel Prices'!$AR$75:$AR$110</c:f>
              <c:numCache>
                <c:formatCode>0.000000</c:formatCode>
                <c:ptCount val="36"/>
                <c:pt idx="0">
                  <c:v>75.7600558659218</c:v>
                </c:pt>
                <c:pt idx="1">
                  <c:v>76.458379888268155</c:v>
                </c:pt>
                <c:pt idx="2">
                  <c:v>77.296368715083801</c:v>
                </c:pt>
                <c:pt idx="3">
                  <c:v>84.698603351955327</c:v>
                </c:pt>
                <c:pt idx="4">
                  <c:v>84.768324022346363</c:v>
                </c:pt>
                <c:pt idx="5">
                  <c:v>84.489106145251398</c:v>
                </c:pt>
                <c:pt idx="6">
                  <c:v>84.209776536312845</c:v>
                </c:pt>
                <c:pt idx="7">
                  <c:v>84.481564245810063</c:v>
                </c:pt>
                <c:pt idx="8">
                  <c:v>84.908100558659228</c:v>
                </c:pt>
                <c:pt idx="9">
                  <c:v>84.628770949720689</c:v>
                </c:pt>
                <c:pt idx="10">
                  <c:v>84.070111731843582</c:v>
                </c:pt>
                <c:pt idx="11">
                  <c:v>83.930446927374319</c:v>
                </c:pt>
                <c:pt idx="12">
                  <c:v>85.215642458100604</c:v>
                </c:pt>
                <c:pt idx="13">
                  <c:v>84.656983240223497</c:v>
                </c:pt>
                <c:pt idx="14">
                  <c:v>83.958659217877141</c:v>
                </c:pt>
                <c:pt idx="15">
                  <c:v>90.969832402234658</c:v>
                </c:pt>
                <c:pt idx="16">
                  <c:v>91.109497206703921</c:v>
                </c:pt>
                <c:pt idx="17">
                  <c:v>90.131843575419012</c:v>
                </c:pt>
                <c:pt idx="18">
                  <c:v>90.411173184357551</c:v>
                </c:pt>
                <c:pt idx="19">
                  <c:v>91.109497206703921</c:v>
                </c:pt>
                <c:pt idx="20">
                  <c:v>91.388826815642474</c:v>
                </c:pt>
                <c:pt idx="21">
                  <c:v>91.80782122905029</c:v>
                </c:pt>
                <c:pt idx="22">
                  <c:v>91.109497206703921</c:v>
                </c:pt>
                <c:pt idx="23">
                  <c:v>94.388547486033545</c:v>
                </c:pt>
                <c:pt idx="24">
                  <c:v>94.807541899441361</c:v>
                </c:pt>
                <c:pt idx="25">
                  <c:v>95.226536312849177</c:v>
                </c:pt>
                <c:pt idx="26">
                  <c:v>96.868994413407819</c:v>
                </c:pt>
                <c:pt idx="27">
                  <c:v>104.76005586592179</c:v>
                </c:pt>
                <c:pt idx="28">
                  <c:v>105.57011173184358</c:v>
                </c:pt>
                <c:pt idx="29">
                  <c:v>105.34106145251394</c:v>
                </c:pt>
                <c:pt idx="30">
                  <c:v>103.64273743016761</c:v>
                </c:pt>
                <c:pt idx="31">
                  <c:v>102.83826815642459</c:v>
                </c:pt>
                <c:pt idx="32">
                  <c:v>102.27960893854751</c:v>
                </c:pt>
                <c:pt idx="33">
                  <c:v>104.83826815642462</c:v>
                </c:pt>
                <c:pt idx="34">
                  <c:v>106.29078212290503</c:v>
                </c:pt>
                <c:pt idx="35">
                  <c:v>109.08407821229049</c:v>
                </c:pt>
              </c:numCache>
            </c:numRef>
          </c:yVal>
          <c:smooth val="0"/>
          <c:extLst>
            <c:ext xmlns:c16="http://schemas.microsoft.com/office/drawing/2014/chart" uri="{C3380CC4-5D6E-409C-BE32-E72D297353CC}">
              <c16:uniqueId val="{00000001-DA08-4B46-B781-EA61C89D0794}"/>
            </c:ext>
          </c:extLst>
        </c:ser>
        <c:ser>
          <c:idx val="1"/>
          <c:order val="1"/>
          <c:tx>
            <c:strRef>
              <c:f>'Liq Fuel Prices'!$AQ$74</c:f>
              <c:strCache>
                <c:ptCount val="1"/>
                <c:pt idx="0">
                  <c:v>avg petrol (R/GJ)</c:v>
                </c:pt>
              </c:strCache>
            </c:strRef>
          </c:tx>
          <c:spPr>
            <a:ln w="2540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1"/>
            <c:dispEq val="1"/>
            <c:trendlineLbl>
              <c:layout>
                <c:manualLayout>
                  <c:x val="0.40410783027121611"/>
                  <c:y val="-0.11928842228054827"/>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'Liq Fuel Prices'!$AL$75:$AL$110</c:f>
              <c:numCache>
                <c:formatCode>General</c:formatCode>
                <c:ptCount val="36"/>
                <c:pt idx="0">
                  <c:v>90.9191912195122</c:v>
                </c:pt>
                <c:pt idx="1">
                  <c:v>93.37621788617885</c:v>
                </c:pt>
                <c:pt idx="2">
                  <c:v>91.494623414634148</c:v>
                </c:pt>
                <c:pt idx="3">
                  <c:v>95.890474308943084</c:v>
                </c:pt>
                <c:pt idx="4">
                  <c:v>102.82889024390244</c:v>
                </c:pt>
                <c:pt idx="5">
                  <c:v>95.002804878048778</c:v>
                </c:pt>
                <c:pt idx="6">
                  <c:v>93.059900487804882</c:v>
                </c:pt>
                <c:pt idx="7">
                  <c:v>96.919687154471546</c:v>
                </c:pt>
                <c:pt idx="8">
                  <c:v>92.085291382113823</c:v>
                </c:pt>
                <c:pt idx="9">
                  <c:v>90.40212731707318</c:v>
                </c:pt>
                <c:pt idx="10">
                  <c:v>93.322130406504058</c:v>
                </c:pt>
                <c:pt idx="11">
                  <c:v>96.596098373983736</c:v>
                </c:pt>
                <c:pt idx="12">
                  <c:v>101.85427154471544</c:v>
                </c:pt>
                <c:pt idx="13">
                  <c:v>107.64713024390244</c:v>
                </c:pt>
                <c:pt idx="14">
                  <c:v>120.40376552845528</c:v>
                </c:pt>
                <c:pt idx="15">
                  <c:v>129.31492552845526</c:v>
                </c:pt>
                <c:pt idx="16">
                  <c:v>135.94140634146339</c:v>
                </c:pt>
                <c:pt idx="17">
                  <c:v>129.4005430894309</c:v>
                </c:pt>
                <c:pt idx="18">
                  <c:v>126.91429382113822</c:v>
                </c:pt>
                <c:pt idx="19">
                  <c:v>129.48783609756094</c:v>
                </c:pt>
                <c:pt idx="20">
                  <c:v>127.02756585365854</c:v>
                </c:pt>
                <c:pt idx="21">
                  <c:v>139.76246780487804</c:v>
                </c:pt>
                <c:pt idx="22">
                  <c:v>142.17416845528456</c:v>
                </c:pt>
                <c:pt idx="23">
                  <c:v>146.26492650406502</c:v>
                </c:pt>
                <c:pt idx="24">
                  <c:v>144.16083121951218</c:v>
                </c:pt>
                <c:pt idx="25">
                  <c:v>145.14574341463413</c:v>
                </c:pt>
                <c:pt idx="26">
                  <c:v>157.81281463414632</c:v>
                </c:pt>
                <c:pt idx="27">
                  <c:v>155.38416357723577</c:v>
                </c:pt>
                <c:pt idx="28">
                  <c:v>153.47083707317074</c:v>
                </c:pt>
                <c:pt idx="29">
                  <c:v>145.28924178861786</c:v>
                </c:pt>
                <c:pt idx="30">
                  <c:v>130.34921268292683</c:v>
                </c:pt>
                <c:pt idx="31">
                  <c:v>137.14341918699188</c:v>
                </c:pt>
                <c:pt idx="32">
                  <c:v>152.74570048780487</c:v>
                </c:pt>
                <c:pt idx="33">
                  <c:v>152.58783739837395</c:v>
                </c:pt>
                <c:pt idx="34">
                  <c:v>153.34203170731706</c:v>
                </c:pt>
                <c:pt idx="35">
                  <c:v>156.47151349593497</c:v>
                </c:pt>
              </c:numCache>
            </c:numRef>
          </c:xVal>
          <c:yVal>
            <c:numRef>
              <c:f>'Liq Fuel Prices'!$AQ$75:$AQ$110</c:f>
              <c:numCache>
                <c:formatCode>0.000000</c:formatCode>
                <c:ptCount val="36"/>
                <c:pt idx="0">
                  <c:v>115.30451713395638</c:v>
                </c:pt>
                <c:pt idx="1">
                  <c:v>115.30451713395638</c:v>
                </c:pt>
                <c:pt idx="2">
                  <c:v>115.21105919003114</c:v>
                </c:pt>
                <c:pt idx="3">
                  <c:v>123.10306334371757</c:v>
                </c:pt>
                <c:pt idx="4">
                  <c:v>123.62227414330218</c:v>
                </c:pt>
                <c:pt idx="5">
                  <c:v>123.62227414330218</c:v>
                </c:pt>
                <c:pt idx="6">
                  <c:v>123.46651090342678</c:v>
                </c:pt>
                <c:pt idx="7">
                  <c:v>123.46651090342678</c:v>
                </c:pt>
                <c:pt idx="8">
                  <c:v>123.46651090342678</c:v>
                </c:pt>
                <c:pt idx="9">
                  <c:v>126.16640706126685</c:v>
                </c:pt>
                <c:pt idx="10">
                  <c:v>126.16640706126685</c:v>
                </c:pt>
                <c:pt idx="11">
                  <c:v>126.16640706126685</c:v>
                </c:pt>
                <c:pt idx="12">
                  <c:v>125.68068535825545</c:v>
                </c:pt>
                <c:pt idx="13">
                  <c:v>127.23831775700933</c:v>
                </c:pt>
                <c:pt idx="14">
                  <c:v>127.23831775700931</c:v>
                </c:pt>
                <c:pt idx="15">
                  <c:v>134.39304257528556</c:v>
                </c:pt>
                <c:pt idx="16">
                  <c:v>134.39304257528556</c:v>
                </c:pt>
                <c:pt idx="17">
                  <c:v>134.39304257528556</c:v>
                </c:pt>
                <c:pt idx="18">
                  <c:v>134.49688473520249</c:v>
                </c:pt>
                <c:pt idx="19">
                  <c:v>134.49688473520249</c:v>
                </c:pt>
                <c:pt idx="20">
                  <c:v>134.49688473520249</c:v>
                </c:pt>
                <c:pt idx="21">
                  <c:v>135.69106957424711</c:v>
                </c:pt>
                <c:pt idx="22">
                  <c:v>135.69106957424711</c:v>
                </c:pt>
                <c:pt idx="23">
                  <c:v>140.27518172377984</c:v>
                </c:pt>
                <c:pt idx="24">
                  <c:v>140.32710280373831</c:v>
                </c:pt>
                <c:pt idx="25">
                  <c:v>140.32710280373831</c:v>
                </c:pt>
                <c:pt idx="26">
                  <c:v>141.69158878504672</c:v>
                </c:pt>
                <c:pt idx="27">
                  <c:v>151.79543094496361</c:v>
                </c:pt>
                <c:pt idx="28">
                  <c:v>152.64693665628249</c:v>
                </c:pt>
                <c:pt idx="29">
                  <c:v>153.32606438213918</c:v>
                </c:pt>
                <c:pt idx="30">
                  <c:v>151.48390446521285</c:v>
                </c:pt>
                <c:pt idx="31">
                  <c:v>150.11941848390444</c:v>
                </c:pt>
                <c:pt idx="32">
                  <c:v>151.20976116303214</c:v>
                </c:pt>
                <c:pt idx="33">
                  <c:v>155.41329179646939</c:v>
                </c:pt>
                <c:pt idx="34">
                  <c:v>156.09865005192108</c:v>
                </c:pt>
                <c:pt idx="35">
                  <c:v>160.42886812045691</c:v>
                </c:pt>
              </c:numCache>
            </c:numRef>
          </c:yVal>
          <c:smooth val="0"/>
          <c:extLst>
            <c:ext xmlns:c16="http://schemas.microsoft.com/office/drawing/2014/chart" uri="{C3380CC4-5D6E-409C-BE32-E72D297353CC}">
              <c16:uniqueId val="{00000003-DA08-4B46-B781-EA61C89D0794}"/>
            </c:ext>
          </c:extLst>
        </c:ser>
        <c:dLbls>
          <c:showLegendKey val="0"/>
          <c:showVal val="0"/>
          <c:showCatName val="0"/>
          <c:showSerName val="0"/>
          <c:showPercent val="0"/>
          <c:showBubbleSize val="0"/>
        </c:dLbls>
        <c:axId val="618493208"/>
        <c:axId val="618493992"/>
      </c:scatterChart>
      <c:valAx>
        <c:axId val="6184932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493992"/>
        <c:crosses val="autoZero"/>
        <c:crossBetween val="midCat"/>
      </c:valAx>
      <c:valAx>
        <c:axId val="618493992"/>
        <c:scaling>
          <c:orientation val="minMax"/>
        </c:scaling>
        <c:delete val="0"/>
        <c:axPos val="l"/>
        <c:majorGridlines>
          <c:spPr>
            <a:ln w="9525" cap="flat" cmpd="sng" algn="ctr">
              <a:solidFill>
                <a:schemeClr val="tx1">
                  <a:lumMod val="15000"/>
                  <a:lumOff val="85000"/>
                </a:schemeClr>
              </a:solidFill>
              <a:round/>
            </a:ln>
            <a:effectLst/>
          </c:spPr>
        </c:majorGridlines>
        <c:numFmt formatCode="0.0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493208"/>
        <c:crosses val="autoZero"/>
        <c:crossBetween val="midCat"/>
      </c:valAx>
      <c:spPr>
        <a:noFill/>
        <a:ln>
          <a:noFill/>
        </a:ln>
        <a:effectLst/>
      </c:spPr>
    </c:plotArea>
    <c:legend>
      <c:legendPos val="r"/>
      <c:layout>
        <c:manualLayout>
          <c:xMode val="edge"/>
          <c:yMode val="edge"/>
          <c:x val="0.64250565819492855"/>
          <c:y val="0.36436468665711635"/>
          <c:w val="0.34138695584990875"/>
          <c:h val="0.511132454948609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xVal>
            <c:numRef>
              <c:f>'Liq Fuel Prices'!$L$114:$L$116</c:f>
              <c:numCache>
                <c:formatCode>0.00</c:formatCode>
                <c:ptCount val="3"/>
                <c:pt idx="0">
                  <c:v>734.99880000000007</c:v>
                </c:pt>
                <c:pt idx="1">
                  <c:v>801.11969999999997</c:v>
                </c:pt>
                <c:pt idx="2">
                  <c:v>885.78</c:v>
                </c:pt>
              </c:numCache>
            </c:numRef>
          </c:xVal>
          <c:yVal>
            <c:numRef>
              <c:f>'Liq Fuel Prices'!$M$114:$M$116</c:f>
              <c:numCache>
                <c:formatCode>General</c:formatCode>
                <c:ptCount val="3"/>
                <c:pt idx="0">
                  <c:v>515.66999999999996</c:v>
                </c:pt>
                <c:pt idx="1">
                  <c:v>596.66999999999996</c:v>
                </c:pt>
                <c:pt idx="2">
                  <c:v>661.67</c:v>
                </c:pt>
              </c:numCache>
            </c:numRef>
          </c:yVal>
          <c:smooth val="0"/>
          <c:extLst>
            <c:ext xmlns:c16="http://schemas.microsoft.com/office/drawing/2014/chart" uri="{C3380CC4-5D6E-409C-BE32-E72D297353CC}">
              <c16:uniqueId val="{00000000-E6E3-4F50-9BB6-EB3FFAEF9AE6}"/>
            </c:ext>
          </c:extLst>
        </c:ser>
        <c:ser>
          <c:idx val="1"/>
          <c:order val="1"/>
          <c:spPr>
            <a:ln w="28575" cap="rnd">
              <a:noFill/>
              <a:round/>
            </a:ln>
            <a:effectLst/>
          </c:spPr>
          <c:marker>
            <c:symbol val="circle"/>
            <c:size val="5"/>
            <c:spPr>
              <a:solidFill>
                <a:schemeClr val="accent2"/>
              </a:solidFill>
              <a:ln w="9525">
                <a:solidFill>
                  <a:schemeClr val="accent2"/>
                </a:solidFill>
              </a:ln>
              <a:effectLst/>
            </c:spPr>
          </c:marker>
          <c:xVal>
            <c:numRef>
              <c:f>'Liq Fuel Prices'!$L$114:$L$116</c:f>
              <c:numCache>
                <c:formatCode>0.00</c:formatCode>
                <c:ptCount val="3"/>
                <c:pt idx="0">
                  <c:v>734.99880000000007</c:v>
                </c:pt>
                <c:pt idx="1">
                  <c:v>801.11969999999997</c:v>
                </c:pt>
                <c:pt idx="2">
                  <c:v>885.78</c:v>
                </c:pt>
              </c:numCache>
            </c:numRef>
          </c:xVal>
          <c:yVal>
            <c:numRef>
              <c:f>'Liq Fuel Prices'!$N$114:$N$116</c:f>
              <c:numCache>
                <c:formatCode>General</c:formatCode>
                <c:ptCount val="3"/>
                <c:pt idx="0">
                  <c:v>535.07899999999995</c:v>
                </c:pt>
                <c:pt idx="1">
                  <c:v>594.07899999999995</c:v>
                </c:pt>
                <c:pt idx="2">
                  <c:v>645.57899999999995</c:v>
                </c:pt>
              </c:numCache>
            </c:numRef>
          </c:yVal>
          <c:smooth val="0"/>
          <c:extLst>
            <c:ext xmlns:c16="http://schemas.microsoft.com/office/drawing/2014/chart" uri="{C3380CC4-5D6E-409C-BE32-E72D297353CC}">
              <c16:uniqueId val="{00000001-E6E3-4F50-9BB6-EB3FFAEF9AE6}"/>
            </c:ext>
          </c:extLst>
        </c:ser>
        <c:dLbls>
          <c:showLegendKey val="0"/>
          <c:showVal val="0"/>
          <c:showCatName val="0"/>
          <c:showSerName val="0"/>
          <c:showPercent val="0"/>
          <c:showBubbleSize val="0"/>
        </c:dLbls>
        <c:axId val="1002527407"/>
        <c:axId val="1002528655"/>
      </c:scatterChart>
      <c:valAx>
        <c:axId val="1002527407"/>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528655"/>
        <c:crosses val="autoZero"/>
        <c:crossBetween val="midCat"/>
      </c:valAx>
      <c:valAx>
        <c:axId val="10025286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527407"/>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lineChart>
        <c:grouping val="standard"/>
        <c:varyColors val="0"/>
        <c:ser>
          <c:idx val="1"/>
          <c:order val="0"/>
          <c:tx>
            <c:strRef>
              <c:f>IEA_WEO!$C$76</c:f>
              <c:strCache>
                <c:ptCount val="1"/>
                <c:pt idx="0">
                  <c:v>  Moderate Low Sulfur Light (dollars per barrel)</c:v>
                </c:pt>
              </c:strCache>
            </c:strRef>
          </c:tx>
          <c:spPr>
            <a:ln w="38100">
              <a:solidFill>
                <a:srgbClr val="993366"/>
              </a:solidFill>
              <a:prstDash val="solid"/>
            </a:ln>
          </c:spPr>
          <c:marker>
            <c:symbol val="none"/>
          </c:marker>
          <c:cat>
            <c:numRef>
              <c:f>IEA_WEO!$D$75:$BB$75</c:f>
              <c:numCache>
                <c:formatCode>General</c:formatCode>
                <c:ptCount val="51"/>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pt idx="15">
                  <c:v>2024</c:v>
                </c:pt>
                <c:pt idx="16">
                  <c:v>2025</c:v>
                </c:pt>
                <c:pt idx="17">
                  <c:v>2026</c:v>
                </c:pt>
                <c:pt idx="18">
                  <c:v>2027</c:v>
                </c:pt>
                <c:pt idx="19">
                  <c:v>2028</c:v>
                </c:pt>
                <c:pt idx="20">
                  <c:v>2029</c:v>
                </c:pt>
                <c:pt idx="21">
                  <c:v>2030</c:v>
                </c:pt>
                <c:pt idx="22">
                  <c:v>2031</c:v>
                </c:pt>
                <c:pt idx="23">
                  <c:v>2032</c:v>
                </c:pt>
                <c:pt idx="24">
                  <c:v>2033</c:v>
                </c:pt>
                <c:pt idx="25">
                  <c:v>2034</c:v>
                </c:pt>
                <c:pt idx="26">
                  <c:v>2035</c:v>
                </c:pt>
                <c:pt idx="27">
                  <c:v>2036</c:v>
                </c:pt>
                <c:pt idx="28">
                  <c:v>2037</c:v>
                </c:pt>
                <c:pt idx="29">
                  <c:v>2038</c:v>
                </c:pt>
                <c:pt idx="30">
                  <c:v>2039</c:v>
                </c:pt>
                <c:pt idx="31">
                  <c:v>2040</c:v>
                </c:pt>
                <c:pt idx="32">
                  <c:v>2041</c:v>
                </c:pt>
                <c:pt idx="33">
                  <c:v>2042</c:v>
                </c:pt>
                <c:pt idx="34">
                  <c:v>2043</c:v>
                </c:pt>
                <c:pt idx="35">
                  <c:v>2044</c:v>
                </c:pt>
                <c:pt idx="36">
                  <c:v>2045</c:v>
                </c:pt>
                <c:pt idx="46">
                  <c:v>2046</c:v>
                </c:pt>
                <c:pt idx="47">
                  <c:v>2047</c:v>
                </c:pt>
                <c:pt idx="48">
                  <c:v>2048</c:v>
                </c:pt>
                <c:pt idx="49">
                  <c:v>2049</c:v>
                </c:pt>
                <c:pt idx="50">
                  <c:v>2050</c:v>
                </c:pt>
              </c:numCache>
            </c:numRef>
          </c:cat>
          <c:val>
            <c:numRef>
              <c:f>IEA_WEO!$D$76:$BB$76</c:f>
              <c:numCache>
                <c:formatCode>General</c:formatCode>
                <c:ptCount val="51"/>
                <c:pt idx="0">
                  <c:v>62.37</c:v>
                </c:pt>
                <c:pt idx="1">
                  <c:v>79.39</c:v>
                </c:pt>
                <c:pt idx="2" formatCode="0.00">
                  <c:v>94.859168999999994</c:v>
                </c:pt>
                <c:pt idx="3" formatCode="0.00">
                  <c:v>92.33717892988723</c:v>
                </c:pt>
                <c:pt idx="4" formatCode="0.00">
                  <c:v>90.028939491256082</c:v>
                </c:pt>
                <c:pt idx="5" formatCode="0.00">
                  <c:v>85.470846918531095</c:v>
                </c:pt>
                <c:pt idx="6" formatCode="0.00">
                  <c:v>85.953105081231584</c:v>
                </c:pt>
                <c:pt idx="7" formatCode="0.00">
                  <c:v>85.863028332544943</c:v>
                </c:pt>
                <c:pt idx="8" formatCode="0.00">
                  <c:v>88.902546477037802</c:v>
                </c:pt>
                <c:pt idx="9" formatCode="0.00">
                  <c:v>93.522189921013762</c:v>
                </c:pt>
                <c:pt idx="10" formatCode="0.00">
                  <c:v>96.072765473515915</c:v>
                </c:pt>
                <c:pt idx="11" formatCode="0.00">
                  <c:v>98.57016734982632</c:v>
                </c:pt>
                <c:pt idx="12" formatCode="0.00">
                  <c:v>100.82064346844696</c:v>
                </c:pt>
                <c:pt idx="13" formatCode="0.00">
                  <c:v>103.01987618949572</c:v>
                </c:pt>
                <c:pt idx="14" formatCode="0.00">
                  <c:v>105.26615592328017</c:v>
                </c:pt>
                <c:pt idx="15" formatCode="0.00">
                  <c:v>107.5605164347495</c:v>
                </c:pt>
                <c:pt idx="16" formatCode="0.00">
                  <c:v>109.9039729939998</c:v>
                </c:pt>
                <c:pt idx="17" formatCode="0.00">
                  <c:v>112.29758856837999</c:v>
                </c:pt>
                <c:pt idx="18" formatCode="0.00">
                  <c:v>114.74241736451903</c:v>
                </c:pt>
                <c:pt idx="19" formatCode="0.00">
                  <c:v>117.2395661533654</c:v>
                </c:pt>
                <c:pt idx="20" formatCode="0.00">
                  <c:v>119.79015728048071</c:v>
                </c:pt>
                <c:pt idx="21" formatCode="0.00">
                  <c:v>122.39531795849319</c:v>
                </c:pt>
                <c:pt idx="22" formatCode="0.00">
                  <c:v>125.05625229968362</c:v>
                </c:pt>
                <c:pt idx="23" formatCode="0.00">
                  <c:v>127.77411866590658</c:v>
                </c:pt>
                <c:pt idx="24" formatCode="0.00">
                  <c:v>130.55013479722936</c:v>
                </c:pt>
                <c:pt idx="25" formatCode="0.00">
                  <c:v>133.38557878534527</c:v>
                </c:pt>
                <c:pt idx="26" formatCode="0.00">
                  <c:v>136.45761769555207</c:v>
                </c:pt>
                <c:pt idx="27" formatCode="0.00">
                  <c:v>139.59939193623111</c:v>
                </c:pt>
                <c:pt idx="28" formatCode="0.00">
                  <c:v>142.81250569253899</c:v>
                </c:pt>
                <c:pt idx="29" formatCode="0.00">
                  <c:v>146.09853297381929</c:v>
                </c:pt>
                <c:pt idx="30" formatCode="0.00">
                  <c:v>149.45916751925429</c:v>
                </c:pt>
                <c:pt idx="31" formatCode="0.00">
                  <c:v>152.89610209461301</c:v>
                </c:pt>
                <c:pt idx="32">
                  <c:v>155.27101346119434</c:v>
                </c:pt>
                <c:pt idx="33">
                  <c:v>158.49110875989118</c:v>
                </c:pt>
                <c:pt idx="34">
                  <c:v>161.71787616588426</c:v>
                </c:pt>
                <c:pt idx="35">
                  <c:v>164.93669887188025</c:v>
                </c:pt>
                <c:pt idx="36">
                  <c:v>168.1306741474591</c:v>
                </c:pt>
                <c:pt idx="46">
                  <c:v>171.28066006182507</c:v>
                </c:pt>
                <c:pt idx="47">
                  <c:v>174.40702666770994</c:v>
                </c:pt>
                <c:pt idx="48">
                  <c:v>177.51341636719098</c:v>
                </c:pt>
                <c:pt idx="49">
                  <c:v>180.61026731443872</c:v>
                </c:pt>
                <c:pt idx="50">
                  <c:v>183.71716629037019</c:v>
                </c:pt>
              </c:numCache>
            </c:numRef>
          </c:val>
          <c:smooth val="0"/>
          <c:extLst>
            <c:ext xmlns:c16="http://schemas.microsoft.com/office/drawing/2014/chart" uri="{C3380CC4-5D6E-409C-BE32-E72D297353CC}">
              <c16:uniqueId val="{00000000-2B30-4BB5-904E-B8B49F109E7A}"/>
            </c:ext>
          </c:extLst>
        </c:ser>
        <c:ser>
          <c:idx val="2"/>
          <c:order val="1"/>
          <c:tx>
            <c:strRef>
              <c:f>IEA_WEO!$C$77</c:f>
              <c:strCache>
                <c:ptCount val="1"/>
                <c:pt idx="0">
                  <c:v>high</c:v>
                </c:pt>
              </c:strCache>
            </c:strRef>
          </c:tx>
          <c:spPr>
            <a:ln w="38100">
              <a:solidFill>
                <a:srgbClr val="90713A"/>
              </a:solidFill>
              <a:prstDash val="solid"/>
            </a:ln>
          </c:spPr>
          <c:marker>
            <c:symbol val="none"/>
          </c:marker>
          <c:cat>
            <c:numRef>
              <c:f>IEA_WEO!$D$75:$BB$75</c:f>
              <c:numCache>
                <c:formatCode>General</c:formatCode>
                <c:ptCount val="51"/>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pt idx="15">
                  <c:v>2024</c:v>
                </c:pt>
                <c:pt idx="16">
                  <c:v>2025</c:v>
                </c:pt>
                <c:pt idx="17">
                  <c:v>2026</c:v>
                </c:pt>
                <c:pt idx="18">
                  <c:v>2027</c:v>
                </c:pt>
                <c:pt idx="19">
                  <c:v>2028</c:v>
                </c:pt>
                <c:pt idx="20">
                  <c:v>2029</c:v>
                </c:pt>
                <c:pt idx="21">
                  <c:v>2030</c:v>
                </c:pt>
                <c:pt idx="22">
                  <c:v>2031</c:v>
                </c:pt>
                <c:pt idx="23">
                  <c:v>2032</c:v>
                </c:pt>
                <c:pt idx="24">
                  <c:v>2033</c:v>
                </c:pt>
                <c:pt idx="25">
                  <c:v>2034</c:v>
                </c:pt>
                <c:pt idx="26">
                  <c:v>2035</c:v>
                </c:pt>
                <c:pt idx="27">
                  <c:v>2036</c:v>
                </c:pt>
                <c:pt idx="28">
                  <c:v>2037</c:v>
                </c:pt>
                <c:pt idx="29">
                  <c:v>2038</c:v>
                </c:pt>
                <c:pt idx="30">
                  <c:v>2039</c:v>
                </c:pt>
                <c:pt idx="31">
                  <c:v>2040</c:v>
                </c:pt>
                <c:pt idx="32">
                  <c:v>2041</c:v>
                </c:pt>
                <c:pt idx="33">
                  <c:v>2042</c:v>
                </c:pt>
                <c:pt idx="34">
                  <c:v>2043</c:v>
                </c:pt>
                <c:pt idx="35">
                  <c:v>2044</c:v>
                </c:pt>
                <c:pt idx="36">
                  <c:v>2045</c:v>
                </c:pt>
                <c:pt idx="46">
                  <c:v>2046</c:v>
                </c:pt>
                <c:pt idx="47">
                  <c:v>2047</c:v>
                </c:pt>
                <c:pt idx="48">
                  <c:v>2048</c:v>
                </c:pt>
                <c:pt idx="49">
                  <c:v>2049</c:v>
                </c:pt>
                <c:pt idx="50">
                  <c:v>2050</c:v>
                </c:pt>
              </c:numCache>
            </c:numRef>
          </c:cat>
          <c:val>
            <c:numRef>
              <c:f>IEA_WEO!$D$77:$BB$77</c:f>
              <c:numCache>
                <c:formatCode>General</c:formatCode>
                <c:ptCount val="51"/>
                <c:pt idx="0">
                  <c:v>62.37</c:v>
                </c:pt>
                <c:pt idx="1">
                  <c:v>79.39</c:v>
                </c:pt>
                <c:pt idx="2">
                  <c:v>94.859168999999994</c:v>
                </c:pt>
                <c:pt idx="3" formatCode="0.00">
                  <c:v>92.33717892988723</c:v>
                </c:pt>
                <c:pt idx="4" formatCode="0.00">
                  <c:v>98.513554427606991</c:v>
                </c:pt>
                <c:pt idx="5" formatCode="0.00">
                  <c:v>105.10306377596994</c:v>
                </c:pt>
                <c:pt idx="6" formatCode="0.00">
                  <c:v>112.13334123694902</c:v>
                </c:pt>
                <c:pt idx="7" formatCode="0.00">
                  <c:v>119.63386951082258</c:v>
                </c:pt>
                <c:pt idx="8" formatCode="0.00">
                  <c:v>127.63610337704354</c:v>
                </c:pt>
                <c:pt idx="9" formatCode="0.00">
                  <c:v>136.17360160536808</c:v>
                </c:pt>
                <c:pt idx="10" formatCode="0.00">
                  <c:v>145.28216769043632</c:v>
                </c:pt>
                <c:pt idx="11">
                  <c:v>155</c:v>
                </c:pt>
                <c:pt idx="12" formatCode="0.00">
                  <c:v>159.00161221441482</c:v>
                </c:pt>
                <c:pt idx="13" formatCode="0.00">
                  <c:v>163.10653346311707</c:v>
                </c:pt>
                <c:pt idx="14" formatCode="0.00">
                  <c:v>167.31743086025816</c:v>
                </c:pt>
                <c:pt idx="15" formatCode="0.00">
                  <c:v>171.63704037648341</c:v>
                </c:pt>
                <c:pt idx="16" formatCode="0.00">
                  <c:v>176.06816861659016</c:v>
                </c:pt>
                <c:pt idx="17" formatCode="0.00">
                  <c:v>180.61369464307916</c:v>
                </c:pt>
                <c:pt idx="18" formatCode="0.00">
                  <c:v>185.27657184678452</c:v>
                </c:pt>
                <c:pt idx="19" formatCode="0.00">
                  <c:v>190.05982986579741</c:v>
                </c:pt>
                <c:pt idx="20" formatCode="0.00">
                  <c:v>194.96657655393017</c:v>
                </c:pt>
                <c:pt idx="21">
                  <c:v>200</c:v>
                </c:pt>
                <c:pt idx="22" formatCode="0.00">
                  <c:v>204.1002818892168</c:v>
                </c:pt>
                <c:pt idx="23" formatCode="0.00">
                  <c:v>208.2846253362888</c:v>
                </c:pt>
                <c:pt idx="24" formatCode="0.00">
                  <c:v>212.55475372163227</c:v>
                </c:pt>
                <c:pt idx="25" formatCode="0.00">
                  <c:v>216.91242575739099</c:v>
                </c:pt>
                <c:pt idx="26" formatCode="0.00">
                  <c:v>221.35943621178657</c:v>
                </c:pt>
                <c:pt idx="27" formatCode="0.00">
                  <c:v>225.89761664831872</c:v>
                </c:pt>
                <c:pt idx="28" formatCode="0.00">
                  <c:v>230.52883618012044</c:v>
                </c:pt>
                <c:pt idx="29" formatCode="0.00">
                  <c:v>235.25500223977832</c:v>
                </c:pt>
                <c:pt idx="30" formatCode="0.00">
                  <c:v>240.07806136493542</c:v>
                </c:pt>
                <c:pt idx="31">
                  <c:v>245</c:v>
                </c:pt>
                <c:pt idx="32">
                  <c:v>248.8022183638368</c:v>
                </c:pt>
                <c:pt idx="33">
                  <c:v>253.45915016798972</c:v>
                </c:pt>
                <c:pt idx="34">
                  <c:v>258.116730073074</c:v>
                </c:pt>
                <c:pt idx="35">
                  <c:v>262.76470012501886</c:v>
                </c:pt>
                <c:pt idx="36">
                  <c:v>267.39402937401974</c:v>
                </c:pt>
                <c:pt idx="46">
                  <c:v>271.99802193637879</c:v>
                </c:pt>
                <c:pt idx="47">
                  <c:v>276.57376315881811</c:v>
                </c:pt>
                <c:pt idx="48">
                  <c:v>281.12396643489228</c:v>
                </c:pt>
                <c:pt idx="49">
                  <c:v>285.65928752739273</c:v>
                </c:pt>
                <c:pt idx="50">
                  <c:v>290.20117570827824</c:v>
                </c:pt>
              </c:numCache>
            </c:numRef>
          </c:val>
          <c:smooth val="0"/>
          <c:extLst>
            <c:ext xmlns:c16="http://schemas.microsoft.com/office/drawing/2014/chart" uri="{C3380CC4-5D6E-409C-BE32-E72D297353CC}">
              <c16:uniqueId val="{00000001-2B30-4BB5-904E-B8B49F109E7A}"/>
            </c:ext>
          </c:extLst>
        </c:ser>
        <c:dLbls>
          <c:showLegendKey val="0"/>
          <c:showVal val="0"/>
          <c:showCatName val="0"/>
          <c:showSerName val="0"/>
          <c:showPercent val="0"/>
          <c:showBubbleSize val="0"/>
        </c:dLbls>
        <c:smooth val="0"/>
        <c:axId val="618495952"/>
        <c:axId val="618496344"/>
      </c:lineChart>
      <c:catAx>
        <c:axId val="618495952"/>
        <c:scaling>
          <c:orientation val="minMax"/>
        </c:scaling>
        <c:delete val="0"/>
        <c:axPos val="b"/>
        <c:numFmt formatCode="General" sourceLinked="1"/>
        <c:majorTickMark val="out"/>
        <c:minorTickMark val="none"/>
        <c:tickLblPos val="nextTo"/>
        <c:spPr>
          <a:ln w="3175">
            <a:solidFill>
              <a:srgbClr val="808080"/>
            </a:solidFill>
            <a:prstDash val="solid"/>
          </a:ln>
        </c:spPr>
        <c:txPr>
          <a:bodyPr rot="-5400000" vert="horz"/>
          <a:lstStyle/>
          <a:p>
            <a:pPr>
              <a:defRPr sz="1000" b="0" i="0" u="none" strike="noStrike" baseline="0">
                <a:solidFill>
                  <a:srgbClr val="000000"/>
                </a:solidFill>
                <a:latin typeface="Calibri"/>
                <a:ea typeface="Calibri"/>
                <a:cs typeface="Calibri"/>
              </a:defRPr>
            </a:pPr>
            <a:endParaRPr lang="en-US"/>
          </a:p>
        </c:txPr>
        <c:crossAx val="618496344"/>
        <c:crosses val="autoZero"/>
        <c:auto val="1"/>
        <c:lblAlgn val="ctr"/>
        <c:lblOffset val="100"/>
        <c:noMultiLvlLbl val="0"/>
      </c:catAx>
      <c:valAx>
        <c:axId val="618496344"/>
        <c:scaling>
          <c:orientation val="minMax"/>
        </c:scaling>
        <c:delete val="0"/>
        <c:axPos val="l"/>
        <c:majorGridlines>
          <c:spPr>
            <a:ln w="3175">
              <a:solidFill>
                <a:srgbClr val="808080"/>
              </a:solidFill>
              <a:prstDash val="solid"/>
            </a:ln>
          </c:spPr>
        </c:majorGridlines>
        <c:numFmt formatCode="General" sourceLinked="1"/>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en-US"/>
          </a:p>
        </c:txPr>
        <c:crossAx val="618495952"/>
        <c:crosses val="autoZero"/>
        <c:crossBetween val="between"/>
      </c:valAx>
      <c:spPr>
        <a:solidFill>
          <a:srgbClr val="FFFFFF"/>
        </a:solidFill>
        <a:ln w="25400">
          <a:noFill/>
        </a:ln>
      </c:spPr>
    </c:plotArea>
    <c:legend>
      <c:legendPos val="r"/>
      <c:layout>
        <c:manualLayout>
          <c:xMode val="edge"/>
          <c:yMode val="edge"/>
          <c:x val="0.72754828985690057"/>
          <c:y val="0.44087646237298211"/>
          <c:w val="0.26236138053092112"/>
          <c:h val="0.10364976433272097"/>
        </c:manualLayout>
      </c:layout>
      <c:overlay val="0"/>
      <c:spPr>
        <a:noFill/>
        <a:ln w="25400">
          <a:noFill/>
        </a:ln>
      </c:spPr>
      <c:txPr>
        <a:bodyPr/>
        <a:lstStyle/>
        <a:p>
          <a:pPr>
            <a:defRPr sz="595"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75" r="0.75"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1" i="0" u="none" strike="noStrike" baseline="0">
                <a:solidFill>
                  <a:srgbClr val="000000"/>
                </a:solidFill>
                <a:latin typeface="Calibri"/>
                <a:ea typeface="Calibri"/>
                <a:cs typeface="Calibri"/>
              </a:defRPr>
            </a:pPr>
            <a:r>
              <a:rPr lang="en-ZA"/>
              <a:t>Fuel Price Projections</a:t>
            </a:r>
          </a:p>
        </c:rich>
      </c:tx>
      <c:overlay val="0"/>
    </c:title>
    <c:autoTitleDeleted val="0"/>
    <c:plotArea>
      <c:layout/>
      <c:lineChart>
        <c:grouping val="standard"/>
        <c:varyColors val="0"/>
        <c:ser>
          <c:idx val="0"/>
          <c:order val="0"/>
          <c:tx>
            <c:strRef>
              <c:f>IEA_WEO!$BI$18</c:f>
              <c:strCache>
                <c:ptCount val="1"/>
                <c:pt idx="0">
                  <c:v>Coal</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IEA_WEO!$BJ$18:$BP$18</c:f>
              <c:numCache>
                <c:formatCode>General</c:formatCode>
                <c:ptCount val="7"/>
                <c:pt idx="0">
                  <c:v>12.09</c:v>
                </c:pt>
                <c:pt idx="1">
                  <c:v>15.98453488</c:v>
                </c:pt>
                <c:pt idx="2">
                  <c:v>19.88</c:v>
                </c:pt>
                <c:pt idx="3">
                  <c:v>21.242425820000001</c:v>
                </c:pt>
                <c:pt idx="4">
                  <c:v>22.6</c:v>
                </c:pt>
                <c:pt idx="5">
                  <c:v>23.378894710000001</c:v>
                </c:pt>
                <c:pt idx="6">
                  <c:v>24.154876730000002</c:v>
                </c:pt>
              </c:numCache>
            </c:numRef>
          </c:val>
          <c:smooth val="0"/>
          <c:extLst>
            <c:ext xmlns:c16="http://schemas.microsoft.com/office/drawing/2014/chart" uri="{C3380CC4-5D6E-409C-BE32-E72D297353CC}">
              <c16:uniqueId val="{00000000-2758-41C4-86C9-FB3C398386FA}"/>
            </c:ext>
          </c:extLst>
        </c:ser>
        <c:ser>
          <c:idx val="1"/>
          <c:order val="1"/>
          <c:tx>
            <c:strRef>
              <c:f>IEA_WEO!$BI$19</c:f>
              <c:strCache>
                <c:ptCount val="1"/>
                <c:pt idx="0">
                  <c:v>Coal Discard</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IEA_WEO!$BJ$19:$BP$19</c:f>
              <c:numCache>
                <c:formatCode>General</c:formatCode>
                <c:ptCount val="7"/>
                <c:pt idx="0">
                  <c:v>6.05</c:v>
                </c:pt>
                <c:pt idx="1">
                  <c:v>7.99</c:v>
                </c:pt>
                <c:pt idx="2">
                  <c:v>9.94</c:v>
                </c:pt>
                <c:pt idx="3">
                  <c:v>10.62</c:v>
                </c:pt>
                <c:pt idx="4">
                  <c:v>11.3</c:v>
                </c:pt>
                <c:pt idx="5">
                  <c:v>11.69</c:v>
                </c:pt>
                <c:pt idx="6">
                  <c:v>12.08</c:v>
                </c:pt>
              </c:numCache>
            </c:numRef>
          </c:val>
          <c:smooth val="0"/>
          <c:extLst>
            <c:ext xmlns:c16="http://schemas.microsoft.com/office/drawing/2014/chart" uri="{C3380CC4-5D6E-409C-BE32-E72D297353CC}">
              <c16:uniqueId val="{00000001-2758-41C4-86C9-FB3C398386FA}"/>
            </c:ext>
          </c:extLst>
        </c:ser>
        <c:ser>
          <c:idx val="3"/>
          <c:order val="2"/>
          <c:tx>
            <c:strRef>
              <c:f>IEA_WEO!$BI$21</c:f>
              <c:strCache>
                <c:ptCount val="1"/>
                <c:pt idx="0">
                  <c:v>Nuclear</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IEA_WEO!$BJ$21:$BP$21</c:f>
              <c:numCache>
                <c:formatCode>General</c:formatCode>
                <c:ptCount val="7"/>
                <c:pt idx="0">
                  <c:v>6.25</c:v>
                </c:pt>
                <c:pt idx="1">
                  <c:v>6.25</c:v>
                </c:pt>
                <c:pt idx="2">
                  <c:v>6.25</c:v>
                </c:pt>
                <c:pt idx="3">
                  <c:v>6.25</c:v>
                </c:pt>
                <c:pt idx="4">
                  <c:v>6.25</c:v>
                </c:pt>
                <c:pt idx="5">
                  <c:v>6.25</c:v>
                </c:pt>
                <c:pt idx="6">
                  <c:v>6.25</c:v>
                </c:pt>
              </c:numCache>
            </c:numRef>
          </c:val>
          <c:smooth val="0"/>
          <c:extLst>
            <c:ext xmlns:c16="http://schemas.microsoft.com/office/drawing/2014/chart" uri="{C3380CC4-5D6E-409C-BE32-E72D297353CC}">
              <c16:uniqueId val="{00000002-2758-41C4-86C9-FB3C398386FA}"/>
            </c:ext>
          </c:extLst>
        </c:ser>
        <c:ser>
          <c:idx val="5"/>
          <c:order val="3"/>
          <c:tx>
            <c:strRef>
              <c:f>IEA_WEO!$BI$23</c:f>
              <c:strCache>
                <c:ptCount val="1"/>
                <c:pt idx="0">
                  <c:v>Gas Indigenous Ibhubezi Piped</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IEA_WEO!$BJ$23:$BP$23</c:f>
              <c:numCache>
                <c:formatCode>General</c:formatCode>
                <c:ptCount val="7"/>
                <c:pt idx="0">
                  <c:v>68.779678025794695</c:v>
                </c:pt>
                <c:pt idx="1">
                  <c:v>73.365306398604005</c:v>
                </c:pt>
                <c:pt idx="2">
                  <c:v>82.222700744763003</c:v>
                </c:pt>
                <c:pt idx="3">
                  <c:v>90.169470927502701</c:v>
                </c:pt>
                <c:pt idx="4">
                  <c:v>98.945645803416596</c:v>
                </c:pt>
                <c:pt idx="5">
                  <c:v>108.814679329317</c:v>
                </c:pt>
                <c:pt idx="6">
                  <c:v>120.341316729211</c:v>
                </c:pt>
              </c:numCache>
            </c:numRef>
          </c:val>
          <c:smooth val="0"/>
          <c:extLst>
            <c:ext xmlns:c16="http://schemas.microsoft.com/office/drawing/2014/chart" uri="{C3380CC4-5D6E-409C-BE32-E72D297353CC}">
              <c16:uniqueId val="{00000003-2758-41C4-86C9-FB3C398386FA}"/>
            </c:ext>
          </c:extLst>
        </c:ser>
        <c:ser>
          <c:idx val="6"/>
          <c:order val="4"/>
          <c:tx>
            <c:strRef>
              <c:f>IEA_WEO!$BI$24</c:f>
              <c:strCache>
                <c:ptCount val="1"/>
                <c:pt idx="0">
                  <c:v>Gas Indigenous Piped Shale</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IEA_WEO!$BJ$24:$BP$24</c:f>
              <c:numCache>
                <c:formatCode>General</c:formatCode>
                <c:ptCount val="7"/>
                <c:pt idx="0">
                  <c:v>57.641519276979601</c:v>
                </c:pt>
                <c:pt idx="1">
                  <c:v>61.310021975227002</c:v>
                </c:pt>
                <c:pt idx="2">
                  <c:v>68.395937452154101</c:v>
                </c:pt>
                <c:pt idx="3">
                  <c:v>74.753353598345996</c:v>
                </c:pt>
                <c:pt idx="4">
                  <c:v>81.774293499077103</c:v>
                </c:pt>
                <c:pt idx="5">
                  <c:v>89.6695203197974</c:v>
                </c:pt>
                <c:pt idx="6">
                  <c:v>98.890830239712699</c:v>
                </c:pt>
              </c:numCache>
            </c:numRef>
          </c:val>
          <c:smooth val="0"/>
          <c:extLst>
            <c:ext xmlns:c16="http://schemas.microsoft.com/office/drawing/2014/chart" uri="{C3380CC4-5D6E-409C-BE32-E72D297353CC}">
              <c16:uniqueId val="{00000004-2758-41C4-86C9-FB3C398386FA}"/>
            </c:ext>
          </c:extLst>
        </c:ser>
        <c:ser>
          <c:idx val="7"/>
          <c:order val="5"/>
          <c:tx>
            <c:strRef>
              <c:f>IEA_WEO!$BI$25</c:f>
              <c:strCache>
                <c:ptCount val="1"/>
                <c:pt idx="0">
                  <c:v>Gas Northern Mozambique Piped</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IEA_WEO!$BJ$25:$BP$25</c:f>
              <c:numCache>
                <c:formatCode>General</c:formatCode>
                <c:ptCount val="7"/>
                <c:pt idx="0">
                  <c:v>98.858897655040195</c:v>
                </c:pt>
                <c:pt idx="1">
                  <c:v>101.61027467872501</c:v>
                </c:pt>
                <c:pt idx="2">
                  <c:v>106.924711286421</c:v>
                </c:pt>
                <c:pt idx="3">
                  <c:v>111.69277339606499</c:v>
                </c:pt>
                <c:pt idx="4">
                  <c:v>116.958478321613</c:v>
                </c:pt>
                <c:pt idx="5">
                  <c:v>122.879898437153</c:v>
                </c:pt>
                <c:pt idx="6">
                  <c:v>129.79588087709001</c:v>
                </c:pt>
              </c:numCache>
            </c:numRef>
          </c:val>
          <c:smooth val="0"/>
          <c:extLst>
            <c:ext xmlns:c16="http://schemas.microsoft.com/office/drawing/2014/chart" uri="{C3380CC4-5D6E-409C-BE32-E72D297353CC}">
              <c16:uniqueId val="{00000005-2758-41C4-86C9-FB3C398386FA}"/>
            </c:ext>
          </c:extLst>
        </c:ser>
        <c:ser>
          <c:idx val="8"/>
          <c:order val="6"/>
          <c:tx>
            <c:strRef>
              <c:f>IEA_WEO!$BI$26</c:f>
              <c:strCache>
                <c:ptCount val="1"/>
                <c:pt idx="0">
                  <c:v>Gas Regasified LNG</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IEA_WEO!$BJ$26:$BP$26</c:f>
              <c:numCache>
                <c:formatCode>General</c:formatCode>
                <c:ptCount val="7"/>
                <c:pt idx="0">
                  <c:v>69.726846827097404</c:v>
                </c:pt>
                <c:pt idx="1">
                  <c:v>74.862750604643693</c:v>
                </c:pt>
                <c:pt idx="2">
                  <c:v>84.783032272341799</c:v>
                </c:pt>
                <c:pt idx="3">
                  <c:v>93.683414877010307</c:v>
                </c:pt>
                <c:pt idx="4">
                  <c:v>103.512730738033</c:v>
                </c:pt>
                <c:pt idx="5">
                  <c:v>114.56604828704199</c:v>
                </c:pt>
                <c:pt idx="6">
                  <c:v>127.475882174923</c:v>
                </c:pt>
              </c:numCache>
            </c:numRef>
          </c:val>
          <c:smooth val="0"/>
          <c:extLst>
            <c:ext xmlns:c16="http://schemas.microsoft.com/office/drawing/2014/chart" uri="{C3380CC4-5D6E-409C-BE32-E72D297353CC}">
              <c16:uniqueId val="{00000006-2758-41C4-86C9-FB3C398386FA}"/>
            </c:ext>
          </c:extLst>
        </c:ser>
        <c:ser>
          <c:idx val="9"/>
          <c:order val="7"/>
          <c:tx>
            <c:strRef>
              <c:f>IEA_WEO!$BI$27</c:f>
              <c:strCache>
                <c:ptCount val="1"/>
                <c:pt idx="0">
                  <c:v>FSRU</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IEA_WEO!$BJ$27:$BP$27</c:f>
              <c:numCache>
                <c:formatCode>General</c:formatCode>
                <c:ptCount val="7"/>
                <c:pt idx="0">
                  <c:v>72.5910425278975</c:v>
                </c:pt>
                <c:pt idx="1">
                  <c:v>77.726946305443803</c:v>
                </c:pt>
                <c:pt idx="2">
                  <c:v>87.647227973141895</c:v>
                </c:pt>
                <c:pt idx="3">
                  <c:v>96.547610577810403</c:v>
                </c:pt>
                <c:pt idx="4">
                  <c:v>106.376926438834</c:v>
                </c:pt>
                <c:pt idx="5">
                  <c:v>117.430243987842</c:v>
                </c:pt>
                <c:pt idx="6">
                  <c:v>130.34007787572301</c:v>
                </c:pt>
              </c:numCache>
            </c:numRef>
          </c:val>
          <c:smooth val="0"/>
          <c:extLst>
            <c:ext xmlns:c16="http://schemas.microsoft.com/office/drawing/2014/chart" uri="{C3380CC4-5D6E-409C-BE32-E72D297353CC}">
              <c16:uniqueId val="{00000007-2758-41C4-86C9-FB3C398386FA}"/>
            </c:ext>
          </c:extLst>
        </c:ser>
        <c:ser>
          <c:idx val="2"/>
          <c:order val="8"/>
          <c:tx>
            <c:strRef>
              <c:f>IEA_WEO!$BI$28</c:f>
              <c:strCache>
                <c:ptCount val="1"/>
                <c:pt idx="0">
                  <c:v>IRP21010 Gas</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IEA_WEO!$BJ$28:$BP$28</c:f>
              <c:numCache>
                <c:formatCode>General</c:formatCode>
                <c:ptCount val="7"/>
                <c:pt idx="0">
                  <c:v>80</c:v>
                </c:pt>
                <c:pt idx="1">
                  <c:v>80</c:v>
                </c:pt>
                <c:pt idx="2">
                  <c:v>80</c:v>
                </c:pt>
                <c:pt idx="3">
                  <c:v>80</c:v>
                </c:pt>
                <c:pt idx="4">
                  <c:v>80</c:v>
                </c:pt>
                <c:pt idx="5">
                  <c:v>80</c:v>
                </c:pt>
                <c:pt idx="6">
                  <c:v>80</c:v>
                </c:pt>
              </c:numCache>
            </c:numRef>
          </c:val>
          <c:smooth val="0"/>
          <c:extLst>
            <c:ext xmlns:c16="http://schemas.microsoft.com/office/drawing/2014/chart" uri="{C3380CC4-5D6E-409C-BE32-E72D297353CC}">
              <c16:uniqueId val="{00000008-2758-41C4-86C9-FB3C398386FA}"/>
            </c:ext>
          </c:extLst>
        </c:ser>
        <c:dLbls>
          <c:showLegendKey val="0"/>
          <c:showVal val="0"/>
          <c:showCatName val="0"/>
          <c:showSerName val="0"/>
          <c:showPercent val="0"/>
          <c:showBubbleSize val="0"/>
        </c:dLbls>
        <c:smooth val="0"/>
        <c:axId val="618497128"/>
        <c:axId val="553958024"/>
      </c:lineChart>
      <c:dateAx>
        <c:axId val="618497128"/>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53958024"/>
        <c:crosses val="autoZero"/>
        <c:auto val="0"/>
        <c:lblOffset val="100"/>
        <c:baseTimeUnit val="days"/>
        <c:majorUnit val="5"/>
        <c:majorTimeUnit val="days"/>
      </c:dateAx>
      <c:valAx>
        <c:axId val="553958024"/>
        <c:scaling>
          <c:orientation val="minMax"/>
          <c:max val="150"/>
          <c:min val="0"/>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2010 R/GJ</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18497128"/>
        <c:crosses val="autoZero"/>
        <c:crossBetween val="between"/>
      </c:valAx>
    </c:plotArea>
    <c:legend>
      <c:legendPos val="r"/>
      <c:layout>
        <c:manualLayout>
          <c:xMode val="edge"/>
          <c:yMode val="edge"/>
          <c:x val="0.19037199124726475"/>
          <c:y val="0.8715450614301723"/>
          <c:w val="0.61487964989059096"/>
          <c:h val="0.10731711577311825"/>
        </c:manualLayout>
      </c:layout>
      <c:overlay val="0"/>
      <c:txPr>
        <a:bodyPr/>
        <a:lstStyle/>
        <a:p>
          <a:pPr>
            <a:defRPr sz="65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IEA_WEO!$BY$94</c:f>
              <c:strCache>
                <c:ptCount val="1"/>
                <c:pt idx="0">
                  <c:v>Current Policies</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IEA_WEO!$BZ$93:$CC$93</c:f>
              <c:numCache>
                <c:formatCode>General</c:formatCode>
                <c:ptCount val="4"/>
                <c:pt idx="0">
                  <c:v>2020</c:v>
                </c:pt>
                <c:pt idx="1">
                  <c:v>2030</c:v>
                </c:pt>
                <c:pt idx="2">
                  <c:v>2040</c:v>
                </c:pt>
                <c:pt idx="3">
                  <c:v>2050</c:v>
                </c:pt>
              </c:numCache>
            </c:numRef>
          </c:xVal>
          <c:yVal>
            <c:numRef>
              <c:f>IEA_WEO!$BZ$94:$CC$94</c:f>
              <c:numCache>
                <c:formatCode>General</c:formatCode>
                <c:ptCount val="4"/>
                <c:pt idx="0">
                  <c:v>62</c:v>
                </c:pt>
                <c:pt idx="1">
                  <c:v>105</c:v>
                </c:pt>
                <c:pt idx="2">
                  <c:v>127</c:v>
                </c:pt>
                <c:pt idx="3">
                  <c:v>140</c:v>
                </c:pt>
              </c:numCache>
            </c:numRef>
          </c:yVal>
          <c:smooth val="0"/>
          <c:extLst>
            <c:ext xmlns:c16="http://schemas.microsoft.com/office/drawing/2014/chart" uri="{C3380CC4-5D6E-409C-BE32-E72D297353CC}">
              <c16:uniqueId val="{00000000-77CA-4966-99A7-3420559FE672}"/>
            </c:ext>
          </c:extLst>
        </c:ser>
        <c:ser>
          <c:idx val="1"/>
          <c:order val="1"/>
          <c:tx>
            <c:strRef>
              <c:f>IEA_WEO!$BY$95</c:f>
              <c:strCache>
                <c:ptCount val="1"/>
                <c:pt idx="0">
                  <c:v>Stated Policies</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IEA_WEO!$BZ$93:$CC$93</c:f>
              <c:numCache>
                <c:formatCode>General</c:formatCode>
                <c:ptCount val="4"/>
                <c:pt idx="0">
                  <c:v>2020</c:v>
                </c:pt>
                <c:pt idx="1">
                  <c:v>2030</c:v>
                </c:pt>
                <c:pt idx="2">
                  <c:v>2040</c:v>
                </c:pt>
                <c:pt idx="3">
                  <c:v>2050</c:v>
                </c:pt>
              </c:numCache>
            </c:numRef>
          </c:xVal>
          <c:yVal>
            <c:numRef>
              <c:f>IEA_WEO!$BZ$95:$CC$95</c:f>
              <c:numCache>
                <c:formatCode>General</c:formatCode>
                <c:ptCount val="4"/>
                <c:pt idx="0">
                  <c:v>62</c:v>
                </c:pt>
                <c:pt idx="1">
                  <c:v>84</c:v>
                </c:pt>
                <c:pt idx="2">
                  <c:v>96</c:v>
                </c:pt>
                <c:pt idx="3">
                  <c:v>100</c:v>
                </c:pt>
              </c:numCache>
            </c:numRef>
          </c:yVal>
          <c:smooth val="0"/>
          <c:extLst>
            <c:ext xmlns:c16="http://schemas.microsoft.com/office/drawing/2014/chart" uri="{C3380CC4-5D6E-409C-BE32-E72D297353CC}">
              <c16:uniqueId val="{00000001-77CA-4966-99A7-3420559FE672}"/>
            </c:ext>
          </c:extLst>
        </c:ser>
        <c:ser>
          <c:idx val="2"/>
          <c:order val="2"/>
          <c:tx>
            <c:strRef>
              <c:f>IEA_WEO!$BY$96</c:f>
              <c:strCache>
                <c:ptCount val="1"/>
                <c:pt idx="0">
                  <c:v>Sustainable Dev</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IEA_WEO!$BZ$93:$CC$93</c:f>
              <c:numCache>
                <c:formatCode>General</c:formatCode>
                <c:ptCount val="4"/>
                <c:pt idx="0">
                  <c:v>2020</c:v>
                </c:pt>
                <c:pt idx="1">
                  <c:v>2030</c:v>
                </c:pt>
                <c:pt idx="2">
                  <c:v>2040</c:v>
                </c:pt>
                <c:pt idx="3">
                  <c:v>2050</c:v>
                </c:pt>
              </c:numCache>
            </c:numRef>
          </c:xVal>
          <c:yVal>
            <c:numRef>
              <c:f>IEA_WEO!$BZ$96:$CC$96</c:f>
              <c:numCache>
                <c:formatCode>General</c:formatCode>
                <c:ptCount val="4"/>
                <c:pt idx="0">
                  <c:v>62</c:v>
                </c:pt>
                <c:pt idx="1">
                  <c:v>60</c:v>
                </c:pt>
                <c:pt idx="2">
                  <c:v>58</c:v>
                </c:pt>
                <c:pt idx="3">
                  <c:v>58</c:v>
                </c:pt>
              </c:numCache>
            </c:numRef>
          </c:yVal>
          <c:smooth val="0"/>
          <c:extLst>
            <c:ext xmlns:c16="http://schemas.microsoft.com/office/drawing/2014/chart" uri="{C3380CC4-5D6E-409C-BE32-E72D297353CC}">
              <c16:uniqueId val="{00000002-77CA-4966-99A7-3420559FE672}"/>
            </c:ext>
          </c:extLst>
        </c:ser>
        <c:dLbls>
          <c:showLegendKey val="0"/>
          <c:showVal val="0"/>
          <c:showCatName val="0"/>
          <c:showSerName val="0"/>
          <c:showPercent val="0"/>
          <c:showBubbleSize val="0"/>
        </c:dLbls>
        <c:axId val="413428176"/>
        <c:axId val="685854304"/>
      </c:scatterChart>
      <c:valAx>
        <c:axId val="4134281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5854304"/>
        <c:crosses val="autoZero"/>
        <c:crossBetween val="midCat"/>
      </c:valAx>
      <c:valAx>
        <c:axId val="68585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428176"/>
        <c:crosses val="autoZero"/>
        <c:crossBetween val="midCat"/>
      </c:valAx>
      <c:spPr>
        <a:noFill/>
        <a:ln>
          <a:solidFill>
            <a:schemeClr val="accent2"/>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2">
          <a:alpha val="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IEA_WEO!$CJ$94</c:f>
              <c:strCache>
                <c:ptCount val="1"/>
                <c:pt idx="0">
                  <c:v>Stated Policies</c:v>
                </c:pt>
              </c:strCache>
            </c:strRef>
          </c:tx>
          <c:spPr>
            <a:ln w="19050" cap="rnd">
              <a:solidFill>
                <a:schemeClr val="accent1"/>
              </a:solidFill>
              <a:round/>
            </a:ln>
            <a:effectLst/>
          </c:spPr>
          <c:marker>
            <c:symbol val="none"/>
          </c:marker>
          <c:xVal>
            <c:numRef>
              <c:f>IEA_WEO!$CK$93:$CR$93</c:f>
              <c:numCache>
                <c:formatCode>General</c:formatCode>
                <c:ptCount val="8"/>
                <c:pt idx="0">
                  <c:v>2019</c:v>
                </c:pt>
                <c:pt idx="1">
                  <c:v>2020</c:v>
                </c:pt>
                <c:pt idx="2">
                  <c:v>2021</c:v>
                </c:pt>
                <c:pt idx="3">
                  <c:v>2025</c:v>
                </c:pt>
                <c:pt idx="4">
                  <c:v>2030</c:v>
                </c:pt>
                <c:pt idx="5">
                  <c:v>2035</c:v>
                </c:pt>
                <c:pt idx="6">
                  <c:v>2040</c:v>
                </c:pt>
                <c:pt idx="7">
                  <c:v>2050</c:v>
                </c:pt>
              </c:numCache>
            </c:numRef>
          </c:xVal>
          <c:yVal>
            <c:numRef>
              <c:f>IEA_WEO!$CK$94:$CR$94</c:f>
              <c:numCache>
                <c:formatCode>General</c:formatCode>
                <c:ptCount val="8"/>
                <c:pt idx="0">
                  <c:v>63</c:v>
                </c:pt>
                <c:pt idx="1">
                  <c:v>40</c:v>
                </c:pt>
                <c:pt idx="2">
                  <c:v>58</c:v>
                </c:pt>
                <c:pt idx="3">
                  <c:v>71</c:v>
                </c:pt>
                <c:pt idx="4">
                  <c:v>76</c:v>
                </c:pt>
                <c:pt idx="5">
                  <c:v>81</c:v>
                </c:pt>
                <c:pt idx="6">
                  <c:v>85</c:v>
                </c:pt>
                <c:pt idx="7">
                  <c:v>93</c:v>
                </c:pt>
              </c:numCache>
            </c:numRef>
          </c:yVal>
          <c:smooth val="0"/>
          <c:extLst>
            <c:ext xmlns:c16="http://schemas.microsoft.com/office/drawing/2014/chart" uri="{C3380CC4-5D6E-409C-BE32-E72D297353CC}">
              <c16:uniqueId val="{00000000-4C61-48E0-8ECA-367342772A97}"/>
            </c:ext>
          </c:extLst>
        </c:ser>
        <c:ser>
          <c:idx val="1"/>
          <c:order val="1"/>
          <c:tx>
            <c:strRef>
              <c:f>IEA_WEO!$CJ$95</c:f>
              <c:strCache>
                <c:ptCount val="1"/>
                <c:pt idx="0">
                  <c:v>Sustainable Development</c:v>
                </c:pt>
              </c:strCache>
            </c:strRef>
          </c:tx>
          <c:spPr>
            <a:ln w="19050" cap="rnd">
              <a:solidFill>
                <a:schemeClr val="accent2"/>
              </a:solidFill>
              <a:round/>
            </a:ln>
            <a:effectLst/>
          </c:spPr>
          <c:marker>
            <c:symbol val="none"/>
          </c:marker>
          <c:xVal>
            <c:numRef>
              <c:f>IEA_WEO!$CK$93:$CR$93</c:f>
              <c:numCache>
                <c:formatCode>General</c:formatCode>
                <c:ptCount val="8"/>
                <c:pt idx="0">
                  <c:v>2019</c:v>
                </c:pt>
                <c:pt idx="1">
                  <c:v>2020</c:v>
                </c:pt>
                <c:pt idx="2">
                  <c:v>2021</c:v>
                </c:pt>
                <c:pt idx="3">
                  <c:v>2025</c:v>
                </c:pt>
                <c:pt idx="4">
                  <c:v>2030</c:v>
                </c:pt>
                <c:pt idx="5">
                  <c:v>2035</c:v>
                </c:pt>
                <c:pt idx="6">
                  <c:v>2040</c:v>
                </c:pt>
                <c:pt idx="7">
                  <c:v>2050</c:v>
                </c:pt>
              </c:numCache>
            </c:numRef>
          </c:xVal>
          <c:yVal>
            <c:numRef>
              <c:f>IEA_WEO!$CK$95:$CR$95</c:f>
              <c:numCache>
                <c:formatCode>General</c:formatCode>
                <c:ptCount val="8"/>
                <c:pt idx="0">
                  <c:v>63</c:v>
                </c:pt>
                <c:pt idx="1">
                  <c:v>40</c:v>
                </c:pt>
                <c:pt idx="2">
                  <c:v>58</c:v>
                </c:pt>
                <c:pt idx="3">
                  <c:v>57</c:v>
                </c:pt>
                <c:pt idx="4" formatCode="0.00">
                  <c:v>55.666666666666664</c:v>
                </c:pt>
                <c:pt idx="5" formatCode="0.00">
                  <c:v>54.333333333333336</c:v>
                </c:pt>
                <c:pt idx="6">
                  <c:v>53</c:v>
                </c:pt>
                <c:pt idx="7" formatCode="0.00">
                  <c:v>50.333333333333329</c:v>
                </c:pt>
              </c:numCache>
            </c:numRef>
          </c:yVal>
          <c:smooth val="0"/>
          <c:extLst>
            <c:ext xmlns:c16="http://schemas.microsoft.com/office/drawing/2014/chart" uri="{C3380CC4-5D6E-409C-BE32-E72D297353CC}">
              <c16:uniqueId val="{00000001-4C61-48E0-8ECA-367342772A97}"/>
            </c:ext>
          </c:extLst>
        </c:ser>
        <c:ser>
          <c:idx val="2"/>
          <c:order val="2"/>
          <c:tx>
            <c:strRef>
              <c:f>IEA_WEO!$CJ$96</c:f>
              <c:strCache>
                <c:ptCount val="1"/>
                <c:pt idx="0">
                  <c:v>Delayed Recovery</c:v>
                </c:pt>
              </c:strCache>
            </c:strRef>
          </c:tx>
          <c:spPr>
            <a:ln w="19050" cap="rnd">
              <a:solidFill>
                <a:schemeClr val="accent3"/>
              </a:solidFill>
              <a:round/>
            </a:ln>
            <a:effectLst/>
          </c:spPr>
          <c:marker>
            <c:symbol val="none"/>
          </c:marker>
          <c:xVal>
            <c:numRef>
              <c:f>IEA_WEO!$CK$93:$CR$93</c:f>
              <c:numCache>
                <c:formatCode>General</c:formatCode>
                <c:ptCount val="8"/>
                <c:pt idx="0">
                  <c:v>2019</c:v>
                </c:pt>
                <c:pt idx="1">
                  <c:v>2020</c:v>
                </c:pt>
                <c:pt idx="2">
                  <c:v>2021</c:v>
                </c:pt>
                <c:pt idx="3">
                  <c:v>2025</c:v>
                </c:pt>
                <c:pt idx="4">
                  <c:v>2030</c:v>
                </c:pt>
                <c:pt idx="5">
                  <c:v>2035</c:v>
                </c:pt>
                <c:pt idx="6">
                  <c:v>2040</c:v>
                </c:pt>
                <c:pt idx="7">
                  <c:v>2050</c:v>
                </c:pt>
              </c:numCache>
            </c:numRef>
          </c:xVal>
          <c:yVal>
            <c:numRef>
              <c:f>IEA_WEO!$CK$96:$CR$96</c:f>
              <c:numCache>
                <c:formatCode>General</c:formatCode>
                <c:ptCount val="8"/>
                <c:pt idx="0">
                  <c:v>63</c:v>
                </c:pt>
                <c:pt idx="1">
                  <c:v>40</c:v>
                </c:pt>
                <c:pt idx="2">
                  <c:v>58</c:v>
                </c:pt>
                <c:pt idx="3">
                  <c:v>59</c:v>
                </c:pt>
                <c:pt idx="4" formatCode="0.00">
                  <c:v>63.333333333333336</c:v>
                </c:pt>
                <c:pt idx="5" formatCode="0.00">
                  <c:v>67.666666666666671</c:v>
                </c:pt>
                <c:pt idx="6">
                  <c:v>72</c:v>
                </c:pt>
                <c:pt idx="7" formatCode="0.00">
                  <c:v>80.666666666666657</c:v>
                </c:pt>
              </c:numCache>
            </c:numRef>
          </c:yVal>
          <c:smooth val="0"/>
          <c:extLst>
            <c:ext xmlns:c16="http://schemas.microsoft.com/office/drawing/2014/chart" uri="{C3380CC4-5D6E-409C-BE32-E72D297353CC}">
              <c16:uniqueId val="{00000002-4C61-48E0-8ECA-367342772A97}"/>
            </c:ext>
          </c:extLst>
        </c:ser>
        <c:dLbls>
          <c:showLegendKey val="0"/>
          <c:showVal val="0"/>
          <c:showCatName val="0"/>
          <c:showSerName val="0"/>
          <c:showPercent val="0"/>
          <c:showBubbleSize val="0"/>
        </c:dLbls>
        <c:axId val="676534016"/>
        <c:axId val="822506544"/>
      </c:scatterChart>
      <c:valAx>
        <c:axId val="676534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506544"/>
        <c:crosses val="autoZero"/>
        <c:crossBetween val="midCat"/>
      </c:valAx>
      <c:valAx>
        <c:axId val="822506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6534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5" Type="http://schemas.openxmlformats.org/officeDocument/2006/relationships/image" Target="../media/image5.emf"/><Relationship Id="rId4" Type="http://schemas.openxmlformats.org/officeDocument/2006/relationships/image" Target="../media/image4.emf"/></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5" Type="http://schemas.openxmlformats.org/officeDocument/2006/relationships/chart" Target="../charts/chart5.xml"/><Relationship Id="rId4" Type="http://schemas.openxmlformats.org/officeDocument/2006/relationships/image" Target="../media/image10.png"/></Relationships>
</file>

<file path=xl/drawings/_rels/drawing6.xml.rels><?xml version="1.0" encoding="UTF-8" standalone="yes"?>
<Relationships xmlns="http://schemas.openxmlformats.org/package/2006/relationships"><Relationship Id="rId8" Type="http://schemas.openxmlformats.org/officeDocument/2006/relationships/image" Target="../media/image16.emf"/><Relationship Id="rId13" Type="http://schemas.openxmlformats.org/officeDocument/2006/relationships/image" Target="../media/image19.png"/><Relationship Id="rId3" Type="http://schemas.openxmlformats.org/officeDocument/2006/relationships/image" Target="../media/image12.png"/><Relationship Id="rId7" Type="http://schemas.openxmlformats.org/officeDocument/2006/relationships/image" Target="../media/image15.png"/><Relationship Id="rId12" Type="http://schemas.openxmlformats.org/officeDocument/2006/relationships/image" Target="../media/image18.png"/><Relationship Id="rId2" Type="http://schemas.openxmlformats.org/officeDocument/2006/relationships/image" Target="../media/image11.png"/><Relationship Id="rId1" Type="http://schemas.openxmlformats.org/officeDocument/2006/relationships/chart" Target="../charts/chart6.xml"/><Relationship Id="rId6" Type="http://schemas.openxmlformats.org/officeDocument/2006/relationships/image" Target="../media/image14.emf"/><Relationship Id="rId11" Type="http://schemas.openxmlformats.org/officeDocument/2006/relationships/chart" Target="../charts/chart9.xml"/><Relationship Id="rId5" Type="http://schemas.openxmlformats.org/officeDocument/2006/relationships/image" Target="../media/image13.emf"/><Relationship Id="rId10" Type="http://schemas.openxmlformats.org/officeDocument/2006/relationships/image" Target="../media/image17.png"/><Relationship Id="rId4" Type="http://schemas.openxmlformats.org/officeDocument/2006/relationships/chart" Target="../charts/chart7.xml"/><Relationship Id="rId9"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22</xdr:col>
      <xdr:colOff>0</xdr:colOff>
      <xdr:row>124</xdr:row>
      <xdr:rowOff>0</xdr:rowOff>
    </xdr:from>
    <xdr:to>
      <xdr:col>32</xdr:col>
      <xdr:colOff>365760</xdr:colOff>
      <xdr:row>145</xdr:row>
      <xdr:rowOff>106680</xdr:rowOff>
    </xdr:to>
    <xdr:pic>
      <xdr:nvPicPr>
        <xdr:cNvPr id="3" name="Picture 2">
          <a:extLst>
            <a:ext uri="{FF2B5EF4-FFF2-40B4-BE49-F238E27FC236}">
              <a16:creationId xmlns:a16="http://schemas.microsoft.com/office/drawing/2014/main" id="{745A9473-7B59-49AE-836D-4327C36B3B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745075" y="23783925"/>
          <a:ext cx="5709285" cy="35071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150</xdr:row>
      <xdr:rowOff>0</xdr:rowOff>
    </xdr:from>
    <xdr:to>
      <xdr:col>13</xdr:col>
      <xdr:colOff>354330</xdr:colOff>
      <xdr:row>169</xdr:row>
      <xdr:rowOff>68580</xdr:rowOff>
    </xdr:to>
    <xdr:pic>
      <xdr:nvPicPr>
        <xdr:cNvPr id="4" name="Picture 3">
          <a:extLst>
            <a:ext uri="{FF2B5EF4-FFF2-40B4-BE49-F238E27FC236}">
              <a16:creationId xmlns:a16="http://schemas.microsoft.com/office/drawing/2014/main" id="{B6B72690-85E0-4413-8CF6-64ECA74E7B3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772400" y="27993975"/>
          <a:ext cx="4945380" cy="31451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170</xdr:row>
      <xdr:rowOff>0</xdr:rowOff>
    </xdr:from>
    <xdr:to>
      <xdr:col>13</xdr:col>
      <xdr:colOff>262890</xdr:colOff>
      <xdr:row>191</xdr:row>
      <xdr:rowOff>106680</xdr:rowOff>
    </xdr:to>
    <xdr:pic>
      <xdr:nvPicPr>
        <xdr:cNvPr id="5" name="Picture 4">
          <a:extLst>
            <a:ext uri="{FF2B5EF4-FFF2-40B4-BE49-F238E27FC236}">
              <a16:creationId xmlns:a16="http://schemas.microsoft.com/office/drawing/2014/main" id="{509DA7C0-57CD-4B11-85A9-AE4D6D23389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72400" y="31232475"/>
          <a:ext cx="4853940" cy="35071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xdr:col>
      <xdr:colOff>0</xdr:colOff>
      <xdr:row>170</xdr:row>
      <xdr:rowOff>0</xdr:rowOff>
    </xdr:from>
    <xdr:to>
      <xdr:col>21</xdr:col>
      <xdr:colOff>786765</xdr:colOff>
      <xdr:row>191</xdr:row>
      <xdr:rowOff>91440</xdr:rowOff>
    </xdr:to>
    <xdr:pic>
      <xdr:nvPicPr>
        <xdr:cNvPr id="6" name="Picture 5">
          <a:extLst>
            <a:ext uri="{FF2B5EF4-FFF2-40B4-BE49-F238E27FC236}">
              <a16:creationId xmlns:a16="http://schemas.microsoft.com/office/drawing/2014/main" id="{2B92B79F-EBDF-4AF2-9063-E8FFEA61D99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3373100" y="31232475"/>
          <a:ext cx="4939665" cy="34918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434340</xdr:colOff>
      <xdr:row>148</xdr:row>
      <xdr:rowOff>68580</xdr:rowOff>
    </xdr:from>
    <xdr:to>
      <xdr:col>21</xdr:col>
      <xdr:colOff>504825</xdr:colOff>
      <xdr:row>169</xdr:row>
      <xdr:rowOff>106680</xdr:rowOff>
    </xdr:to>
    <xdr:pic>
      <xdr:nvPicPr>
        <xdr:cNvPr id="7" name="Picture 6">
          <a:extLst>
            <a:ext uri="{FF2B5EF4-FFF2-40B4-BE49-F238E27FC236}">
              <a16:creationId xmlns:a16="http://schemas.microsoft.com/office/drawing/2014/main" id="{CB3FB0CE-31C0-47FF-A99B-551D6A2D71A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3178790" y="27738705"/>
          <a:ext cx="4852035" cy="3438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19050</xdr:colOff>
      <xdr:row>28</xdr:row>
      <xdr:rowOff>95250</xdr:rowOff>
    </xdr:from>
    <xdr:to>
      <xdr:col>9</xdr:col>
      <xdr:colOff>313552</xdr:colOff>
      <xdr:row>41</xdr:row>
      <xdr:rowOff>75939</xdr:rowOff>
    </xdr:to>
    <xdr:pic>
      <xdr:nvPicPr>
        <xdr:cNvPr id="2" name="Picture 1">
          <a:extLst>
            <a:ext uri="{FF2B5EF4-FFF2-40B4-BE49-F238E27FC236}">
              <a16:creationId xmlns:a16="http://schemas.microsoft.com/office/drawing/2014/main" id="{E17CE181-1147-4697-8298-53B29799F0AB}"/>
            </a:ext>
          </a:extLst>
        </xdr:cNvPr>
        <xdr:cNvPicPr>
          <a:picLocks noChangeAspect="1"/>
        </xdr:cNvPicPr>
      </xdr:nvPicPr>
      <xdr:blipFill>
        <a:blip xmlns:r="http://schemas.openxmlformats.org/officeDocument/2006/relationships" r:embed="rId1"/>
        <a:stretch>
          <a:fillRect/>
        </a:stretch>
      </xdr:blipFill>
      <xdr:spPr>
        <a:xfrm>
          <a:off x="3152775" y="5429250"/>
          <a:ext cx="6180952" cy="2085714"/>
        </a:xfrm>
        <a:prstGeom prst="rect">
          <a:avLst/>
        </a:prstGeom>
      </xdr:spPr>
    </xdr:pic>
    <xdr:clientData/>
  </xdr:twoCellAnchor>
  <xdr:twoCellAnchor editAs="oneCell">
    <xdr:from>
      <xdr:col>1</xdr:col>
      <xdr:colOff>9525</xdr:colOff>
      <xdr:row>43</xdr:row>
      <xdr:rowOff>104775</xdr:rowOff>
    </xdr:from>
    <xdr:to>
      <xdr:col>11</xdr:col>
      <xdr:colOff>627670</xdr:colOff>
      <xdr:row>57</xdr:row>
      <xdr:rowOff>18777</xdr:rowOff>
    </xdr:to>
    <xdr:pic>
      <xdr:nvPicPr>
        <xdr:cNvPr id="3" name="Picture 2">
          <a:extLst>
            <a:ext uri="{FF2B5EF4-FFF2-40B4-BE49-F238E27FC236}">
              <a16:creationId xmlns:a16="http://schemas.microsoft.com/office/drawing/2014/main" id="{8F95FF45-98F8-CF31-A8FA-83D6FABAA63A}"/>
            </a:ext>
          </a:extLst>
        </xdr:cNvPr>
        <xdr:cNvPicPr>
          <a:picLocks noChangeAspect="1"/>
        </xdr:cNvPicPr>
      </xdr:nvPicPr>
      <xdr:blipFill>
        <a:blip xmlns:r="http://schemas.openxmlformats.org/officeDocument/2006/relationships" r:embed="rId2"/>
        <a:stretch>
          <a:fillRect/>
        </a:stretch>
      </xdr:blipFill>
      <xdr:spPr>
        <a:xfrm>
          <a:off x="3143250" y="7867650"/>
          <a:ext cx="7838095" cy="2180952"/>
        </a:xfrm>
        <a:prstGeom prst="rect">
          <a:avLst/>
        </a:prstGeom>
      </xdr:spPr>
    </xdr:pic>
    <xdr:clientData/>
  </xdr:twoCellAnchor>
  <xdr:twoCellAnchor editAs="oneCell">
    <xdr:from>
      <xdr:col>11</xdr:col>
      <xdr:colOff>19050</xdr:colOff>
      <xdr:row>28</xdr:row>
      <xdr:rowOff>57150</xdr:rowOff>
    </xdr:from>
    <xdr:to>
      <xdr:col>22</xdr:col>
      <xdr:colOff>598958</xdr:colOff>
      <xdr:row>34</xdr:row>
      <xdr:rowOff>123695</xdr:rowOff>
    </xdr:to>
    <xdr:pic>
      <xdr:nvPicPr>
        <xdr:cNvPr id="5" name="Picture 4">
          <a:extLst>
            <a:ext uri="{FF2B5EF4-FFF2-40B4-BE49-F238E27FC236}">
              <a16:creationId xmlns:a16="http://schemas.microsoft.com/office/drawing/2014/main" id="{A3EBEE29-D9AF-DC17-6562-912937B63C3A}"/>
            </a:ext>
          </a:extLst>
        </xdr:cNvPr>
        <xdr:cNvPicPr>
          <a:picLocks noChangeAspect="1"/>
        </xdr:cNvPicPr>
      </xdr:nvPicPr>
      <xdr:blipFill>
        <a:blip xmlns:r="http://schemas.openxmlformats.org/officeDocument/2006/relationships" r:embed="rId3"/>
        <a:stretch>
          <a:fillRect/>
        </a:stretch>
      </xdr:blipFill>
      <xdr:spPr>
        <a:xfrm>
          <a:off x="10306050" y="5391150"/>
          <a:ext cx="8933333" cy="103809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238125</xdr:colOff>
      <xdr:row>101</xdr:row>
      <xdr:rowOff>38100</xdr:rowOff>
    </xdr:from>
    <xdr:to>
      <xdr:col>9</xdr:col>
      <xdr:colOff>1371600</xdr:colOff>
      <xdr:row>112</xdr:row>
      <xdr:rowOff>85725</xdr:rowOff>
    </xdr:to>
    <xdr:sp macro="" textlink="">
      <xdr:nvSpPr>
        <xdr:cNvPr id="2" name="TextBox 1">
          <a:extLst>
            <a:ext uri="{FF2B5EF4-FFF2-40B4-BE49-F238E27FC236}">
              <a16:creationId xmlns:a16="http://schemas.microsoft.com/office/drawing/2014/main" id="{ED306B02-2B21-4178-8A6C-66B3C8881F74}"/>
            </a:ext>
          </a:extLst>
        </xdr:cNvPr>
        <xdr:cNvSpPr txBox="1"/>
      </xdr:nvSpPr>
      <xdr:spPr>
        <a:xfrm>
          <a:off x="6391275" y="21536025"/>
          <a:ext cx="5953125" cy="2581275"/>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ZA" sz="1100" b="0" i="1" u="none" strike="noStrike" kern="0" cap="none" spc="0" normalizeH="0" baseline="0" noProof="0">
              <a:ln>
                <a:noFill/>
              </a:ln>
              <a:solidFill>
                <a:sysClr val="windowText" lastClr="000000"/>
              </a:solidFill>
              <a:effectLst/>
              <a:uLnTx/>
              <a:uFillTx/>
              <a:latin typeface="Calibri"/>
            </a:rPr>
            <a:t>The tier 2 approach was used for the calculation of fugitive emissions from coal mining and handling.  Fugitive emission estimates were based on coal production data and a further source of emissions considered were coal waste dumps.  The methodology requires coal production statistics by mining-type (above-ground and below-ground).  Split on coal production by mining-type, 53% surface mining and 47% underground mining, was based on the SAMI report for 2008.  It was assumed that the split is constant for the entire time series.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ZA" sz="1100" b="0" i="1" u="none" strike="noStrike" kern="0" cap="none" spc="0" normalizeH="0" baseline="0" noProof="0">
            <a:ln>
              <a:noFill/>
            </a:ln>
            <a:solidFill>
              <a:sysClr val="windowText" lastClr="000000"/>
            </a:solidFill>
            <a:effectLst/>
            <a:uLnTx/>
            <a:uFillTx/>
            <a:latin typeface="Calibri"/>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ZA" sz="1100" b="0" i="1" u="none" strike="noStrike" kern="0" cap="none" spc="0" normalizeH="0" baseline="0" noProof="0">
              <a:ln>
                <a:noFill/>
              </a:ln>
              <a:solidFill>
                <a:sysClr val="windowText" lastClr="000000"/>
              </a:solidFill>
              <a:effectLst/>
              <a:uLnTx/>
              <a:uFillTx/>
              <a:latin typeface="Calibri"/>
            </a:rPr>
            <a:t>Country specific emission factors were sourced from the study done by the local coal research institute (DME, 2002).  This study has shown that emission factors for the South African coal mining industry are significantly lower than the IPCC default emission factors ).  The 2006 IPCC guidelines do not provide CO2 emission factors related to low temperature oxidation of coal.  However, South Africa has developed country specific CO2 emission factors related to low temperature oxidation and therefore has estimated emissions related to this activity.</a:t>
          </a:r>
        </a:p>
      </xdr:txBody>
    </xdr:sp>
    <xdr:clientData/>
  </xdr:twoCellAnchor>
  <xdr:twoCellAnchor>
    <xdr:from>
      <xdr:col>13</xdr:col>
      <xdr:colOff>852486</xdr:colOff>
      <xdr:row>25</xdr:row>
      <xdr:rowOff>123825</xdr:rowOff>
    </xdr:from>
    <xdr:to>
      <xdr:col>22</xdr:col>
      <xdr:colOff>409575</xdr:colOff>
      <xdr:row>49</xdr:row>
      <xdr:rowOff>180975</xdr:rowOff>
    </xdr:to>
    <xdr:graphicFrame macro="">
      <xdr:nvGraphicFramePr>
        <xdr:cNvPr id="3" name="Chart 2">
          <a:extLst>
            <a:ext uri="{FF2B5EF4-FFF2-40B4-BE49-F238E27FC236}">
              <a16:creationId xmlns:a16="http://schemas.microsoft.com/office/drawing/2014/main" id="{AAC144F8-49CD-4920-ABA5-711CB562F9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133350</xdr:colOff>
      <xdr:row>0</xdr:row>
      <xdr:rowOff>38100</xdr:rowOff>
    </xdr:from>
    <xdr:to>
      <xdr:col>19</xdr:col>
      <xdr:colOff>38100</xdr:colOff>
      <xdr:row>7</xdr:row>
      <xdr:rowOff>67946</xdr:rowOff>
    </xdr:to>
    <xdr:pic>
      <xdr:nvPicPr>
        <xdr:cNvPr id="2" name="Picture 1">
          <a:extLst>
            <a:ext uri="{FF2B5EF4-FFF2-40B4-BE49-F238E27FC236}">
              <a16:creationId xmlns:a16="http://schemas.microsoft.com/office/drawing/2014/main" id="{0C677B7E-A14D-4D8E-ABF3-2B6F6A2D41FC}"/>
            </a:ext>
          </a:extLst>
        </xdr:cNvPr>
        <xdr:cNvPicPr>
          <a:picLocks noChangeAspect="1"/>
        </xdr:cNvPicPr>
      </xdr:nvPicPr>
      <xdr:blipFill>
        <a:blip xmlns:r="http://schemas.openxmlformats.org/officeDocument/2006/relationships" r:embed="rId1"/>
        <a:stretch>
          <a:fillRect/>
        </a:stretch>
      </xdr:blipFill>
      <xdr:spPr>
        <a:xfrm>
          <a:off x="6019800" y="38100"/>
          <a:ext cx="4486275" cy="141097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27</xdr:col>
      <xdr:colOff>102870</xdr:colOff>
      <xdr:row>31</xdr:row>
      <xdr:rowOff>171450</xdr:rowOff>
    </xdr:from>
    <xdr:to>
      <xdr:col>47</xdr:col>
      <xdr:colOff>213360</xdr:colOff>
      <xdr:row>60</xdr:row>
      <xdr:rowOff>99060</xdr:rowOff>
    </xdr:to>
    <xdr:graphicFrame macro="">
      <xdr:nvGraphicFramePr>
        <xdr:cNvPr id="2" name="Chart 1">
          <a:extLst>
            <a:ext uri="{FF2B5EF4-FFF2-40B4-BE49-F238E27FC236}">
              <a16:creationId xmlns:a16="http://schemas.microsoft.com/office/drawing/2014/main" id="{94ED7EBA-F124-4D61-9659-9CFEB4F55C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117687</xdr:colOff>
      <xdr:row>82</xdr:row>
      <xdr:rowOff>151553</xdr:rowOff>
    </xdr:from>
    <xdr:to>
      <xdr:col>29</xdr:col>
      <xdr:colOff>365337</xdr:colOff>
      <xdr:row>106</xdr:row>
      <xdr:rowOff>170603</xdr:rowOff>
    </xdr:to>
    <xdr:graphicFrame macro="">
      <xdr:nvGraphicFramePr>
        <xdr:cNvPr id="3" name="Chart 2">
          <a:extLst>
            <a:ext uri="{FF2B5EF4-FFF2-40B4-BE49-F238E27FC236}">
              <a16:creationId xmlns:a16="http://schemas.microsoft.com/office/drawing/2014/main" id="{A30B6E8C-8863-464E-9CF7-F28106B71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467783</xdr:colOff>
      <xdr:row>83</xdr:row>
      <xdr:rowOff>93131</xdr:rowOff>
    </xdr:from>
    <xdr:to>
      <xdr:col>33</xdr:col>
      <xdr:colOff>459316</xdr:colOff>
      <xdr:row>97</xdr:row>
      <xdr:rowOff>184148</xdr:rowOff>
    </xdr:to>
    <xdr:graphicFrame macro="">
      <xdr:nvGraphicFramePr>
        <xdr:cNvPr id="4" name="Chart 3">
          <a:extLst>
            <a:ext uri="{FF2B5EF4-FFF2-40B4-BE49-F238E27FC236}">
              <a16:creationId xmlns:a16="http://schemas.microsoft.com/office/drawing/2014/main" id="{45C8611F-F5B2-4EEA-BD6E-6DF2D5017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39</xdr:col>
      <xdr:colOff>0</xdr:colOff>
      <xdr:row>82</xdr:row>
      <xdr:rowOff>42334</xdr:rowOff>
    </xdr:from>
    <xdr:to>
      <xdr:col>53</xdr:col>
      <xdr:colOff>314833</xdr:colOff>
      <xdr:row>96</xdr:row>
      <xdr:rowOff>88289</xdr:rowOff>
    </xdr:to>
    <xdr:pic>
      <xdr:nvPicPr>
        <xdr:cNvPr id="5" name="Picture 4">
          <a:extLst>
            <a:ext uri="{FF2B5EF4-FFF2-40B4-BE49-F238E27FC236}">
              <a16:creationId xmlns:a16="http://schemas.microsoft.com/office/drawing/2014/main" id="{DCEEAF91-8073-445F-AF15-F0478F282C64}"/>
            </a:ext>
          </a:extLst>
        </xdr:cNvPr>
        <xdr:cNvPicPr>
          <a:picLocks noChangeAspect="1"/>
        </xdr:cNvPicPr>
      </xdr:nvPicPr>
      <xdr:blipFill>
        <a:blip xmlns:r="http://schemas.openxmlformats.org/officeDocument/2006/relationships" r:embed="rId4"/>
        <a:stretch>
          <a:fillRect/>
        </a:stretch>
      </xdr:blipFill>
      <xdr:spPr>
        <a:xfrm>
          <a:off x="22907625" y="16368184"/>
          <a:ext cx="9154033" cy="2712955"/>
        </a:xfrm>
        <a:prstGeom prst="rect">
          <a:avLst/>
        </a:prstGeom>
      </xdr:spPr>
    </xdr:pic>
    <xdr:clientData/>
  </xdr:twoCellAnchor>
  <xdr:twoCellAnchor>
    <xdr:from>
      <xdr:col>14</xdr:col>
      <xdr:colOff>561975</xdr:colOff>
      <xdr:row>101</xdr:row>
      <xdr:rowOff>171450</xdr:rowOff>
    </xdr:from>
    <xdr:to>
      <xdr:col>22</xdr:col>
      <xdr:colOff>485775</xdr:colOff>
      <xdr:row>116</xdr:row>
      <xdr:rowOff>57150</xdr:rowOff>
    </xdr:to>
    <xdr:graphicFrame macro="">
      <xdr:nvGraphicFramePr>
        <xdr:cNvPr id="6" name="Chart 5">
          <a:extLst>
            <a:ext uri="{FF2B5EF4-FFF2-40B4-BE49-F238E27FC236}">
              <a16:creationId xmlns:a16="http://schemas.microsoft.com/office/drawing/2014/main" id="{A6BFAF64-459B-4F22-BA72-18860EEABB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106680</xdr:colOff>
      <xdr:row>87</xdr:row>
      <xdr:rowOff>99060</xdr:rowOff>
    </xdr:from>
    <xdr:to>
      <xdr:col>20</xdr:col>
      <xdr:colOff>525780</xdr:colOff>
      <xdr:row>116</xdr:row>
      <xdr:rowOff>15240</xdr:rowOff>
    </xdr:to>
    <xdr:graphicFrame macro="">
      <xdr:nvGraphicFramePr>
        <xdr:cNvPr id="2" name="Chart 1">
          <a:extLst>
            <a:ext uri="{FF2B5EF4-FFF2-40B4-BE49-F238E27FC236}">
              <a16:creationId xmlns:a16="http://schemas.microsoft.com/office/drawing/2014/main" id="{7299C457-101A-4C02-8FA7-91B0D0CCDB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76200</xdr:colOff>
      <xdr:row>114</xdr:row>
      <xdr:rowOff>0</xdr:rowOff>
    </xdr:from>
    <xdr:to>
      <xdr:col>18</xdr:col>
      <xdr:colOff>213360</xdr:colOff>
      <xdr:row>142</xdr:row>
      <xdr:rowOff>45720</xdr:rowOff>
    </xdr:to>
    <xdr:pic>
      <xdr:nvPicPr>
        <xdr:cNvPr id="3" name="Picture 2" descr="temp.tiff">
          <a:extLst>
            <a:ext uri="{FF2B5EF4-FFF2-40B4-BE49-F238E27FC236}">
              <a16:creationId xmlns:a16="http://schemas.microsoft.com/office/drawing/2014/main" id="{A845B9BC-24FF-41FE-BF77-DD88491659F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00550" y="21155025"/>
          <a:ext cx="6004560" cy="5379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21</xdr:col>
      <xdr:colOff>411480</xdr:colOff>
      <xdr:row>87</xdr:row>
      <xdr:rowOff>60960</xdr:rowOff>
    </xdr:from>
    <xdr:to>
      <xdr:col>36</xdr:col>
      <xdr:colOff>381000</xdr:colOff>
      <xdr:row>107</xdr:row>
      <xdr:rowOff>15240</xdr:rowOff>
    </xdr:to>
    <xdr:pic>
      <xdr:nvPicPr>
        <xdr:cNvPr id="4" name="Picture 1">
          <a:extLst>
            <a:ext uri="{FF2B5EF4-FFF2-40B4-BE49-F238E27FC236}">
              <a16:creationId xmlns:a16="http://schemas.microsoft.com/office/drawing/2014/main" id="{497DE85B-CEBE-490C-9A76-687BD33F723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203430" y="16072485"/>
          <a:ext cx="7970520" cy="37642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59</xdr:col>
      <xdr:colOff>403860</xdr:colOff>
      <xdr:row>30</xdr:row>
      <xdr:rowOff>68580</xdr:rowOff>
    </xdr:from>
    <xdr:to>
      <xdr:col>67</xdr:col>
      <xdr:colOff>541020</xdr:colOff>
      <xdr:row>55</xdr:row>
      <xdr:rowOff>175260</xdr:rowOff>
    </xdr:to>
    <xdr:graphicFrame macro="">
      <xdr:nvGraphicFramePr>
        <xdr:cNvPr id="5" name="Chart 1">
          <a:extLst>
            <a:ext uri="{FF2B5EF4-FFF2-40B4-BE49-F238E27FC236}">
              <a16:creationId xmlns:a16="http://schemas.microsoft.com/office/drawing/2014/main" id="{3560090D-0385-4DEE-AD71-7E9195C7F7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38</xdr:col>
      <xdr:colOff>0</xdr:colOff>
      <xdr:row>53</xdr:row>
      <xdr:rowOff>0</xdr:rowOff>
    </xdr:from>
    <xdr:to>
      <xdr:col>48</xdr:col>
      <xdr:colOff>196850</xdr:colOff>
      <xdr:row>76</xdr:row>
      <xdr:rowOff>152400</xdr:rowOff>
    </xdr:to>
    <xdr:pic>
      <xdr:nvPicPr>
        <xdr:cNvPr id="6" name="Picture 5">
          <a:extLst>
            <a:ext uri="{FF2B5EF4-FFF2-40B4-BE49-F238E27FC236}">
              <a16:creationId xmlns:a16="http://schemas.microsoft.com/office/drawing/2014/main" id="{3AAE897A-B7BF-4259-B845-37A52D929E0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0859750" y="8601075"/>
          <a:ext cx="5530850" cy="5000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50</xdr:col>
      <xdr:colOff>0</xdr:colOff>
      <xdr:row>55</xdr:row>
      <xdr:rowOff>0</xdr:rowOff>
    </xdr:from>
    <xdr:to>
      <xdr:col>60</xdr:col>
      <xdr:colOff>577850</xdr:colOff>
      <xdr:row>78</xdr:row>
      <xdr:rowOff>127000</xdr:rowOff>
    </xdr:to>
    <xdr:pic>
      <xdr:nvPicPr>
        <xdr:cNvPr id="7" name="Picture 6">
          <a:extLst>
            <a:ext uri="{FF2B5EF4-FFF2-40B4-BE49-F238E27FC236}">
              <a16:creationId xmlns:a16="http://schemas.microsoft.com/office/drawing/2014/main" id="{022C30FE-0F82-401B-A2E3-09E3EEE95D3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260550" y="8982075"/>
          <a:ext cx="7283450" cy="4975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62</xdr:col>
      <xdr:colOff>0</xdr:colOff>
      <xdr:row>68</xdr:row>
      <xdr:rowOff>0</xdr:rowOff>
    </xdr:from>
    <xdr:to>
      <xdr:col>70</xdr:col>
      <xdr:colOff>759179</xdr:colOff>
      <xdr:row>91</xdr:row>
      <xdr:rowOff>83893</xdr:rowOff>
    </xdr:to>
    <xdr:pic>
      <xdr:nvPicPr>
        <xdr:cNvPr id="8" name="Picture 7">
          <a:extLst>
            <a:ext uri="{FF2B5EF4-FFF2-40B4-BE49-F238E27FC236}">
              <a16:creationId xmlns:a16="http://schemas.microsoft.com/office/drawing/2014/main" id="{B7E1CE8C-8651-4BAD-BDC9-AD16C2EBB48B}"/>
            </a:ext>
          </a:extLst>
        </xdr:cNvPr>
        <xdr:cNvPicPr>
          <a:picLocks noChangeAspect="1"/>
        </xdr:cNvPicPr>
      </xdr:nvPicPr>
      <xdr:blipFill>
        <a:blip xmlns:r="http://schemas.openxmlformats.org/officeDocument/2006/relationships" r:embed="rId7"/>
        <a:stretch>
          <a:fillRect/>
        </a:stretch>
      </xdr:blipFill>
      <xdr:spPr>
        <a:xfrm>
          <a:off x="36023550" y="11458575"/>
          <a:ext cx="6855179" cy="5398843"/>
        </a:xfrm>
        <a:prstGeom prst="rect">
          <a:avLst/>
        </a:prstGeom>
      </xdr:spPr>
    </xdr:pic>
    <xdr:clientData/>
  </xdr:twoCellAnchor>
  <xdr:twoCellAnchor editAs="oneCell">
    <xdr:from>
      <xdr:col>75</xdr:col>
      <xdr:colOff>266700</xdr:colOff>
      <xdr:row>68</xdr:row>
      <xdr:rowOff>114300</xdr:rowOff>
    </xdr:from>
    <xdr:to>
      <xdr:col>85</xdr:col>
      <xdr:colOff>673677</xdr:colOff>
      <xdr:row>88</xdr:row>
      <xdr:rowOff>171450</xdr:rowOff>
    </xdr:to>
    <xdr:pic>
      <xdr:nvPicPr>
        <xdr:cNvPr id="9" name="Picture 8">
          <a:extLst>
            <a:ext uri="{FF2B5EF4-FFF2-40B4-BE49-F238E27FC236}">
              <a16:creationId xmlns:a16="http://schemas.microsoft.com/office/drawing/2014/main" id="{A7BBE78B-BA47-4CF1-8800-4EE2BB7989D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6196250" y="11572875"/>
          <a:ext cx="8026977" cy="4800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78</xdr:col>
      <xdr:colOff>85726</xdr:colOff>
      <xdr:row>76</xdr:row>
      <xdr:rowOff>38099</xdr:rowOff>
    </xdr:from>
    <xdr:to>
      <xdr:col>84</xdr:col>
      <xdr:colOff>171450</xdr:colOff>
      <xdr:row>85</xdr:row>
      <xdr:rowOff>4761</xdr:rowOff>
    </xdr:to>
    <xdr:graphicFrame macro="">
      <xdr:nvGraphicFramePr>
        <xdr:cNvPr id="10" name="Chart 9">
          <a:extLst>
            <a:ext uri="{FF2B5EF4-FFF2-40B4-BE49-F238E27FC236}">
              <a16:creationId xmlns:a16="http://schemas.microsoft.com/office/drawing/2014/main" id="{EFDAAE6C-24E6-4724-A450-46202245B3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87</xdr:col>
      <xdr:colOff>0</xdr:colOff>
      <xdr:row>68</xdr:row>
      <xdr:rowOff>0</xdr:rowOff>
    </xdr:from>
    <xdr:to>
      <xdr:col>95</xdr:col>
      <xdr:colOff>580190</xdr:colOff>
      <xdr:row>90</xdr:row>
      <xdr:rowOff>123169</xdr:rowOff>
    </xdr:to>
    <xdr:pic>
      <xdr:nvPicPr>
        <xdr:cNvPr id="11" name="Picture 10">
          <a:extLst>
            <a:ext uri="{FF2B5EF4-FFF2-40B4-BE49-F238E27FC236}">
              <a16:creationId xmlns:a16="http://schemas.microsoft.com/office/drawing/2014/main" id="{A1799130-E634-4F14-92C3-250F98863BE0}"/>
            </a:ext>
          </a:extLst>
        </xdr:cNvPr>
        <xdr:cNvPicPr>
          <a:picLocks noChangeAspect="1"/>
        </xdr:cNvPicPr>
      </xdr:nvPicPr>
      <xdr:blipFill>
        <a:blip xmlns:r="http://schemas.openxmlformats.org/officeDocument/2006/relationships" r:embed="rId10"/>
        <a:stretch>
          <a:fillRect/>
        </a:stretch>
      </xdr:blipFill>
      <xdr:spPr>
        <a:xfrm>
          <a:off x="55073550" y="11458575"/>
          <a:ext cx="6676190" cy="5247619"/>
        </a:xfrm>
        <a:prstGeom prst="rect">
          <a:avLst/>
        </a:prstGeom>
      </xdr:spPr>
    </xdr:pic>
    <xdr:clientData/>
  </xdr:twoCellAnchor>
  <xdr:twoCellAnchor>
    <xdr:from>
      <xdr:col>89</xdr:col>
      <xdr:colOff>209550</xdr:colOff>
      <xdr:row>91</xdr:row>
      <xdr:rowOff>176212</xdr:rowOff>
    </xdr:from>
    <xdr:to>
      <xdr:col>95</xdr:col>
      <xdr:colOff>209550</xdr:colOff>
      <xdr:row>106</xdr:row>
      <xdr:rowOff>61912</xdr:rowOff>
    </xdr:to>
    <xdr:graphicFrame macro="">
      <xdr:nvGraphicFramePr>
        <xdr:cNvPr id="12" name="Chart 11">
          <a:extLst>
            <a:ext uri="{FF2B5EF4-FFF2-40B4-BE49-F238E27FC236}">
              <a16:creationId xmlns:a16="http://schemas.microsoft.com/office/drawing/2014/main" id="{D558F072-5DF6-40E4-A3A6-72B10ECEC2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98</xdr:col>
      <xdr:colOff>0</xdr:colOff>
      <xdr:row>69</xdr:row>
      <xdr:rowOff>0</xdr:rowOff>
    </xdr:from>
    <xdr:to>
      <xdr:col>107</xdr:col>
      <xdr:colOff>46762</xdr:colOff>
      <xdr:row>92</xdr:row>
      <xdr:rowOff>142193</xdr:rowOff>
    </xdr:to>
    <xdr:pic>
      <xdr:nvPicPr>
        <xdr:cNvPr id="13" name="Picture 12">
          <a:extLst>
            <a:ext uri="{FF2B5EF4-FFF2-40B4-BE49-F238E27FC236}">
              <a16:creationId xmlns:a16="http://schemas.microsoft.com/office/drawing/2014/main" id="{218B4799-1B75-490A-9913-3CC969C00187}"/>
            </a:ext>
          </a:extLst>
        </xdr:cNvPr>
        <xdr:cNvPicPr>
          <a:picLocks noChangeAspect="1"/>
        </xdr:cNvPicPr>
      </xdr:nvPicPr>
      <xdr:blipFill>
        <a:blip xmlns:r="http://schemas.openxmlformats.org/officeDocument/2006/relationships" r:embed="rId12"/>
        <a:stretch>
          <a:fillRect/>
        </a:stretch>
      </xdr:blipFill>
      <xdr:spPr>
        <a:xfrm>
          <a:off x="63455550" y="11649075"/>
          <a:ext cx="6904762" cy="5457143"/>
        </a:xfrm>
        <a:prstGeom prst="rect">
          <a:avLst/>
        </a:prstGeom>
      </xdr:spPr>
    </xdr:pic>
    <xdr:clientData/>
  </xdr:twoCellAnchor>
  <xdr:twoCellAnchor editAs="oneCell">
    <xdr:from>
      <xdr:col>109</xdr:col>
      <xdr:colOff>0</xdr:colOff>
      <xdr:row>69</xdr:row>
      <xdr:rowOff>0</xdr:rowOff>
    </xdr:from>
    <xdr:to>
      <xdr:col>117</xdr:col>
      <xdr:colOff>200025</xdr:colOff>
      <xdr:row>92</xdr:row>
      <xdr:rowOff>130604</xdr:rowOff>
    </xdr:to>
    <xdr:pic>
      <xdr:nvPicPr>
        <xdr:cNvPr id="14" name="Picture 13">
          <a:extLst>
            <a:ext uri="{FF2B5EF4-FFF2-40B4-BE49-F238E27FC236}">
              <a16:creationId xmlns:a16="http://schemas.microsoft.com/office/drawing/2014/main" id="{0A4C0417-4944-4A19-9464-B484844E27D4}"/>
            </a:ext>
          </a:extLst>
        </xdr:cNvPr>
        <xdr:cNvPicPr>
          <a:picLocks noChangeAspect="1"/>
        </xdr:cNvPicPr>
      </xdr:nvPicPr>
      <xdr:blipFill>
        <a:blip xmlns:r="http://schemas.openxmlformats.org/officeDocument/2006/relationships" r:embed="rId13"/>
        <a:stretch>
          <a:fillRect/>
        </a:stretch>
      </xdr:blipFill>
      <xdr:spPr>
        <a:xfrm>
          <a:off x="71837550" y="11649075"/>
          <a:ext cx="6296025" cy="544555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01433536/Google%20Drive/SATIM/Model%20Files/DMD_PRJ%20-%20Copy.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B888E3125F2D\Mydata\D\Modelling%20Group\_03_SECTORS\+FUELS\Oil%20&amp;%20Gas\SASOL\SASOL%202018%20NIR%202017%20v1.03.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C:\Models\SATIMGE\SATIM\DataSpreadsheets\TCH_SUP.xlsx" TargetMode="External"/><Relationship Id="rId1" Type="http://schemas.openxmlformats.org/officeDocument/2006/relationships/externalLinkPath" Target="/Models/SATIMGE/SATIM/DataSpreadsheets/TCH_SUP.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Mydata/D/GoogleDrive-ERC/1.Projects/DEFF-DEA/NDC-2020/A.3_NDC_2020%20%5bmodel%20calibration%5d/satim%20petrol-diesel%20%20check%20v02.1.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D:\Modelling%20Group\_02_PROJECTS\WB\water-energy\task2\Costing%20options%20v6.1.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AnswerTIMESv6/Answer_Databases/WB/SATIM_20140819runs-copy/TCH_PWR-WAT.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Models/SATIMGE/SATIM/DataSpreadsheets/Deflator.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SATIMGE_03/MCSimTra3.xlsm"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Mosebetsi%20oa%20ka/2014/GAS%20Project/Emissions/Methane%20control%20Use%20this.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Mosebetsi%20oa%20ka/2014/GAS%20Project/Emissions/Copy%20of%202010-09-01%20PetroSA%20GHG%202000_2009.xls" TargetMode="External"/></Relationships>
</file>

<file path=xl/externalLinks/_rels/externalLink11.xml.rels><?xml version="1.0" encoding="UTF-8" standalone="yes"?>
<Relationships xmlns="http://schemas.openxmlformats.org/package/2006/relationships"><Relationship Id="rId2" Type="http://schemas.openxmlformats.org/officeDocument/2006/relationships/externalLinkPath" Target="file:///C:\Models\SATIMGE_Veda\VT_REGION1_SUP_v01.xlsx" TargetMode="External"/><Relationship Id="rId1" Type="http://schemas.openxmlformats.org/officeDocument/2006/relationships/externalLinkPath" Target="VT_REGION1_SUP_v01.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Mosebetsi%20oa%20ka/2014/GAS%20Project/Emissions/Emissions%20and%20Pipeline%20costs.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Models/SATIMGE/SATIM/DataSpreadsheets/TIME_SLICES.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Log"/>
      <sheetName val="REGIONS"/>
      <sheetName val="Index"/>
      <sheetName val="FromCGE"/>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ow r="7">
          <cell r="C7">
            <v>1</v>
          </cell>
        </row>
        <row r="8">
          <cell r="C8">
            <v>1</v>
          </cell>
        </row>
        <row r="9">
          <cell r="C9">
            <v>1</v>
          </cell>
        </row>
        <row r="10">
          <cell r="C10">
            <v>1</v>
          </cell>
        </row>
        <row r="11">
          <cell r="C11">
            <v>1</v>
          </cell>
        </row>
      </sheetData>
      <sheetData sheetId="3">
        <row r="5">
          <cell r="J5" t="str">
            <v>Greenshoots</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SOL NIR 2017"/>
      <sheetName val="SASOL Commodities"/>
      <sheetName val="NERSA2017"/>
      <sheetName val="GAS 2000-2029 CY"/>
      <sheetName val="SASOL CC 2019 report"/>
      <sheetName val="FTS-Unallocated"/>
      <sheetName val="Secunda Emissions 2019 etc"/>
      <sheetName val="Calorific values"/>
    </sheetNames>
    <sheetDataSet>
      <sheetData sheetId="0">
        <row r="11">
          <cell r="U11">
            <v>30.761111</v>
          </cell>
        </row>
      </sheetData>
      <sheetData sheetId="1">
        <row r="10">
          <cell r="D10">
            <v>3809</v>
          </cell>
        </row>
      </sheetData>
      <sheetData sheetId="2"/>
      <sheetData sheetId="3"/>
      <sheetData sheetId="4">
        <row r="97">
          <cell r="E97">
            <v>296</v>
          </cell>
        </row>
        <row r="98">
          <cell r="E98">
            <v>23</v>
          </cell>
        </row>
      </sheetData>
      <sheetData sheetId="5"/>
      <sheetData sheetId="6"/>
      <sheetData sheetId="7">
        <row r="8">
          <cell r="B8">
            <v>41</v>
          </cell>
        </row>
        <row r="18">
          <cell r="B18">
            <v>24.3</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dex"/>
      <sheetName val="ChangeLog"/>
      <sheetName val="NameConv"/>
      <sheetName val="REGIONS"/>
      <sheetName val="2006EB"/>
      <sheetName val="2012EB"/>
      <sheetName val="Liq Fuel Prices"/>
      <sheetName val="Coal price"/>
      <sheetName val="Oil price"/>
      <sheetName val="Gas Price"/>
      <sheetName val="Fugitive emissions"/>
      <sheetName val="Distribution"/>
      <sheetName val="SUP"/>
      <sheetName val="ITEMS_STech"/>
      <sheetName val="TS STech"/>
      <sheetName val="TS STechPEX"/>
      <sheetName val="TID STech"/>
      <sheetName val="ITEMS_Comm"/>
      <sheetName val="TS ZTech"/>
      <sheetName val="TID ZTech"/>
      <sheetName val="Crude refineries"/>
      <sheetName val="Cleaner Fuels Phase-2"/>
      <sheetName val="GTL and CTL"/>
      <sheetName val="SummaryRef"/>
      <sheetName val="RefineriesRES"/>
      <sheetName val="SasolRES2012"/>
      <sheetName val="SasolRES-2017"/>
      <sheetName val="GAS 2000-2029 CY"/>
      <sheetName val="SASOL CC 2019 report"/>
      <sheetName val="Secunda Emissions 2019"/>
      <sheetName val="RefineriesData"/>
      <sheetName val="Aviation Synfuel Data"/>
      <sheetName val="Aviation Synfuel-Items"/>
      <sheetName val="Aviation Synfuel-TSData"/>
      <sheetName val="Aviation Synfuel-TIDData"/>
      <sheetName val="Hydrogen-Other"/>
      <sheetName val="Hydrogen-ELT"/>
      <sheetName val="H2Storage"/>
      <sheetName val="H2Storage-Items"/>
      <sheetName val="H2Storage-TSData"/>
      <sheetName val="H2Storage-TIDData"/>
      <sheetName val="UPS"/>
      <sheetName val="ITEMS_UPS"/>
      <sheetName val="ITEMS_GRP"/>
      <sheetName val="TS_TTech"/>
      <sheetName val="TID_TTech"/>
      <sheetName val="ITEMS_XTech"/>
      <sheetName val="ITEMS_CommX"/>
      <sheetName val="TS_XTech"/>
      <sheetName val="TID_XTech"/>
      <sheetName val="ITEMS_XEmiss"/>
      <sheetName val="TS XEmiss"/>
      <sheetName val="TID XEmiss"/>
      <sheetName val="ExchangeRateDetail"/>
      <sheetName val="Deflator"/>
      <sheetName val="SUPRES"/>
      <sheetName val="ITEMS_XFEmiss"/>
      <sheetName val="TS XFEmiss"/>
      <sheetName val="TID XFEmiss"/>
      <sheetName val="Emission Control_Technologies"/>
      <sheetName val="Items_TEmiss"/>
      <sheetName val="TS TEmiss"/>
      <sheetName val="ITEMS UC"/>
      <sheetName val="TS UC"/>
      <sheetName val="TID UC"/>
      <sheetName val="WAT-Items"/>
      <sheetName val="WAT-TSData"/>
      <sheetName val="WAT-TIDData"/>
      <sheetName val="HGN-TSData xtras"/>
      <sheetName val="HGN-TIDData xtras"/>
      <sheetName val="CPI_1960-2013"/>
      <sheetName val="Sheet1"/>
    </sheetNames>
    <sheetDataSet>
      <sheetData sheetId="0">
        <row r="2">
          <cell r="A2">
            <v>1</v>
          </cell>
          <cell r="D2">
            <v>1</v>
          </cell>
          <cell r="E2">
            <v>1</v>
          </cell>
          <cell r="F2">
            <v>1</v>
          </cell>
          <cell r="G2">
            <v>1</v>
          </cell>
          <cell r="H2">
            <v>1</v>
          </cell>
          <cell r="I2">
            <v>1</v>
          </cell>
          <cell r="J2">
            <v>1</v>
          </cell>
        </row>
      </sheetData>
      <sheetData sheetId="1"/>
      <sheetData sheetId="2">
        <row r="3">
          <cell r="AX3">
            <v>16</v>
          </cell>
        </row>
        <row r="4">
          <cell r="AY4" t="str">
            <v>CO2S</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56">
          <cell r="F56">
            <v>0.34416826003824091</v>
          </cell>
          <cell r="G56">
            <v>0.55066921606118546</v>
          </cell>
          <cell r="H56">
            <v>0.74187380497131927</v>
          </cell>
          <cell r="J56">
            <v>0.74187380497131927</v>
          </cell>
          <cell r="L56">
            <v>0.74187380497131927</v>
          </cell>
        </row>
      </sheetData>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ow r="39">
          <cell r="D39">
            <v>120.1</v>
          </cell>
        </row>
      </sheetData>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uel.comparison"/>
      <sheetName val="FCS2018"/>
      <sheetName val="SATIM"/>
      <sheetName val="SAPIAAR2018"/>
      <sheetName val="NIR2017"/>
      <sheetName val="DoE.Petrol"/>
      <sheetName val="DoE.Diesel"/>
      <sheetName val="units"/>
      <sheetName val="scrap"/>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B2">
            <v>38.6</v>
          </cell>
        </row>
        <row r="3">
          <cell r="B3">
            <v>34.659999999999997</v>
          </cell>
        </row>
      </sheetData>
      <sheetData sheetId="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version"/>
      <sheetName val="units"/>
      <sheetName val="AMD"/>
      <sheetName val="AMD.v2"/>
      <sheetName val="coal mining"/>
      <sheetName val="TDS  vs Capex"/>
      <sheetName val="WTP energy costs"/>
      <sheetName val="Shale gas"/>
      <sheetName val="Shale-AMD wtp"/>
      <sheetName val="Uranium-Gold"/>
      <sheetName val="fgd costs"/>
      <sheetName val="Coal dist"/>
      <sheetName val="steam"/>
      <sheetName val="refineries"/>
      <sheetName val="cooling water"/>
      <sheetName val="seasonal"/>
      <sheetName val="PWR station GIS data"/>
      <sheetName val="Existing Plants by Water Supply"/>
      <sheetName val="Existing Plants by Coal Supply"/>
      <sheetName val="Eskom coal pwr plants"/>
      <sheetName val="charts"/>
      <sheetName val="TechWATv4"/>
      <sheetName val="TechWATv5 (supwat5)"/>
      <sheetName val="FromCGE"/>
      <sheetName val="Non-Energy Water Demand"/>
      <sheetName val="non-power liquid fuels"/>
      <sheetName val="CPI_1960-2013"/>
      <sheetName val="JHB return flows"/>
      <sheetName val="misc calcs"/>
      <sheetName val="WSR-A"/>
      <sheetName val="WSR-B"/>
      <sheetName val="WSR-C"/>
      <sheetName val="WSR-D"/>
      <sheetName val="WSR-R"/>
      <sheetName val="WSR-Z"/>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3">
          <cell r="E3">
            <v>0.08</v>
          </cell>
        </row>
      </sheetData>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isting capacity basic data"/>
      <sheetName val="PWR"/>
      <sheetName val="ITEMS_Teche"/>
      <sheetName val="TS ETech"/>
      <sheetName val="TID ETech"/>
      <sheetName val="ITEMS_Comm"/>
      <sheetName val="New Capacity basic data"/>
      <sheetName val="Inga"/>
      <sheetName val="OtherRegionalProjects"/>
      <sheetName val="NT_PWR"/>
      <sheetName val="ITEMS_Techn"/>
      <sheetName val="TS INVFX"/>
      <sheetName val="TS INVFX_5yr"/>
      <sheetName val="TS INVFX_IRP"/>
      <sheetName val="TS NTech"/>
      <sheetName val="TS NTechICost"/>
      <sheetName val="TID NTech"/>
      <sheetName val="ITEMS GRP"/>
      <sheetName val="TS Othere"/>
      <sheetName val="TID Othere"/>
      <sheetName val="ITEMS UC"/>
      <sheetName val="TS UC"/>
      <sheetName val="TID UC"/>
      <sheetName val="ITEMS UC_BLIPPP"/>
      <sheetName val="TS UC_BLIPPP"/>
      <sheetName val="TID UC_BLIPPP"/>
      <sheetName val="REAvail"/>
      <sheetName val="REAvail (2)"/>
      <sheetName val="TS REAvail"/>
      <sheetName val="REAvail_10TS"/>
      <sheetName val="REAvail_10TS (2)"/>
      <sheetName val="TS REAvail_10TS"/>
      <sheetName val="REGIONS"/>
      <sheetName val="NameConv"/>
      <sheetName val="Deflator"/>
      <sheetName val="EskomCoalEff"/>
      <sheetName val="Analytica_Input"/>
      <sheetName val="LogofChanges"/>
    </sheetNames>
    <sheetDataSet>
      <sheetData sheetId="0"/>
      <sheetData sheetId="1"/>
      <sheetData sheetId="2"/>
      <sheetData sheetId="3"/>
      <sheetData sheetId="4"/>
      <sheetData sheetId="5"/>
      <sheetData sheetId="6">
        <row r="9">
          <cell r="B9">
            <v>0</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flator"/>
    </sheetNames>
    <sheetDataSet>
      <sheetData sheetId="0" refreshError="1">
        <row r="4">
          <cell r="L4">
            <v>1.7734731669022814</v>
          </cell>
          <cell r="O4">
            <v>1.3925713075799215</v>
          </cell>
          <cell r="P4">
            <v>1.3094103081137336</v>
          </cell>
          <cell r="R4">
            <v>1.1636030437253695</v>
          </cell>
          <cell r="S4">
            <v>1.0978875034592741</v>
          </cell>
          <cell r="T4">
            <v>1.0377447099466544</v>
          </cell>
          <cell r="U4">
            <v>1</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IndexO"/>
      <sheetName val="Sets"/>
      <sheetName val="GDP_Y"/>
      <sheetName val="COM_S"/>
      <sheetName val="POP"/>
      <sheetName val="PV"/>
      <sheetName val="CSP"/>
      <sheetName val="NUC"/>
      <sheetName val="COAL"/>
      <sheetName val="OIL"/>
      <sheetName val="GAS"/>
      <sheetName val="Global_Com"/>
      <sheetName val="OPWR"/>
      <sheetName val="Scenarios"/>
      <sheetName val="Sheet1"/>
      <sheetName val="PAMs"/>
      <sheetName val="AltTariffs"/>
      <sheetName val="scenario.archive"/>
      <sheetName val="AnsTIMES case files"/>
      <sheetName val="GDP_Y(S)"/>
      <sheetName val="COM_S(S)"/>
      <sheetName val="POP(S)"/>
      <sheetName val="PV(S)"/>
      <sheetName val="CSP(S)"/>
      <sheetName val="NUC(S)"/>
      <sheetName val="COAL(S)"/>
      <sheetName val="GAS(S)"/>
      <sheetName val="Global_Com(S)"/>
      <sheetName val="OPWR(S)"/>
      <sheetName val="StatsSA"/>
      <sheetName val="GDP_SH3"/>
      <sheetName val="GAS_old"/>
      <sheetName val="COAL_old"/>
      <sheetName val="Coal_Volumes"/>
      <sheetName val="Coal_data"/>
      <sheetName val="CoalParams"/>
      <sheetName val="Imaclim_raw"/>
      <sheetName val="Imaclim_adj"/>
      <sheetName val="PVLiterature"/>
      <sheetName val="PVSamples"/>
      <sheetName val="CSPLiterature"/>
      <sheetName val="CSPSamples"/>
      <sheetName val="ExchangeRateDetail"/>
      <sheetName val="Expor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row r="5">
          <cell r="D5" t="str">
            <v>Oil Price (2015$/bbl)</v>
          </cell>
        </row>
        <row r="6">
          <cell r="D6">
            <v>2010</v>
          </cell>
          <cell r="E6">
            <v>2015</v>
          </cell>
          <cell r="F6">
            <v>2020</v>
          </cell>
          <cell r="G6">
            <v>2030</v>
          </cell>
          <cell r="H6">
            <v>2050</v>
          </cell>
        </row>
        <row r="7">
          <cell r="C7">
            <v>0.05</v>
          </cell>
          <cell r="D7">
            <v>84.76347793442072</v>
          </cell>
          <cell r="E7">
            <v>51</v>
          </cell>
          <cell r="F7">
            <v>73.317017874156548</v>
          </cell>
          <cell r="G7">
            <v>98.605353881111654</v>
          </cell>
          <cell r="H7">
            <v>107.66021241145609</v>
          </cell>
        </row>
        <row r="8">
          <cell r="C8">
            <v>0.25</v>
          </cell>
          <cell r="D8">
            <v>84.76347793442072</v>
          </cell>
          <cell r="E8">
            <v>51</v>
          </cell>
          <cell r="F8">
            <v>75.881960716452127</v>
          </cell>
          <cell r="G8">
            <v>103.77027513658234</v>
          </cell>
          <cell r="H8">
            <v>116.71930911569734</v>
          </cell>
        </row>
        <row r="9">
          <cell r="C9">
            <v>0.5</v>
          </cell>
          <cell r="D9">
            <v>84.76347793442072</v>
          </cell>
          <cell r="E9">
            <v>51</v>
          </cell>
          <cell r="F9">
            <v>78.619821053733901</v>
          </cell>
          <cell r="G9">
            <v>107.433752652908</v>
          </cell>
          <cell r="H9">
            <v>125.49232908190987</v>
          </cell>
        </row>
        <row r="10">
          <cell r="C10">
            <v>0.75</v>
          </cell>
          <cell r="D10">
            <v>84.76347793442072</v>
          </cell>
          <cell r="E10">
            <v>51</v>
          </cell>
          <cell r="F10">
            <v>81.098305148536369</v>
          </cell>
          <cell r="G10">
            <v>114.76296804497092</v>
          </cell>
          <cell r="H10">
            <v>132.35817079459795</v>
          </cell>
        </row>
        <row r="11">
          <cell r="C11">
            <v>0.95</v>
          </cell>
          <cell r="D11">
            <v>84.76347793442072</v>
          </cell>
          <cell r="E11">
            <v>51</v>
          </cell>
          <cell r="F11">
            <v>84.210820058288292</v>
          </cell>
          <cell r="G11">
            <v>126.81972514636294</v>
          </cell>
          <cell r="H11">
            <v>141.25833597771214</v>
          </cell>
        </row>
        <row r="12">
          <cell r="D12" t="str">
            <v>LNG (2015$/MMBTU)</v>
          </cell>
        </row>
        <row r="13">
          <cell r="D13">
            <v>2010</v>
          </cell>
          <cell r="E13">
            <v>2015</v>
          </cell>
          <cell r="F13">
            <v>2020</v>
          </cell>
          <cell r="G13">
            <v>2030</v>
          </cell>
          <cell r="H13">
            <v>2050</v>
          </cell>
        </row>
        <row r="14">
          <cell r="C14">
            <v>0.05</v>
          </cell>
          <cell r="D14">
            <v>8.1503344167712228</v>
          </cell>
          <cell r="E14">
            <v>8.1503344167712228</v>
          </cell>
          <cell r="F14">
            <v>8.3428147519412956</v>
          </cell>
          <cell r="G14">
            <v>9.8008280757574973</v>
          </cell>
          <cell r="H14">
            <v>10.64026158109483</v>
          </cell>
        </row>
        <row r="15">
          <cell r="C15">
            <v>0.25</v>
          </cell>
          <cell r="D15">
            <v>8.1503344167712228</v>
          </cell>
          <cell r="E15">
            <v>8.1503344167712228</v>
          </cell>
          <cell r="F15">
            <v>8.6297778388377875</v>
          </cell>
          <cell r="G15">
            <v>10.297404179962657</v>
          </cell>
          <cell r="H15">
            <v>11.434919186730026</v>
          </cell>
        </row>
        <row r="16">
          <cell r="C16">
            <v>0.5</v>
          </cell>
          <cell r="D16">
            <v>8.1503344167712228</v>
          </cell>
          <cell r="E16">
            <v>8.1503344167712228</v>
          </cell>
          <cell r="F16">
            <v>9.0140661065885528</v>
          </cell>
          <cell r="G16">
            <v>10.959143415150999</v>
          </cell>
          <cell r="H16">
            <v>12.559665336244453</v>
          </cell>
        </row>
        <row r="17">
          <cell r="C17">
            <v>0.75</v>
          </cell>
          <cell r="D17">
            <v>8.1503344167712228</v>
          </cell>
          <cell r="E17">
            <v>8.1503344167712228</v>
          </cell>
          <cell r="F17">
            <v>9.7554918405642095</v>
          </cell>
          <cell r="G17">
            <v>11.953450254270349</v>
          </cell>
          <cell r="H17">
            <v>14.283461065391567</v>
          </cell>
        </row>
        <row r="18">
          <cell r="C18">
            <v>0.95</v>
          </cell>
          <cell r="D18">
            <v>8.1503344167712228</v>
          </cell>
          <cell r="E18">
            <v>8.1503344167712228</v>
          </cell>
          <cell r="F18">
            <v>10.091744074846128</v>
          </cell>
          <cell r="G18">
            <v>12.855473233969482</v>
          </cell>
          <cell r="H18">
            <v>15.974655456871597</v>
          </cell>
        </row>
        <row r="19">
          <cell r="D19" t="str">
            <v>Shale(2015$/MMBTU)</v>
          </cell>
        </row>
        <row r="20">
          <cell r="D20">
            <v>2010</v>
          </cell>
          <cell r="E20">
            <v>2015</v>
          </cell>
          <cell r="F20">
            <v>2020</v>
          </cell>
          <cell r="G20">
            <v>2030</v>
          </cell>
          <cell r="H20">
            <v>2050</v>
          </cell>
        </row>
        <row r="21">
          <cell r="C21">
            <v>0.05</v>
          </cell>
          <cell r="D21">
            <v>8.0869454986247469</v>
          </cell>
          <cell r="E21">
            <v>6.7049296712283812</v>
          </cell>
          <cell r="F21">
            <v>4.7692975220111435</v>
          </cell>
          <cell r="G21">
            <v>4.9613919398112687</v>
          </cell>
          <cell r="H21">
            <v>4.5057574706483354</v>
          </cell>
        </row>
        <row r="22">
          <cell r="C22">
            <v>0.25</v>
          </cell>
          <cell r="D22">
            <v>8.1465330338997113</v>
          </cell>
          <cell r="E22">
            <v>8.2025938686525883</v>
          </cell>
          <cell r="F22">
            <v>7.3517748968881653</v>
          </cell>
          <cell r="G22">
            <v>8.120572408201209</v>
          </cell>
          <cell r="H22">
            <v>7.4201738278995295</v>
          </cell>
        </row>
        <row r="23">
          <cell r="C23">
            <v>0.5</v>
          </cell>
          <cell r="D23">
            <v>8.1881379396328526</v>
          </cell>
          <cell r="E23">
            <v>9.39276444788484</v>
          </cell>
          <cell r="F23">
            <v>10.773557760174372</v>
          </cell>
          <cell r="G23">
            <v>10.8172157152895</v>
          </cell>
          <cell r="H23">
            <v>10.88496798036755</v>
          </cell>
        </row>
        <row r="24">
          <cell r="C24">
            <v>0.75</v>
          </cell>
          <cell r="D24">
            <v>8.2301326312875958</v>
          </cell>
          <cell r="E24">
            <v>10.507400823250775</v>
          </cell>
          <cell r="F24">
            <v>14.3817212159371</v>
          </cell>
          <cell r="G24">
            <v>13.406527739419724</v>
          </cell>
          <cell r="H24">
            <v>13.997003925763375</v>
          </cell>
        </row>
        <row r="25">
          <cell r="C25">
            <v>0.95</v>
          </cell>
          <cell r="D25">
            <v>8.2818014980867112</v>
          </cell>
          <cell r="E25">
            <v>12.017743499367629</v>
          </cell>
          <cell r="F25">
            <v>16.91401912191181</v>
          </cell>
          <cell r="G25">
            <v>16.545164815873392</v>
          </cell>
          <cell r="H25">
            <v>16.813949721541967</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versions"/>
      <sheetName val="Commodities and Units"/>
      <sheetName val="Calibration"/>
      <sheetName val="MSW Source"/>
      <sheetName val="MSW Data"/>
      <sheetName val="MSW Techs"/>
      <sheetName val="LFG Data"/>
      <sheetName val="LFG Techs"/>
      <sheetName val="Coal Source"/>
      <sheetName val="Coal Data"/>
      <sheetName val="Coal Techs"/>
      <sheetName val="NG &amp; Oil Source"/>
      <sheetName val="NG Data"/>
      <sheetName val="NG Tech"/>
      <sheetName val="Oil Data"/>
      <sheetName val="Oil Tech"/>
      <sheetName val="Manure Source"/>
      <sheetName val="Manure Data"/>
      <sheetName val="Manure Tech"/>
    </sheetNames>
    <sheetDataSet>
      <sheetData sheetId="0"/>
      <sheetData sheetId="1"/>
      <sheetData sheetId="2"/>
      <sheetData sheetId="3"/>
      <sheetData sheetId="4">
        <row r="62">
          <cell r="E62">
            <v>0.1664291376</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uels_Summary"/>
      <sheetName val="Combust_2000"/>
      <sheetName val="Combust_2001"/>
      <sheetName val="Combust_2002"/>
      <sheetName val="Combust_2003"/>
      <sheetName val="Combust_2004"/>
      <sheetName val="Combust_2005"/>
      <sheetName val="Combust_2006"/>
      <sheetName val="Combust_2007"/>
      <sheetName val="Combust_2008"/>
      <sheetName val="Combust_2009"/>
      <sheetName val="Combustion-Total"/>
      <sheetName val="Fugitive"/>
      <sheetName val="Was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27">
          <cell r="C27">
            <v>10546.81185447652</v>
          </cell>
          <cell r="D27">
            <v>16645.231075663825</v>
          </cell>
          <cell r="E27">
            <v>12310.313736182736</v>
          </cell>
          <cell r="F27">
            <v>15548.949778252987</v>
          </cell>
          <cell r="G27">
            <v>18187.467351589461</v>
          </cell>
          <cell r="H27">
            <v>16549.473367982133</v>
          </cell>
          <cell r="I27">
            <v>16669.79231107319</v>
          </cell>
          <cell r="J27">
            <v>17474.810903103542</v>
          </cell>
          <cell r="K27">
            <v>19423.79148431998</v>
          </cell>
          <cell r="L27">
            <v>43946.99669099976</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dex"/>
      <sheetName val="ChangeLog"/>
      <sheetName val="NameConv"/>
      <sheetName val="EnergyBalance2017"/>
      <sheetName val="PRI"/>
      <sheetName val="CombustionEmissions"/>
      <sheetName val="FugitiveEmissions"/>
      <sheetName val="EmissionsAggregationCO2eq"/>
      <sheetName val="FuelTechs"/>
      <sheetName val="Liq Fuel Prices"/>
      <sheetName val="Coal price"/>
      <sheetName val="Oil price"/>
      <sheetName val="Gas Price"/>
      <sheetName val="Distribution"/>
      <sheetName val="ITEMS_STech"/>
      <sheetName val="ITEMS_Comm"/>
      <sheetName val="TS ZTech"/>
      <sheetName val="TID ZTech"/>
      <sheetName val="Crude refineries"/>
      <sheetName val="Cleaner Fuels Phase-2"/>
      <sheetName val="GTL and CTL"/>
      <sheetName val="SummaryRef"/>
      <sheetName val="RefineriesRES"/>
      <sheetName val="SasolRES2012"/>
      <sheetName val="SasolRES-2017"/>
      <sheetName val="GAS 2000-2029 CY"/>
      <sheetName val="SASOL CC 2019 report"/>
      <sheetName val="Secunda Emissions 2019"/>
      <sheetName val="RefineriesData"/>
      <sheetName val="Aviation Synfuel Data"/>
      <sheetName val="Aviation Synfuel-Items"/>
      <sheetName val="Aviation Synfuel-TSData"/>
      <sheetName val="Aviation Synfuel-TIDData"/>
      <sheetName val="Hydrogen-Other"/>
      <sheetName val="Hydrogen-ELT"/>
      <sheetName val="H2Storage"/>
      <sheetName val="H2Storage-Items"/>
      <sheetName val="H2Storage-TSData"/>
      <sheetName val="H2Storage-TIDData"/>
      <sheetName val="UPS"/>
      <sheetName val="ITEMS_UPS"/>
      <sheetName val="ITEMS_GRP"/>
      <sheetName val="TS_TTech"/>
      <sheetName val="TID_TTech"/>
      <sheetName val="ITEMS_CommX"/>
      <sheetName val="TS_XTech"/>
      <sheetName val="TID_XTech"/>
      <sheetName val="ITEMS_XEmiss"/>
      <sheetName val="TS XEmiss"/>
      <sheetName val="TID XEmiss"/>
      <sheetName val="ExchangeRateDetail"/>
      <sheetName val="Deflator"/>
      <sheetName val="SUPRES"/>
      <sheetName val="ITEMS_XFEmiss"/>
      <sheetName val="TS XFEmiss"/>
      <sheetName val="TID XFEmiss"/>
      <sheetName val="Emission Control_Technologies"/>
      <sheetName val="Items_TEmiss"/>
      <sheetName val="ITEMS UC"/>
      <sheetName val="TS UC"/>
      <sheetName val="TID UC"/>
      <sheetName val="WAT-Items"/>
      <sheetName val="WAT-TSData"/>
      <sheetName val="WAT-TIDData"/>
      <sheetName val="HGN-TSData xtras"/>
      <sheetName val="HGN-TIDData xtras"/>
      <sheetName val="CPI_1960-2013"/>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row r="3">
          <cell r="U3">
            <v>0.7580705364703485</v>
          </cell>
        </row>
        <row r="17">
          <cell r="V17">
            <v>1.0273128343245979</v>
          </cell>
        </row>
        <row r="20">
          <cell r="T20">
            <v>0.98860800942415816</v>
          </cell>
          <cell r="U20">
            <v>1</v>
          </cell>
          <cell r="V20">
            <v>1.0273128343245979</v>
          </cell>
        </row>
        <row r="33">
          <cell r="F33">
            <v>11.914999999999999</v>
          </cell>
        </row>
      </sheetData>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mission Control_Technologies"/>
      <sheetName val="Fugitive emissions"/>
      <sheetName val="Piping costs"/>
      <sheetName val="Distribution_TCHSUP"/>
      <sheetName val="GAS RES"/>
      <sheetName val="Cost of Green completions"/>
      <sheetName val="Indicative Capacity"/>
      <sheetName val="Deflator"/>
      <sheetName val="Existing Infrastructure"/>
      <sheetName val="Reserves"/>
      <sheetName val="Power"/>
      <sheetName val="PetroSA"/>
      <sheetName val="To-TIMES"/>
      <sheetName val="GASES-IN-SATIM"/>
      <sheetName val="Other Models data"/>
      <sheetName val="LNG"/>
      <sheetName val="INVCOST"/>
      <sheetName val="Sheet1"/>
      <sheetName val="General Statistics"/>
      <sheetName val="Prepare for TIMES"/>
      <sheetName val="l"/>
    </sheetNames>
    <sheetDataSet>
      <sheetData sheetId="0"/>
      <sheetData sheetId="1"/>
      <sheetData sheetId="2">
        <row r="73">
          <cell r="E73">
            <v>700</v>
          </cell>
        </row>
      </sheetData>
      <sheetData sheetId="3"/>
      <sheetData sheetId="4"/>
      <sheetData sheetId="5"/>
      <sheetData sheetId="6"/>
      <sheetData sheetId="7">
        <row r="77">
          <cell r="LD77">
            <v>10.428699999999999</v>
          </cell>
        </row>
        <row r="78">
          <cell r="LD78">
            <v>10.4208</v>
          </cell>
        </row>
        <row r="79">
          <cell r="LD79">
            <v>10.5304</v>
          </cell>
        </row>
        <row r="80">
          <cell r="LD80">
            <v>10.3566</v>
          </cell>
        </row>
        <row r="81">
          <cell r="LD81">
            <v>10.3527</v>
          </cell>
        </row>
        <row r="82">
          <cell r="LD82">
            <v>10.391299999999999</v>
          </cell>
        </row>
        <row r="83">
          <cell r="LD83">
            <v>10.3695</v>
          </cell>
        </row>
        <row r="84">
          <cell r="LD84">
            <v>10.3512</v>
          </cell>
        </row>
        <row r="85">
          <cell r="LD85">
            <v>10.3285</v>
          </cell>
        </row>
        <row r="86">
          <cell r="LD86" t="str">
            <v>holiday</v>
          </cell>
        </row>
        <row r="87">
          <cell r="LD87">
            <v>10.4124</v>
          </cell>
        </row>
        <row r="88">
          <cell r="LD88">
            <v>10.4091</v>
          </cell>
        </row>
        <row r="89">
          <cell r="LD89">
            <v>10.355700000000001</v>
          </cell>
        </row>
        <row r="90">
          <cell r="LD90">
            <v>10.371</v>
          </cell>
        </row>
        <row r="91">
          <cell r="LD91">
            <v>10.336</v>
          </cell>
        </row>
        <row r="92">
          <cell r="LD92">
            <v>10.444800000000001</v>
          </cell>
        </row>
        <row r="93">
          <cell r="LD93">
            <v>10.4315</v>
          </cell>
        </row>
        <row r="94">
          <cell r="LD94">
            <v>10.3667</v>
          </cell>
        </row>
        <row r="95">
          <cell r="LD95">
            <v>10.331</v>
          </cell>
        </row>
        <row r="96">
          <cell r="LD96">
            <v>10.181100000000001</v>
          </cell>
        </row>
        <row r="97">
          <cell r="LD97">
            <v>10.1995</v>
          </cell>
        </row>
        <row r="98">
          <cell r="LD98">
            <v>10.2174</v>
          </cell>
        </row>
        <row r="99">
          <cell r="LD99">
            <v>10.1393</v>
          </cell>
        </row>
        <row r="100">
          <cell r="LD100">
            <v>10.094799999999999</v>
          </cell>
        </row>
        <row r="101">
          <cell r="LD101">
            <v>10.1005</v>
          </cell>
        </row>
        <row r="102">
          <cell r="LD102">
            <v>10.169700000000001</v>
          </cell>
        </row>
        <row r="103">
          <cell r="LD103">
            <v>10.169700000000001</v>
          </cell>
        </row>
        <row r="104">
          <cell r="LD104">
            <v>10.214700000000001</v>
          </cell>
        </row>
        <row r="105">
          <cell r="LD105">
            <v>10.1435</v>
          </cell>
        </row>
        <row r="106">
          <cell r="LD106">
            <v>10.175000000000001</v>
          </cell>
        </row>
        <row r="107">
          <cell r="LD107">
            <v>10.2089</v>
          </cell>
        </row>
        <row r="108">
          <cell r="LD108">
            <v>10.2912</v>
          </cell>
        </row>
        <row r="109">
          <cell r="LD109">
            <v>10.334899999999999</v>
          </cell>
        </row>
        <row r="110">
          <cell r="LD110">
            <v>10.4031</v>
          </cell>
        </row>
        <row r="111">
          <cell r="LD111">
            <v>10.327299999999999</v>
          </cell>
        </row>
        <row r="112">
          <cell r="LD112">
            <v>10.2668</v>
          </cell>
        </row>
        <row r="113">
          <cell r="LD113">
            <v>10.256600000000001</v>
          </cell>
        </row>
        <row r="114">
          <cell r="LD114">
            <v>10.212300000000001</v>
          </cell>
        </row>
        <row r="115">
          <cell r="LD115">
            <v>10.1343</v>
          </cell>
        </row>
        <row r="116">
          <cell r="LD116">
            <v>10.1608</v>
          </cell>
        </row>
        <row r="117">
          <cell r="LD117">
            <v>10.0425</v>
          </cell>
        </row>
        <row r="118">
          <cell r="LD118">
            <v>9.9467999999999996</v>
          </cell>
        </row>
        <row r="119">
          <cell r="LD119">
            <v>9.8933999999999997</v>
          </cell>
        </row>
        <row r="120">
          <cell r="LD120">
            <v>9.8496000000000006</v>
          </cell>
        </row>
        <row r="121">
          <cell r="LD121">
            <v>9.8207000000000004</v>
          </cell>
        </row>
        <row r="122">
          <cell r="LD122">
            <v>9.7696000000000005</v>
          </cell>
        </row>
        <row r="123">
          <cell r="LD123">
            <v>9.7654999999999994</v>
          </cell>
        </row>
        <row r="124">
          <cell r="LD124">
            <v>9.7759</v>
          </cell>
        </row>
        <row r="125">
          <cell r="LD125">
            <v>9.8391000000000002</v>
          </cell>
        </row>
        <row r="126">
          <cell r="LD126">
            <v>9.8025000000000002</v>
          </cell>
        </row>
        <row r="127">
          <cell r="LD127">
            <v>9.8314000000000004</v>
          </cell>
        </row>
        <row r="128">
          <cell r="LD128">
            <v>9.8762000000000008</v>
          </cell>
        </row>
        <row r="129">
          <cell r="LD129">
            <v>9.9628999999999994</v>
          </cell>
        </row>
        <row r="130">
          <cell r="LD130">
            <v>9.9047000000000001</v>
          </cell>
        </row>
        <row r="131">
          <cell r="LD131">
            <v>9.9070999999999998</v>
          </cell>
        </row>
        <row r="132">
          <cell r="LD132">
            <v>9.9053000000000004</v>
          </cell>
        </row>
        <row r="133">
          <cell r="LD133">
            <v>9.9769000000000005</v>
          </cell>
        </row>
        <row r="134">
          <cell r="LD134">
            <v>9.9868000000000006</v>
          </cell>
        </row>
        <row r="135">
          <cell r="LD135">
            <v>10.000400000000001</v>
          </cell>
        </row>
        <row r="136">
          <cell r="LD136">
            <v>10.007099999999999</v>
          </cell>
        </row>
        <row r="137">
          <cell r="LD137">
            <v>10.026400000000001</v>
          </cell>
        </row>
        <row r="138">
          <cell r="LD138">
            <v>10.0146</v>
          </cell>
        </row>
        <row r="139">
          <cell r="LD139">
            <v>10.138</v>
          </cell>
        </row>
        <row r="140">
          <cell r="LD140">
            <v>10.0366</v>
          </cell>
        </row>
        <row r="141">
          <cell r="LD141">
            <v>10.109299999999999</v>
          </cell>
        </row>
        <row r="142">
          <cell r="LD142">
            <v>9.9824999999999999</v>
          </cell>
        </row>
        <row r="143">
          <cell r="LD143">
            <v>9.9639000000000006</v>
          </cell>
        </row>
        <row r="144">
          <cell r="LD144">
            <v>9.8632000000000009</v>
          </cell>
        </row>
        <row r="145">
          <cell r="LD145" t="str">
            <v>holiday</v>
          </cell>
        </row>
        <row r="146">
          <cell r="LD146">
            <v>9.8561999999999994</v>
          </cell>
        </row>
        <row r="147">
          <cell r="LD147">
            <v>9.6961999999999993</v>
          </cell>
        </row>
        <row r="148">
          <cell r="LD148">
            <v>9.5755999999999997</v>
          </cell>
        </row>
        <row r="149">
          <cell r="LD149">
            <v>9.8077000000000005</v>
          </cell>
        </row>
        <row r="150">
          <cell r="LD150">
            <v>9.8145000000000007</v>
          </cell>
        </row>
        <row r="151">
          <cell r="LD151">
            <v>9.8722999999999992</v>
          </cell>
        </row>
        <row r="152">
          <cell r="LD152">
            <v>9.9640000000000004</v>
          </cell>
        </row>
        <row r="153">
          <cell r="LD153">
            <v>9.8954000000000004</v>
          </cell>
        </row>
        <row r="154">
          <cell r="LD154">
            <v>10.014900000000001</v>
          </cell>
        </row>
        <row r="155">
          <cell r="LD155">
            <v>9.9540000000000006</v>
          </cell>
        </row>
        <row r="156">
          <cell r="LD156">
            <v>10.030799999999999</v>
          </cell>
        </row>
        <row r="157">
          <cell r="LD157">
            <v>10.229699999999999</v>
          </cell>
        </row>
        <row r="158">
          <cell r="LD158">
            <v>10.2705</v>
          </cell>
        </row>
        <row r="159">
          <cell r="LD159">
            <v>10.324999999999999</v>
          </cell>
        </row>
        <row r="160">
          <cell r="LD160">
            <v>10.260999999999999</v>
          </cell>
        </row>
        <row r="161">
          <cell r="LD161">
            <v>10.2034</v>
          </cell>
        </row>
        <row r="162">
          <cell r="LD162">
            <v>10.341900000000001</v>
          </cell>
        </row>
        <row r="163">
          <cell r="LD163">
            <v>10.3034</v>
          </cell>
        </row>
        <row r="164">
          <cell r="LD164">
            <v>10.471</v>
          </cell>
        </row>
        <row r="165">
          <cell r="LD165">
            <v>10.339600000000001</v>
          </cell>
        </row>
        <row r="166">
          <cell r="LD166">
            <v>10.2333</v>
          </cell>
        </row>
        <row r="167">
          <cell r="LD167">
            <v>10.267099999999999</v>
          </cell>
        </row>
        <row r="168">
          <cell r="LD168">
            <v>10.373699999999999</v>
          </cell>
        </row>
        <row r="169">
          <cell r="LD169">
            <v>10.1555</v>
          </cell>
        </row>
        <row r="170">
          <cell r="LD170">
            <v>10.2102</v>
          </cell>
        </row>
        <row r="171">
          <cell r="LD171">
            <v>10.1037</v>
          </cell>
        </row>
        <row r="172">
          <cell r="LD172">
            <v>9.9954000000000001</v>
          </cell>
        </row>
        <row r="173">
          <cell r="LD173">
            <v>9.9354999999999993</v>
          </cell>
        </row>
        <row r="174">
          <cell r="LD174">
            <v>9.9907000000000004</v>
          </cell>
        </row>
        <row r="175">
          <cell r="LD175">
            <v>9.8890999999999991</v>
          </cell>
        </row>
        <row r="176">
          <cell r="LD176">
            <v>9.8109999999999999</v>
          </cell>
        </row>
        <row r="177">
          <cell r="LD177" t="str">
            <v>holiday</v>
          </cell>
        </row>
        <row r="178">
          <cell r="LD178">
            <v>9.9332999999999991</v>
          </cell>
        </row>
        <row r="179">
          <cell r="LD179">
            <v>9.9177</v>
          </cell>
        </row>
        <row r="180">
          <cell r="LD180">
            <v>9.8287999999999993</v>
          </cell>
        </row>
        <row r="181">
          <cell r="LD181">
            <v>9.8660999999999994</v>
          </cell>
        </row>
        <row r="182">
          <cell r="LD182">
            <v>9.9917999999999996</v>
          </cell>
        </row>
        <row r="183">
          <cell r="LD183">
            <v>9.8762000000000008</v>
          </cell>
        </row>
        <row r="184">
          <cell r="LD184">
            <v>9.8285999999999998</v>
          </cell>
        </row>
        <row r="185">
          <cell r="LD185">
            <v>9.8265999999999991</v>
          </cell>
        </row>
        <row r="186">
          <cell r="LD186">
            <v>9.8051999999999992</v>
          </cell>
        </row>
        <row r="187">
          <cell r="LD187">
            <v>9.7248999999999999</v>
          </cell>
        </row>
        <row r="188">
          <cell r="LD188">
            <v>9.7433999999999994</v>
          </cell>
        </row>
        <row r="189">
          <cell r="LD189">
            <v>9.6983999999999995</v>
          </cell>
        </row>
        <row r="190">
          <cell r="LD190">
            <v>9.8015000000000008</v>
          </cell>
        </row>
        <row r="191">
          <cell r="LD191">
            <v>9.8094000000000001</v>
          </cell>
        </row>
        <row r="192">
          <cell r="LD192">
            <v>9.9221000000000004</v>
          </cell>
        </row>
        <row r="193">
          <cell r="LD193">
            <v>9.8590999999999998</v>
          </cell>
        </row>
        <row r="194">
          <cell r="LD194">
            <v>9.8759999999999994</v>
          </cell>
        </row>
        <row r="195">
          <cell r="LD195">
            <v>9.8160000000000007</v>
          </cell>
        </row>
        <row r="196">
          <cell r="LD196">
            <v>9.9774999999999991</v>
          </cell>
        </row>
        <row r="197">
          <cell r="LD197">
            <v>9.9855999999999998</v>
          </cell>
        </row>
        <row r="198">
          <cell r="LD198">
            <v>9.8933</v>
          </cell>
        </row>
        <row r="199">
          <cell r="LD199">
            <v>10.0403</v>
          </cell>
        </row>
        <row r="200">
          <cell r="LD200">
            <v>10.1556</v>
          </cell>
        </row>
        <row r="201">
          <cell r="LD201">
            <v>10.223800000000001</v>
          </cell>
        </row>
        <row r="202">
          <cell r="LD202">
            <v>10.0509</v>
          </cell>
        </row>
        <row r="203">
          <cell r="LD203">
            <v>10.0838</v>
          </cell>
        </row>
        <row r="204">
          <cell r="LD204">
            <v>10.0098</v>
          </cell>
        </row>
        <row r="205">
          <cell r="LD205">
            <v>9.9438999999999993</v>
          </cell>
        </row>
        <row r="206">
          <cell r="LD206">
            <v>9.8766999999999996</v>
          </cell>
        </row>
        <row r="207">
          <cell r="LD207">
            <v>9.9550999999999998</v>
          </cell>
        </row>
        <row r="208">
          <cell r="LD208">
            <v>10.076499999999999</v>
          </cell>
        </row>
        <row r="209">
          <cell r="LD209">
            <v>10.097200000000001</v>
          </cell>
        </row>
        <row r="210">
          <cell r="LD210">
            <v>10.0558</v>
          </cell>
        </row>
        <row r="211">
          <cell r="LD211">
            <v>10.226599999999999</v>
          </cell>
        </row>
        <row r="212">
          <cell r="LD212">
            <v>10.2201</v>
          </cell>
        </row>
        <row r="213">
          <cell r="LD213">
            <v>10.246499999999999</v>
          </cell>
        </row>
        <row r="214">
          <cell r="LD214">
            <v>9.9972999999999992</v>
          </cell>
        </row>
        <row r="215">
          <cell r="LD215">
            <v>9.9722000000000008</v>
          </cell>
        </row>
        <row r="216">
          <cell r="LD216" t="str">
            <v>Holiday</v>
          </cell>
        </row>
        <row r="217">
          <cell r="LD217">
            <v>9.8851999999999993</v>
          </cell>
        </row>
        <row r="218">
          <cell r="LD218">
            <v>10.117000000000001</v>
          </cell>
        </row>
        <row r="219">
          <cell r="LD219">
            <v>10.1318</v>
          </cell>
        </row>
        <row r="220">
          <cell r="LD220">
            <v>10.25</v>
          </cell>
        </row>
        <row r="221">
          <cell r="LD221">
            <v>10.0814</v>
          </cell>
        </row>
        <row r="222">
          <cell r="LD222">
            <v>9.9024999999999999</v>
          </cell>
        </row>
        <row r="223">
          <cell r="LD223">
            <v>10.037800000000001</v>
          </cell>
        </row>
        <row r="224">
          <cell r="LD224">
            <v>9.8231000000000002</v>
          </cell>
        </row>
        <row r="225">
          <cell r="LD225">
            <v>9.8270999999999997</v>
          </cell>
        </row>
        <row r="226">
          <cell r="LD226">
            <v>10.070399999999999</v>
          </cell>
        </row>
        <row r="227">
          <cell r="LD227">
            <v>10.084899999999999</v>
          </cell>
        </row>
        <row r="228">
          <cell r="LD228">
            <v>9.7791999999999994</v>
          </cell>
        </row>
        <row r="229">
          <cell r="LD229">
            <v>9.8329000000000004</v>
          </cell>
        </row>
        <row r="230">
          <cell r="LD230">
            <v>9.6312999999999995</v>
          </cell>
        </row>
        <row r="231">
          <cell r="LD231">
            <v>9.6196999999999999</v>
          </cell>
        </row>
        <row r="232">
          <cell r="LD232">
            <v>9.5562000000000005</v>
          </cell>
        </row>
        <row r="233">
          <cell r="LD233">
            <v>9.5974000000000004</v>
          </cell>
        </row>
        <row r="234">
          <cell r="LD234">
            <v>9.5785</v>
          </cell>
        </row>
        <row r="235">
          <cell r="LD235">
            <v>9.4309999999999992</v>
          </cell>
        </row>
        <row r="236">
          <cell r="LD236">
            <v>9.3977000000000004</v>
          </cell>
        </row>
        <row r="237">
          <cell r="LD237">
            <v>9.3472000000000008</v>
          </cell>
        </row>
        <row r="238">
          <cell r="LD238">
            <v>9.2578999999999994</v>
          </cell>
        </row>
        <row r="239">
          <cell r="LD239">
            <v>9.2256999999999998</v>
          </cell>
        </row>
        <row r="240">
          <cell r="LD240">
            <v>9.1356000000000002</v>
          </cell>
        </row>
        <row r="241">
          <cell r="LD241">
            <v>9.1485000000000003</v>
          </cell>
        </row>
        <row r="242">
          <cell r="LD242">
            <v>9.0274999999999999</v>
          </cell>
        </row>
        <row r="243">
          <cell r="LD243">
            <v>9.0023999999999997</v>
          </cell>
        </row>
        <row r="244">
          <cell r="LD244">
            <v>9.0545000000000009</v>
          </cell>
        </row>
        <row r="245">
          <cell r="LD245">
            <v>9.0047999999999995</v>
          </cell>
        </row>
        <row r="246">
          <cell r="LD246">
            <v>8.9268000000000001</v>
          </cell>
        </row>
        <row r="247">
          <cell r="LD247">
            <v>8.9503000000000004</v>
          </cell>
        </row>
        <row r="248">
          <cell r="LD248">
            <v>9.0458999999999996</v>
          </cell>
        </row>
        <row r="249">
          <cell r="LD249">
            <v>8.9802</v>
          </cell>
        </row>
        <row r="250">
          <cell r="LD250">
            <v>9.0795999999999992</v>
          </cell>
        </row>
        <row r="251">
          <cell r="LD251">
            <v>9.0737000000000005</v>
          </cell>
        </row>
        <row r="252">
          <cell r="LD252">
            <v>9.1100999999999992</v>
          </cell>
        </row>
        <row r="253">
          <cell r="LD253">
            <v>9.2146000000000008</v>
          </cell>
        </row>
        <row r="254">
          <cell r="LD254">
            <v>9.2483000000000004</v>
          </cell>
        </row>
        <row r="255">
          <cell r="LD255">
            <v>9.2116000000000007</v>
          </cell>
        </row>
        <row r="256">
          <cell r="LD256">
            <v>9.1638999999999999</v>
          </cell>
        </row>
        <row r="257">
          <cell r="LD257">
            <v>9.1905999999999999</v>
          </cell>
        </row>
        <row r="258">
          <cell r="LD258">
            <v>9.1341000000000001</v>
          </cell>
        </row>
        <row r="259">
          <cell r="LD259">
            <v>9.1562999999999999</v>
          </cell>
        </row>
        <row r="260">
          <cell r="LD260">
            <v>9.0238999999999994</v>
          </cell>
        </row>
        <row r="261">
          <cell r="LD261">
            <v>8.8988999999999994</v>
          </cell>
        </row>
        <row r="262">
          <cell r="LD262">
            <v>8.9297000000000004</v>
          </cell>
        </row>
        <row r="263">
          <cell r="LD263">
            <v>8.9243000000000006</v>
          </cell>
        </row>
        <row r="264">
          <cell r="LD264">
            <v>8.9766999999999992</v>
          </cell>
        </row>
        <row r="265">
          <cell r="LD265">
            <v>9.0970999999999993</v>
          </cell>
        </row>
        <row r="266">
          <cell r="LD266">
            <v>9.1820000000000004</v>
          </cell>
        </row>
        <row r="267">
          <cell r="LD267">
            <v>9.2485999999999997</v>
          </cell>
        </row>
        <row r="268">
          <cell r="LD268">
            <v>9.2323000000000004</v>
          </cell>
        </row>
        <row r="269">
          <cell r="LD269">
            <v>9.2531999999999996</v>
          </cell>
        </row>
        <row r="270">
          <cell r="LD270">
            <v>9.2569999999999997</v>
          </cell>
        </row>
        <row r="271">
          <cell r="LD271">
            <v>9.2585999999999995</v>
          </cell>
        </row>
        <row r="272">
          <cell r="LD272">
            <v>9.2866999999999997</v>
          </cell>
        </row>
        <row r="273">
          <cell r="LD273">
            <v>9.2943999999999996</v>
          </cell>
        </row>
        <row r="274">
          <cell r="LD274">
            <v>9.3009000000000004</v>
          </cell>
        </row>
        <row r="275">
          <cell r="LD275" t="str">
            <v>holiday</v>
          </cell>
        </row>
        <row r="276">
          <cell r="LD276">
            <v>9.2605000000000004</v>
          </cell>
        </row>
        <row r="277">
          <cell r="LD277">
            <v>9.1788000000000007</v>
          </cell>
        </row>
        <row r="278">
          <cell r="LD278">
            <v>9.2281999999999993</v>
          </cell>
        </row>
        <row r="279">
          <cell r="LD279">
            <v>9.1760999999999999</v>
          </cell>
        </row>
        <row r="280">
          <cell r="LD280">
            <v>9.2515000000000001</v>
          </cell>
        </row>
        <row r="281">
          <cell r="LD281">
            <v>9.1758000000000006</v>
          </cell>
        </row>
        <row r="282">
          <cell r="LD282">
            <v>9.1161999999999992</v>
          </cell>
        </row>
        <row r="283">
          <cell r="LD283">
            <v>9.1143000000000001</v>
          </cell>
        </row>
        <row r="284">
          <cell r="LD284">
            <v>9.1165000000000003</v>
          </cell>
        </row>
        <row r="285">
          <cell r="LD285">
            <v>9.1165000000000003</v>
          </cell>
        </row>
        <row r="286">
          <cell r="LD286">
            <v>9.0196000000000005</v>
          </cell>
        </row>
        <row r="287">
          <cell r="LD287">
            <v>9.0658999999999992</v>
          </cell>
        </row>
        <row r="288">
          <cell r="LD288">
            <v>9.0858000000000008</v>
          </cell>
        </row>
        <row r="289">
          <cell r="LD289">
            <v>9.0219000000000005</v>
          </cell>
        </row>
        <row r="290">
          <cell r="LD290">
            <v>8.8384</v>
          </cell>
        </row>
        <row r="291">
          <cell r="LD291">
            <v>8.8427000000000007</v>
          </cell>
        </row>
        <row r="292">
          <cell r="LD292">
            <v>8.8425999999999991</v>
          </cell>
        </row>
        <row r="293">
          <cell r="LD293">
            <v>8.8976000000000006</v>
          </cell>
        </row>
        <row r="294">
          <cell r="LD294">
            <v>8.8907000000000007</v>
          </cell>
        </row>
        <row r="295">
          <cell r="LD295">
            <v>8.9190000000000005</v>
          </cell>
        </row>
        <row r="296">
          <cell r="LD296">
            <v>8.8611000000000004</v>
          </cell>
        </row>
        <row r="297">
          <cell r="LD297">
            <v>8.8905999999999992</v>
          </cell>
        </row>
        <row r="298">
          <cell r="LD298">
            <v>8.8596000000000004</v>
          </cell>
        </row>
        <row r="299">
          <cell r="LD299">
            <v>8.7979000000000003</v>
          </cell>
        </row>
        <row r="300">
          <cell r="LD300">
            <v>8.8594000000000008</v>
          </cell>
        </row>
        <row r="301">
          <cell r="LD301">
            <v>8.9108999999999998</v>
          </cell>
        </row>
        <row r="302">
          <cell r="LD302">
            <v>8.9694000000000003</v>
          </cell>
        </row>
        <row r="303">
          <cell r="LD303">
            <v>8.8844999999999992</v>
          </cell>
        </row>
        <row r="304">
          <cell r="LD304">
            <v>8.9198000000000004</v>
          </cell>
        </row>
        <row r="305">
          <cell r="LD305">
            <v>8.9149999999999991</v>
          </cell>
        </row>
        <row r="306">
          <cell r="LD306">
            <v>8.8435000000000006</v>
          </cell>
        </row>
        <row r="307">
          <cell r="LD307">
            <v>8.9369999999999994</v>
          </cell>
        </row>
        <row r="308">
          <cell r="LD308">
            <v>8.8581000000000003</v>
          </cell>
        </row>
        <row r="309">
          <cell r="LD309">
            <v>8.9670000000000005</v>
          </cell>
        </row>
        <row r="310">
          <cell r="LD310">
            <v>9.0225000000000009</v>
          </cell>
        </row>
        <row r="311">
          <cell r="LD311">
            <v>9.0306999999999995</v>
          </cell>
        </row>
        <row r="312">
          <cell r="LD312">
            <v>9.1012000000000004</v>
          </cell>
        </row>
        <row r="313">
          <cell r="LD313">
            <v>8.9655000000000005</v>
          </cell>
        </row>
        <row r="314">
          <cell r="LD314">
            <v>9.0762999999999998</v>
          </cell>
        </row>
        <row r="315">
          <cell r="LD315">
            <v>9.0612999999999992</v>
          </cell>
        </row>
        <row r="316">
          <cell r="LD316">
            <v>8.8569999999999993</v>
          </cell>
        </row>
        <row r="317">
          <cell r="LD317">
            <v>8.8390000000000004</v>
          </cell>
        </row>
        <row r="318">
          <cell r="LD318">
            <v>8.8742999999999999</v>
          </cell>
        </row>
        <row r="319">
          <cell r="LD319">
            <v>8.8328000000000007</v>
          </cell>
        </row>
        <row r="320">
          <cell r="LD320">
            <v>8.8132000000000001</v>
          </cell>
        </row>
        <row r="321">
          <cell r="LD321">
            <v>8.8411000000000008</v>
          </cell>
        </row>
        <row r="322">
          <cell r="LD322">
            <v>8.6966000000000001</v>
          </cell>
        </row>
        <row r="323">
          <cell r="LD323">
            <v>8.7274999999999991</v>
          </cell>
        </row>
        <row r="324">
          <cell r="LD324">
            <v>8.6846999999999994</v>
          </cell>
        </row>
        <row r="325">
          <cell r="LD325">
            <v>8.6082999999999998</v>
          </cell>
        </row>
        <row r="326">
          <cell r="LD326">
            <v>8.5850000000000009</v>
          </cell>
        </row>
        <row r="327">
          <cell r="LD327">
            <v>8.5704999999999991</v>
          </cell>
        </row>
        <row r="328">
          <cell r="LD328">
            <v>8.5920000000000005</v>
          </cell>
        </row>
        <row r="329">
          <cell r="LD329">
            <v>8.5946999999999996</v>
          </cell>
        </row>
        <row r="330">
          <cell r="LD330">
            <v>8.5109999999999992</v>
          </cell>
        </row>
        <row r="331">
          <cell r="LD331">
            <v>8.4276999999999997</v>
          </cell>
        </row>
        <row r="332">
          <cell r="LD332" t="str">
            <v>holiday</v>
          </cell>
        </row>
      </sheetData>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ad Data"/>
      <sheetName val="LoadVector"/>
      <sheetName val="Load Calibration"/>
      <sheetName val="Suburban"/>
      <sheetName val="Township"/>
      <sheetName val="Commercial"/>
      <sheetName val="Industry"/>
      <sheetName val="Agric"/>
      <sheetName val="Transport"/>
      <sheetName val="SA_Demand"/>
      <sheetName val="OtherTables"/>
      <sheetName val="Regions"/>
      <sheetName val="Items"/>
      <sheetName val="Items2"/>
      <sheetName val="ItemsD"/>
      <sheetName val="TIDData1"/>
      <sheetName val="TIDData2"/>
      <sheetName val="TIDData3"/>
      <sheetName val="RES COMFR"/>
      <sheetName val="AGR COMFR"/>
      <sheetName val="COM COMFR"/>
      <sheetName val="IND COMFR"/>
      <sheetName val="TRA COMFR"/>
      <sheetName val="AFA"/>
      <sheetName val="LossesCali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7">
          <cell r="X7" t="str">
            <v xml:space="preserve">Industry </v>
          </cell>
          <cell r="Y7" t="str">
            <v>INDODS</v>
          </cell>
          <cell r="Z7" t="str">
            <v>IND</v>
          </cell>
          <cell r="AA7">
            <v>36.014976280799999</v>
          </cell>
        </row>
        <row r="8">
          <cell r="X8" t="str">
            <v xml:space="preserve">Industry </v>
          </cell>
          <cell r="Y8" t="str">
            <v>INDGAS</v>
          </cell>
          <cell r="AA8">
            <v>104.82035999999999</v>
          </cell>
        </row>
        <row r="9">
          <cell r="X9" t="str">
            <v xml:space="preserve">Agriculture </v>
          </cell>
          <cell r="Y9" t="str">
            <v>AGRODS</v>
          </cell>
          <cell r="AA9">
            <v>38.226119077199996</v>
          </cell>
        </row>
        <row r="10">
          <cell r="X10" t="str">
            <v xml:space="preserve">Agriculture </v>
          </cell>
          <cell r="Y10" t="str">
            <v>AGROGS</v>
          </cell>
          <cell r="AA10">
            <v>4.9641961086000004</v>
          </cell>
        </row>
        <row r="11">
          <cell r="X11" t="str">
            <v>Transport</v>
          </cell>
          <cell r="Y11" t="str">
            <v>TRAODS</v>
          </cell>
          <cell r="AA11">
            <v>250.61541389748552</v>
          </cell>
        </row>
        <row r="12">
          <cell r="X12" t="str">
            <v>Transport</v>
          </cell>
          <cell r="Y12" t="str">
            <v>TRAOGS</v>
          </cell>
          <cell r="AA12">
            <v>384.06297777186296</v>
          </cell>
        </row>
        <row r="13">
          <cell r="X13" t="str">
            <v>Power</v>
          </cell>
          <cell r="Y13" t="str">
            <v>PWRODS</v>
          </cell>
          <cell r="AA13">
            <v>21.6357</v>
          </cell>
        </row>
        <row r="14">
          <cell r="AA14" t="str">
            <v>SATIM</v>
          </cell>
        </row>
        <row r="15">
          <cell r="X15" t="str">
            <v>OGS</v>
          </cell>
          <cell r="Y15"/>
          <cell r="Z15"/>
          <cell r="AA15">
            <v>389.02717388046295</v>
          </cell>
        </row>
        <row r="16">
          <cell r="X16" t="str">
            <v>ODS</v>
          </cell>
          <cell r="Y16"/>
          <cell r="Z16"/>
          <cell r="AA16">
            <v>381.14143018103408</v>
          </cell>
        </row>
      </sheetData>
    </sheetDataSet>
  </externalBook>
</externalLink>
</file>

<file path=xl/persons/person.xml><?xml version="1.0" encoding="utf-8"?>
<personList xmlns="http://schemas.microsoft.com/office/spreadsheetml/2018/threadedcomments" xmlns:x="http://schemas.openxmlformats.org/spreadsheetml/2006/main">
  <person displayName="Bruno Merven" id="{E500B1BD-2FF0-4DFA-88F6-72D20CDE0583}" userId="Bruno Merven" providerId="None"/>
  <person displayName="bruno merven" id="{39BEAB33-522E-4FF7-A8C2-418D9E5A0410}" userId="144eb91ed0ec6402" providerId="Windows Live"/>
  <person displayName="Bruno Merven" id="{8B1FB5F6-C05B-4C45-A9FE-3B209CC95A5D}" userId="S::01405439@wf.uct.ac.za::c7f06137-2c3b-4c5c-8f38-fe1abbc9686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3" dT="2023-08-14T08:27:15.25" personId="{8B1FB5F6-C05B-4C45-A9FE-3B209CC95A5D}" id="{D4E3D0A9-A026-4E60-8205-5068650E6DD8}">
    <text>This looks ok, see: https://www.energy.gov.za/files/esources/petroleum/December2021/Basic-Fuel-Price.pdf</text>
    <extLst>
      <x:ext xmlns:xltc2="http://schemas.microsoft.com/office/spreadsheetml/2020/threadedcomments2" uri="{F7C98A9C-CBB3-438F-8F68-D28B6AF4A901}">
        <xltc2:checksum>3909590906</xltc2:checksum>
        <xltc2:hyperlink startIndex="20" length="84" url="https://www.energy.gov.za/files/esources/petroleum/December2021/Basic-Fuel-Price.pdf"/>
      </x:ext>
    </extLst>
  </threadedComment>
  <threadedComment ref="E54" dT="2021-04-07T08:55:07.46" personId="{E500B1BD-2FF0-4DFA-88F6-72D20CDE0583}" id="{0D627D3F-34ED-4758-AC67-0E90CB6B0E40}">
    <text>Use this cell to do any currency conversion adjustments.</text>
  </threadedComment>
  <threadedComment ref="F60" dT="2021-03-24T15:36:11.21" personId="{E500B1BD-2FF0-4DFA-88F6-72D20CDE0583}" id="{6CE4519E-0EE1-488E-A0B3-B71572AE46A3}">
    <text>from SUTCoal sheet in EB2017 google sheet. This includes transport costs, and then converted to 2022 Rands from 2017 rands.</text>
  </threadedComment>
  <threadedComment ref="K64" dT="2020-10-07T08:01:50.48" personId="{39BEAB33-522E-4FF7-A8C2-418D9E5A0410}" id="{8174276F-65FB-480C-9C32-A6C3A60A2E75}">
    <text>amount required to meet lower bound on production (calibrated on DEFF GHG Inventory)</text>
  </threadedComment>
  <threadedComment ref="P65" dT="2023-07-28T09:49:09.93" personId="{8B1FB5F6-C05B-4C45-A9FE-3B209CC95A5D}" id="{54934D05-AB8B-43EA-94D5-DA4230739148}">
    <text>https://www.offshore-technology.com/marketdata/oil-gas-field-profile-ibhubesi-conventional-gas-field-south-africa/</text>
    <extLst>
      <x:ext xmlns:xltc2="http://schemas.microsoft.com/office/spreadsheetml/2020/threadedcomments2" uri="{F7C98A9C-CBB3-438F-8F68-D28B6AF4A901}">
        <xltc2:checksum>735903094</xltc2:checksum>
        <xltc2:hyperlink startIndex="0" length="114" url="https://www.offshore-technology.com/marketdata/oil-gas-field-profile-ibhubesi-conventional-gas-field-south-africa/"/>
      </x:ext>
    </extLst>
  </threadedComment>
  <threadedComment ref="F69" dT="2023-08-14T09:39:46.85" personId="{8B1FB5F6-C05B-4C45-A9FE-3B209CC95A5D}" id="{2D025629-877F-4A51-97DF-4B63BC17F90B}">
    <text>Needs to be checked</text>
  </threadedComment>
  <threadedComment ref="F70" dT="2023-08-14T09:42:24.18" personId="{8B1FB5F6-C05B-4C45-A9FE-3B209CC95A5D}" id="{00B9291C-0286-423F-9703-F64CCB57F70F}">
    <text>Parity with coal in R/GJ assumed</text>
  </threadedComment>
  <threadedComment ref="F83" dT="2023-09-07T10:07:04.92" personId="{8B1FB5F6-C05B-4C45-A9FE-3B209CC95A5D}" id="{87179AE4-EC17-4370-98D7-F32C73BD771A}">
    <text>IRP 2019 costs adjusted to 2022</text>
  </threadedComment>
  <threadedComment ref="K86" dT="2023-09-20T09:30:23.94" personId="{8B1FB5F6-C05B-4C45-A9FE-3B209CC95A5D}" id="{E69A6D97-9056-4FB3-8A4E-00F5B2E78FD6}">
    <text>From EB</text>
  </threadedComment>
  <threadedComment ref="K87" dT="2023-09-20T09:30:52.75" personId="{8B1FB5F6-C05B-4C45-A9FE-3B209CC95A5D}" id="{F93D2D09-DC95-4216-81E9-77B6F290F34D}">
    <text>From EB</text>
  </threadedComment>
  <threadedComment ref="K89" dT="2023-09-21T12:35:03.21" personId="{8B1FB5F6-C05B-4C45-A9FE-3B209CC95A5D}" id="{8598790D-79A8-4FAB-8E0F-9A4DEE58CC36}">
    <text>Net imports from EB</text>
  </threadedComment>
  <threadedComment ref="K90" dT="2023-09-20T10:17:52.15" personId="{8B1FB5F6-C05B-4C45-A9FE-3B209CC95A5D}" id="{2FB1C6F0-AD57-4E16-BFAC-B7DB9955D691}">
    <text>From energy balance</text>
  </threadedComment>
  <threadedComment ref="K94" dT="2023-09-20T08:41:00.65" personId="{8B1FB5F6-C05B-4C45-A9FE-3B209CC95A5D}" id="{B0A60D28-BB18-4A91-9004-62133F119943}">
    <text>From gas balance</text>
  </threadedComment>
  <threadedComment ref="F95" dT="2023-08-14T09:36:51.53" personId="{8B1FB5F6-C05B-4C45-A9FE-3B209CC95A5D}" id="{E56230BC-BD11-4915-915B-9473750B9EC2}">
    <text>LNG price minus liquefaction costs</text>
  </threadedComment>
</ThreadedComments>
</file>

<file path=xl/threadedComments/threadedComment2.xml><?xml version="1.0" encoding="utf-8"?>
<ThreadedComments xmlns="http://schemas.microsoft.com/office/spreadsheetml/2018/threadedcomments" xmlns:x="http://schemas.openxmlformats.org/spreadsheetml/2006/main">
  <threadedComment ref="M19" dT="2023-08-15T09:32:56.97" personId="{8B1FB5F6-C05B-4C45-A9FE-3B209CC95A5D}" id="{550A2089-0999-4171-A490-3DF5B755EB72}">
    <text>Hunt 2023</text>
  </threadedComment>
  <threadedComment ref="O19" dT="2023-08-15T09:39:39.94" personId="{8B1FB5F6-C05B-4C45-A9FE-3B209CC95A5D}" id="{51431315-775B-4823-9525-A1C37E319A30}">
    <text>FSRU rate of 250,000 USD/day Hunt 2023</text>
  </threadedComment>
  <threadedComment ref="M20" dT="2023-08-15T11:23:43.58" personId="{8B1FB5F6-C05B-4C45-A9FE-3B209CC95A5D}" id="{8475357F-4B41-429D-8768-41B15F68D2DD}">
    <text>From Poten estimate via Sasol</text>
  </threadedComment>
</ThreadedComments>
</file>

<file path=xl/threadedComments/threadedComment3.xml><?xml version="1.0" encoding="utf-8"?>
<ThreadedComments xmlns="http://schemas.microsoft.com/office/spreadsheetml/2018/threadedcomments" xmlns:x="http://schemas.openxmlformats.org/spreadsheetml/2006/main">
  <threadedComment ref="J6" dT="2023-08-15T11:37:10.47" personId="{8B1FB5F6-C05B-4C45-A9FE-3B209CC95A5D}" id="{2B0CA28E-DAD9-4DD9-8216-72129FA150D1}">
    <text>Richard's Bay to Secunda line from Sasol for 160 PJ Capacity (adjusted for 2018-2022)</text>
  </threadedComment>
  <threadedComment ref="J8" dT="2023-08-15T11:23:27.83" personId="{8B1FB5F6-C05B-4C45-A9FE-3B209CC95A5D}" id="{4B0A52FF-8F7F-4370-96F3-E62869F72766}">
    <text>5b$ estimate for pipeline - 500PJ</text>
  </threadedComment>
</ThreadedComments>
</file>

<file path=xl/threadedComments/threadedComment4.xml><?xml version="1.0" encoding="utf-8"?>
<ThreadedComments xmlns="http://schemas.microsoft.com/office/spreadsheetml/2018/threadedcomments" xmlns:x="http://schemas.openxmlformats.org/spreadsheetml/2006/main">
  <threadedComment ref="CM94" dT="2021-03-23T15:18:43.85" personId="{E500B1BD-2FF0-4DFA-88F6-72D20CDE0583}" id="{081AF5F1-6968-4068-99D8-72B04889E4E0}">
    <text>average of Jan and Feb 2021</text>
  </threadedComment>
  <threadedComment ref="CK99" dT="2021-03-23T15:42:46.98" personId="{E500B1BD-2FF0-4DFA-88F6-72D20CDE0583}" id="{56967827-8576-4C43-9CE7-1996777969C9}">
    <text>Note, we're using 2021 as proxy for 2020, which is an outlier for interpolation purposes.</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6.bin"/><Relationship Id="rId1" Type="http://schemas.openxmlformats.org/officeDocument/2006/relationships/hyperlink" Target="http://www.energy.gov.za/files/media/explained/energy_price_report2010.PDF" TargetMode="External"/><Relationship Id="rId6" Type="http://schemas.microsoft.com/office/2017/10/relationships/threadedComment" Target="../threadedComments/threadedComment1.xml"/><Relationship Id="rId5" Type="http://schemas.openxmlformats.org/officeDocument/2006/relationships/comments" Target="../comments2.xml"/><Relationship Id="rId4"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7.bin"/><Relationship Id="rId5" Type="http://schemas.microsoft.com/office/2017/10/relationships/threadedComment" Target="../threadedComments/threadedComment2.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8.bin"/><Relationship Id="rId4" Type="http://schemas.microsoft.com/office/2017/10/relationships/threadedComment" Target="../threadedComments/threadedComment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9.bin"/><Relationship Id="rId4" Type="http://schemas.openxmlformats.org/officeDocument/2006/relationships/comments" Target="../comments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hyperlink" Target="http://www.energy.gov.za/files/petroleum_frame.html" TargetMode="External"/><Relationship Id="rId1" Type="http://schemas.openxmlformats.org/officeDocument/2006/relationships/hyperlink" Target="http://www.politicsweb.co.za/politicsweb/view/politicsweb/en/page71654?oid=290797&amp;sn=Detail&amp;pid=71654" TargetMode="Externa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11.bin"/><Relationship Id="rId5" Type="http://schemas.microsoft.com/office/2017/10/relationships/threadedComment" Target="../threadedComments/threadedComment4.xml"/><Relationship Id="rId4" Type="http://schemas.openxmlformats.org/officeDocument/2006/relationships/comments" Target="../comments7.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printerSettings" Target="../printerSettings/printerSettings12.bin"/><Relationship Id="rId1" Type="http://schemas.openxmlformats.org/officeDocument/2006/relationships/hyperlink" Target="http://search.worldbank.org/data?qterm=gdp%20deflator%20%22south%20africa%22&amp;language=EN" TargetMode="External"/><Relationship Id="rId4" Type="http://schemas.openxmlformats.org/officeDocument/2006/relationships/comments" Target="../comments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0018D-BA38-4074-85CF-14C65CE962FC}">
  <sheetPr codeName="Sheet1">
    <tabColor rgb="FFFF0000"/>
  </sheetPr>
  <dimension ref="A1"/>
  <sheetViews>
    <sheetView workbookViewId="0">
      <selection activeCell="D2" sqref="D2"/>
    </sheetView>
  </sheetViews>
  <sheetFormatPr defaultRowHeight="15" x14ac:dyDescent="0.25"/>
  <cols>
    <col min="1" max="1" width="23.28515625" customWidth="1"/>
    <col min="2" max="2" width="28.42578125" customWidth="1"/>
    <col min="3" max="10" width="15.7109375" customWidth="1"/>
    <col min="11" max="12" width="14.28515625" customWidth="1"/>
  </cols>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DF4B55-CCB6-480E-BCDC-C9CB88EEF359}">
  <sheetPr codeName="Sheet2">
    <tabColor rgb="FFFFFF00"/>
  </sheetPr>
  <dimension ref="A1:D121"/>
  <sheetViews>
    <sheetView workbookViewId="0"/>
  </sheetViews>
  <sheetFormatPr defaultColWidth="9.28515625" defaultRowHeight="15" x14ac:dyDescent="0.25"/>
  <cols>
    <col min="1" max="1" width="145.5703125" customWidth="1"/>
    <col min="2" max="2" width="18.7109375" customWidth="1"/>
  </cols>
  <sheetData>
    <row r="1" spans="1:3" ht="18.75" x14ac:dyDescent="0.3">
      <c r="A1" s="3" t="s">
        <v>12</v>
      </c>
    </row>
    <row r="2" spans="1:3" x14ac:dyDescent="0.25">
      <c r="A2" s="4" t="s">
        <v>13</v>
      </c>
    </row>
    <row r="3" spans="1:3" x14ac:dyDescent="0.25">
      <c r="A3" s="5" t="s">
        <v>14</v>
      </c>
      <c r="B3" s="5" t="s">
        <v>15</v>
      </c>
      <c r="C3" s="5" t="s">
        <v>16</v>
      </c>
    </row>
    <row r="4" spans="1:3" x14ac:dyDescent="0.25">
      <c r="A4" s="6" t="s">
        <v>17</v>
      </c>
      <c r="B4" s="7">
        <v>41344.704870833331</v>
      </c>
      <c r="C4" s="8" t="s">
        <v>18</v>
      </c>
    </row>
    <row r="5" spans="1:3" ht="30" x14ac:dyDescent="0.25">
      <c r="A5" s="6" t="s">
        <v>19</v>
      </c>
      <c r="B5" s="7">
        <v>41344.704870833331</v>
      </c>
      <c r="C5" s="8" t="s">
        <v>18</v>
      </c>
    </row>
    <row r="6" spans="1:3" x14ac:dyDescent="0.25">
      <c r="A6" s="6" t="s">
        <v>20</v>
      </c>
      <c r="B6" s="7">
        <v>41347.449376504628</v>
      </c>
      <c r="C6" s="8" t="s">
        <v>18</v>
      </c>
    </row>
    <row r="7" spans="1:3" x14ac:dyDescent="0.25">
      <c r="A7" s="6" t="s">
        <v>21</v>
      </c>
      <c r="B7" s="7">
        <v>41347.449376504628</v>
      </c>
      <c r="C7" s="8" t="s">
        <v>18</v>
      </c>
    </row>
    <row r="8" spans="1:3" x14ac:dyDescent="0.25">
      <c r="A8" s="6" t="s">
        <v>22</v>
      </c>
      <c r="B8" s="7">
        <v>41347.449376504628</v>
      </c>
      <c r="C8" s="8" t="s">
        <v>18</v>
      </c>
    </row>
    <row r="9" spans="1:3" x14ac:dyDescent="0.25">
      <c r="A9" s="6" t="s">
        <v>23</v>
      </c>
      <c r="B9" s="7">
        <v>41347.449376504628</v>
      </c>
      <c r="C9" s="8" t="s">
        <v>18</v>
      </c>
    </row>
    <row r="10" spans="1:3" x14ac:dyDescent="0.25">
      <c r="A10" s="6" t="s">
        <v>24</v>
      </c>
      <c r="B10" s="7">
        <v>41347.449376504628</v>
      </c>
      <c r="C10" s="8" t="s">
        <v>18</v>
      </c>
    </row>
    <row r="11" spans="1:3" x14ac:dyDescent="0.25">
      <c r="A11" s="6" t="s">
        <v>25</v>
      </c>
      <c r="B11" s="9">
        <v>41456</v>
      </c>
      <c r="C11" s="10" t="s">
        <v>26</v>
      </c>
    </row>
    <row r="12" spans="1:3" x14ac:dyDescent="0.25">
      <c r="A12" s="6" t="s">
        <v>27</v>
      </c>
      <c r="C12" s="11"/>
    </row>
    <row r="13" spans="1:3" x14ac:dyDescent="0.25">
      <c r="A13" s="6" t="s">
        <v>28</v>
      </c>
      <c r="C13" s="11"/>
    </row>
    <row r="14" spans="1:3" x14ac:dyDescent="0.25">
      <c r="A14" s="6" t="s">
        <v>29</v>
      </c>
      <c r="B14" s="12">
        <v>41481</v>
      </c>
      <c r="C14" s="11" t="s">
        <v>26</v>
      </c>
    </row>
    <row r="15" spans="1:3" x14ac:dyDescent="0.25">
      <c r="A15" s="6" t="s">
        <v>30</v>
      </c>
      <c r="B15" s="13"/>
      <c r="C15" s="14"/>
    </row>
    <row r="16" spans="1:3" x14ac:dyDescent="0.25">
      <c r="A16" s="6" t="s">
        <v>31</v>
      </c>
      <c r="B16" s="12">
        <v>41491</v>
      </c>
      <c r="C16" s="15" t="s">
        <v>32</v>
      </c>
    </row>
    <row r="17" spans="1:3" x14ac:dyDescent="0.25">
      <c r="A17" s="16" t="s">
        <v>33</v>
      </c>
      <c r="B17" s="12">
        <v>41499</v>
      </c>
      <c r="C17" s="11" t="s">
        <v>32</v>
      </c>
    </row>
    <row r="18" spans="1:3" ht="30" x14ac:dyDescent="0.25">
      <c r="A18" s="6" t="s">
        <v>34</v>
      </c>
      <c r="B18" s="12">
        <v>41500</v>
      </c>
      <c r="C18" s="14" t="s">
        <v>32</v>
      </c>
    </row>
    <row r="19" spans="1:3" ht="30" x14ac:dyDescent="0.25">
      <c r="A19" s="17" t="s">
        <v>35</v>
      </c>
      <c r="B19" s="18" t="s">
        <v>36</v>
      </c>
      <c r="C19" s="17" t="s">
        <v>32</v>
      </c>
    </row>
    <row r="21" spans="1:3" x14ac:dyDescent="0.25">
      <c r="A21" s="19" t="s">
        <v>37</v>
      </c>
      <c r="B21" s="18">
        <v>41589.665909722222</v>
      </c>
      <c r="C21" t="s">
        <v>26</v>
      </c>
    </row>
    <row r="23" spans="1:3" x14ac:dyDescent="0.25">
      <c r="A23" t="s">
        <v>38</v>
      </c>
      <c r="B23" s="18">
        <v>41597.58110949074</v>
      </c>
      <c r="C23" t="s">
        <v>32</v>
      </c>
    </row>
    <row r="24" spans="1:3" x14ac:dyDescent="0.25">
      <c r="A24" t="s">
        <v>39</v>
      </c>
      <c r="B24" s="18">
        <v>41765.779536921298</v>
      </c>
      <c r="C24" t="s">
        <v>32</v>
      </c>
    </row>
    <row r="26" spans="1:3" x14ac:dyDescent="0.25">
      <c r="B26" s="18">
        <f ca="1">NOW()</f>
        <v>45195.534187152778</v>
      </c>
    </row>
    <row r="28" spans="1:3" x14ac:dyDescent="0.25">
      <c r="A28" t="s">
        <v>40</v>
      </c>
      <c r="B28" s="20">
        <v>41858</v>
      </c>
      <c r="C28" t="s">
        <v>26</v>
      </c>
    </row>
    <row r="29" spans="1:3" x14ac:dyDescent="0.25">
      <c r="A29" s="21" t="s">
        <v>41</v>
      </c>
    </row>
    <row r="30" spans="1:3" x14ac:dyDescent="0.25">
      <c r="A30" t="s">
        <v>42</v>
      </c>
    </row>
    <row r="31" spans="1:3" x14ac:dyDescent="0.25">
      <c r="A31" t="s">
        <v>43</v>
      </c>
    </row>
    <row r="32" spans="1:3" x14ac:dyDescent="0.25">
      <c r="A32" t="s">
        <v>44</v>
      </c>
    </row>
    <row r="33" spans="1:3" x14ac:dyDescent="0.25">
      <c r="A33" t="s">
        <v>45</v>
      </c>
    </row>
    <row r="34" spans="1:3" x14ac:dyDescent="0.25">
      <c r="A34" t="s">
        <v>46</v>
      </c>
    </row>
    <row r="35" spans="1:3" x14ac:dyDescent="0.25">
      <c r="A35" t="s">
        <v>47</v>
      </c>
    </row>
    <row r="36" spans="1:3" x14ac:dyDescent="0.25">
      <c r="A36" t="s">
        <v>48</v>
      </c>
    </row>
    <row r="37" spans="1:3" x14ac:dyDescent="0.25">
      <c r="A37" t="s">
        <v>49</v>
      </c>
    </row>
    <row r="38" spans="1:3" x14ac:dyDescent="0.25">
      <c r="A38" t="s">
        <v>50</v>
      </c>
    </row>
    <row r="39" spans="1:3" x14ac:dyDescent="0.25">
      <c r="A39" t="s">
        <v>51</v>
      </c>
    </row>
    <row r="40" spans="1:3" x14ac:dyDescent="0.25">
      <c r="A40" t="s">
        <v>52</v>
      </c>
    </row>
    <row r="41" spans="1:3" x14ac:dyDescent="0.25">
      <c r="A41" t="s">
        <v>53</v>
      </c>
    </row>
    <row r="43" spans="1:3" x14ac:dyDescent="0.25">
      <c r="A43" t="s">
        <v>54</v>
      </c>
      <c r="B43" s="12">
        <v>41866</v>
      </c>
      <c r="C43" t="s">
        <v>55</v>
      </c>
    </row>
    <row r="44" spans="1:3" x14ac:dyDescent="0.25">
      <c r="A44" t="s">
        <v>56</v>
      </c>
      <c r="B44" s="12">
        <v>41866</v>
      </c>
      <c r="C44" t="s">
        <v>26</v>
      </c>
    </row>
    <row r="45" spans="1:3" x14ac:dyDescent="0.25">
      <c r="A45" t="s">
        <v>57</v>
      </c>
      <c r="B45" s="12">
        <v>41869</v>
      </c>
      <c r="C45" t="s">
        <v>26</v>
      </c>
    </row>
    <row r="46" spans="1:3" x14ac:dyDescent="0.25">
      <c r="A46" t="s">
        <v>58</v>
      </c>
    </row>
    <row r="48" spans="1:3" x14ac:dyDescent="0.25">
      <c r="A48" t="s">
        <v>59</v>
      </c>
      <c r="B48" s="12">
        <v>42059</v>
      </c>
      <c r="C48" t="s">
        <v>26</v>
      </c>
    </row>
    <row r="49" spans="1:3" x14ac:dyDescent="0.25">
      <c r="A49" t="s">
        <v>60</v>
      </c>
      <c r="B49" s="22">
        <v>42064</v>
      </c>
      <c r="C49" t="s">
        <v>26</v>
      </c>
    </row>
    <row r="50" spans="1:3" x14ac:dyDescent="0.25">
      <c r="A50" t="s">
        <v>61</v>
      </c>
      <c r="B50" s="22">
        <v>42064</v>
      </c>
      <c r="C50" t="s">
        <v>26</v>
      </c>
    </row>
    <row r="52" spans="1:3" x14ac:dyDescent="0.25">
      <c r="A52" t="s">
        <v>62</v>
      </c>
      <c r="B52" s="22">
        <v>42064</v>
      </c>
      <c r="C52" t="s">
        <v>26</v>
      </c>
    </row>
    <row r="53" spans="1:3" x14ac:dyDescent="0.25">
      <c r="A53" t="s">
        <v>63</v>
      </c>
    </row>
    <row r="54" spans="1:3" x14ac:dyDescent="0.25">
      <c r="A54" t="s">
        <v>64</v>
      </c>
    </row>
    <row r="55" spans="1:3" x14ac:dyDescent="0.25">
      <c r="A55" t="s">
        <v>65</v>
      </c>
    </row>
    <row r="56" spans="1:3" x14ac:dyDescent="0.25">
      <c r="A56" t="s">
        <v>66</v>
      </c>
    </row>
    <row r="57" spans="1:3" x14ac:dyDescent="0.25">
      <c r="A57" t="s">
        <v>67</v>
      </c>
    </row>
    <row r="58" spans="1:3" x14ac:dyDescent="0.25">
      <c r="A58" t="s">
        <v>68</v>
      </c>
    </row>
    <row r="60" spans="1:3" x14ac:dyDescent="0.25">
      <c r="A60" t="s">
        <v>69</v>
      </c>
      <c r="B60" s="23">
        <v>42090</v>
      </c>
      <c r="C60" t="s">
        <v>26</v>
      </c>
    </row>
    <row r="61" spans="1:3" x14ac:dyDescent="0.25">
      <c r="A61" t="s">
        <v>70</v>
      </c>
    </row>
    <row r="63" spans="1:3" x14ac:dyDescent="0.25">
      <c r="A63" t="s">
        <v>71</v>
      </c>
      <c r="B63" s="12">
        <v>42108</v>
      </c>
      <c r="C63" t="s">
        <v>26</v>
      </c>
    </row>
    <row r="65" spans="1:4" x14ac:dyDescent="0.25">
      <c r="A65" t="s">
        <v>72</v>
      </c>
      <c r="B65" s="12">
        <v>42109</v>
      </c>
      <c r="C65" t="s">
        <v>26</v>
      </c>
    </row>
    <row r="67" spans="1:4" x14ac:dyDescent="0.25">
      <c r="A67" t="s">
        <v>73</v>
      </c>
      <c r="B67" s="12">
        <v>42135</v>
      </c>
      <c r="C67" t="s">
        <v>74</v>
      </c>
    </row>
    <row r="69" spans="1:4" x14ac:dyDescent="0.25">
      <c r="A69" t="s">
        <v>75</v>
      </c>
      <c r="B69" s="20">
        <v>42534</v>
      </c>
      <c r="C69" t="s">
        <v>76</v>
      </c>
    </row>
    <row r="70" spans="1:4" ht="30" x14ac:dyDescent="0.25">
      <c r="A70" s="19" t="s">
        <v>77</v>
      </c>
      <c r="B70" s="20">
        <v>42767</v>
      </c>
      <c r="C70" t="s">
        <v>76</v>
      </c>
    </row>
    <row r="71" spans="1:4" x14ac:dyDescent="0.25">
      <c r="A71" t="s">
        <v>78</v>
      </c>
      <c r="B71" t="s">
        <v>79</v>
      </c>
      <c r="C71" t="s">
        <v>80</v>
      </c>
    </row>
    <row r="73" spans="1:4" x14ac:dyDescent="0.25">
      <c r="A73" t="s">
        <v>81</v>
      </c>
      <c r="B73" s="20">
        <v>43124</v>
      </c>
      <c r="C73" t="s">
        <v>82</v>
      </c>
    </row>
    <row r="75" spans="1:4" x14ac:dyDescent="0.25">
      <c r="A75" t="s">
        <v>83</v>
      </c>
      <c r="B75" s="20">
        <v>43862</v>
      </c>
      <c r="C75" s="24" t="s">
        <v>32</v>
      </c>
      <c r="D75" t="s">
        <v>84</v>
      </c>
    </row>
    <row r="76" spans="1:4" x14ac:dyDescent="0.25">
      <c r="A76" t="s">
        <v>85</v>
      </c>
      <c r="B76" s="20">
        <v>43862</v>
      </c>
      <c r="C76" s="24" t="s">
        <v>32</v>
      </c>
      <c r="D76" t="s">
        <v>84</v>
      </c>
    </row>
    <row r="77" spans="1:4" x14ac:dyDescent="0.25">
      <c r="B77" t="s">
        <v>86</v>
      </c>
    </row>
    <row r="78" spans="1:4" ht="30" x14ac:dyDescent="0.25">
      <c r="A78" s="25" t="s">
        <v>87</v>
      </c>
      <c r="B78" s="20">
        <v>44007.689838194441</v>
      </c>
      <c r="C78" s="24" t="s">
        <v>32</v>
      </c>
      <c r="D78" t="s">
        <v>88</v>
      </c>
    </row>
    <row r="80" spans="1:4" ht="30" x14ac:dyDescent="0.25">
      <c r="A80" s="25" t="s">
        <v>89</v>
      </c>
      <c r="B80" s="20">
        <v>44029.689837962964</v>
      </c>
      <c r="C80" t="s">
        <v>32</v>
      </c>
      <c r="D80" t="s">
        <v>88</v>
      </c>
    </row>
    <row r="81" spans="1:4" x14ac:dyDescent="0.25">
      <c r="A81" t="s">
        <v>90</v>
      </c>
      <c r="B81" t="s">
        <v>91</v>
      </c>
      <c r="C81" t="s">
        <v>26</v>
      </c>
      <c r="D81" t="s">
        <v>88</v>
      </c>
    </row>
    <row r="82" spans="1:4" x14ac:dyDescent="0.25">
      <c r="A82" t="s">
        <v>92</v>
      </c>
      <c r="B82" s="20">
        <v>44276</v>
      </c>
      <c r="C82" t="s">
        <v>26</v>
      </c>
      <c r="D82" t="s">
        <v>93</v>
      </c>
    </row>
    <row r="83" spans="1:4" x14ac:dyDescent="0.25">
      <c r="A83" s="25" t="s">
        <v>94</v>
      </c>
      <c r="B83" s="20">
        <v>44276</v>
      </c>
      <c r="C83" t="s">
        <v>26</v>
      </c>
      <c r="D83" t="s">
        <v>93</v>
      </c>
    </row>
    <row r="84" spans="1:4" x14ac:dyDescent="0.25">
      <c r="A84" t="s">
        <v>95</v>
      </c>
      <c r="B84" s="20">
        <v>44278</v>
      </c>
      <c r="C84" t="s">
        <v>26</v>
      </c>
      <c r="D84" t="s">
        <v>93</v>
      </c>
    </row>
    <row r="85" spans="1:4" x14ac:dyDescent="0.25">
      <c r="A85" t="s">
        <v>96</v>
      </c>
      <c r="B85" s="20">
        <v>44293</v>
      </c>
      <c r="C85" t="s">
        <v>26</v>
      </c>
      <c r="D85" t="s">
        <v>93</v>
      </c>
    </row>
    <row r="86" spans="1:4" x14ac:dyDescent="0.25">
      <c r="A86" t="s">
        <v>97</v>
      </c>
      <c r="B86" s="20">
        <v>44294</v>
      </c>
      <c r="C86" t="s">
        <v>26</v>
      </c>
      <c r="D86" t="s">
        <v>93</v>
      </c>
    </row>
    <row r="87" spans="1:4" x14ac:dyDescent="0.25">
      <c r="A87" t="s">
        <v>98</v>
      </c>
      <c r="B87" s="20">
        <v>44294</v>
      </c>
      <c r="C87" t="s">
        <v>26</v>
      </c>
      <c r="D87" t="s">
        <v>93</v>
      </c>
    </row>
    <row r="88" spans="1:4" x14ac:dyDescent="0.25">
      <c r="A88" t="s">
        <v>99</v>
      </c>
      <c r="B88" s="20">
        <v>44294</v>
      </c>
      <c r="C88" t="s">
        <v>76</v>
      </c>
      <c r="D88" t="s">
        <v>93</v>
      </c>
    </row>
    <row r="89" spans="1:4" x14ac:dyDescent="0.25">
      <c r="A89" t="s">
        <v>100</v>
      </c>
      <c r="B89" s="20">
        <v>44295</v>
      </c>
      <c r="C89" t="s">
        <v>76</v>
      </c>
      <c r="D89" t="s">
        <v>93</v>
      </c>
    </row>
    <row r="90" spans="1:4" x14ac:dyDescent="0.25">
      <c r="A90" t="s">
        <v>101</v>
      </c>
      <c r="B90" s="20">
        <v>44295</v>
      </c>
      <c r="C90" t="s">
        <v>76</v>
      </c>
      <c r="D90" t="s">
        <v>93</v>
      </c>
    </row>
    <row r="91" spans="1:4" x14ac:dyDescent="0.25">
      <c r="A91" s="26" t="s">
        <v>102</v>
      </c>
      <c r="B91" s="20">
        <v>44295</v>
      </c>
      <c r="C91" t="s">
        <v>76</v>
      </c>
      <c r="D91" t="s">
        <v>93</v>
      </c>
    </row>
    <row r="92" spans="1:4" x14ac:dyDescent="0.25">
      <c r="A92" t="s">
        <v>103</v>
      </c>
      <c r="B92" s="20">
        <v>44295</v>
      </c>
      <c r="C92" t="s">
        <v>76</v>
      </c>
      <c r="D92" t="s">
        <v>93</v>
      </c>
    </row>
    <row r="93" spans="1:4" x14ac:dyDescent="0.25">
      <c r="A93" t="s">
        <v>104</v>
      </c>
      <c r="B93" s="20">
        <v>44295</v>
      </c>
      <c r="C93" t="s">
        <v>76</v>
      </c>
      <c r="D93" t="s">
        <v>93</v>
      </c>
    </row>
    <row r="94" spans="1:4" x14ac:dyDescent="0.25">
      <c r="A94" t="s">
        <v>105</v>
      </c>
      <c r="B94" s="20">
        <v>44295</v>
      </c>
      <c r="C94" t="s">
        <v>76</v>
      </c>
      <c r="D94" t="s">
        <v>93</v>
      </c>
    </row>
    <row r="95" spans="1:4" x14ac:dyDescent="0.25">
      <c r="A95" t="s">
        <v>106</v>
      </c>
      <c r="B95" s="20">
        <v>44295</v>
      </c>
      <c r="C95" t="s">
        <v>76</v>
      </c>
      <c r="D95" t="s">
        <v>93</v>
      </c>
    </row>
    <row r="96" spans="1:4" x14ac:dyDescent="0.25">
      <c r="A96" t="s">
        <v>107</v>
      </c>
      <c r="B96" s="20">
        <v>44295</v>
      </c>
      <c r="C96" t="s">
        <v>76</v>
      </c>
      <c r="D96" t="s">
        <v>93</v>
      </c>
    </row>
    <row r="97" spans="1:4" x14ac:dyDescent="0.25">
      <c r="A97" t="s">
        <v>108</v>
      </c>
      <c r="B97" s="20">
        <v>44295</v>
      </c>
      <c r="C97" t="s">
        <v>76</v>
      </c>
      <c r="D97" t="s">
        <v>93</v>
      </c>
    </row>
    <row r="98" spans="1:4" x14ac:dyDescent="0.25">
      <c r="A98" t="s">
        <v>109</v>
      </c>
      <c r="B98" s="20">
        <v>44295</v>
      </c>
      <c r="C98" t="s">
        <v>76</v>
      </c>
      <c r="D98" t="s">
        <v>93</v>
      </c>
    </row>
    <row r="99" spans="1:4" x14ac:dyDescent="0.25">
      <c r="A99" t="s">
        <v>110</v>
      </c>
      <c r="B99" s="20">
        <v>44296</v>
      </c>
      <c r="C99" t="s">
        <v>76</v>
      </c>
      <c r="D99" t="s">
        <v>93</v>
      </c>
    </row>
    <row r="100" spans="1:4" x14ac:dyDescent="0.25">
      <c r="A100" t="s">
        <v>111</v>
      </c>
      <c r="B100" s="20">
        <v>44297</v>
      </c>
      <c r="C100" t="s">
        <v>76</v>
      </c>
      <c r="D100" t="s">
        <v>93</v>
      </c>
    </row>
    <row r="101" spans="1:4" x14ac:dyDescent="0.25">
      <c r="A101" t="s">
        <v>112</v>
      </c>
      <c r="B101" s="20">
        <v>44308</v>
      </c>
      <c r="C101" t="s">
        <v>76</v>
      </c>
      <c r="D101" t="s">
        <v>93</v>
      </c>
    </row>
    <row r="102" spans="1:4" x14ac:dyDescent="0.25">
      <c r="A102" t="s">
        <v>113</v>
      </c>
      <c r="B102" s="20">
        <v>44308</v>
      </c>
      <c r="C102" t="s">
        <v>76</v>
      </c>
      <c r="D102" t="s">
        <v>93</v>
      </c>
    </row>
    <row r="103" spans="1:4" x14ac:dyDescent="0.25">
      <c r="A103" t="s">
        <v>114</v>
      </c>
      <c r="B103" s="20">
        <v>44308</v>
      </c>
      <c r="C103" t="s">
        <v>76</v>
      </c>
      <c r="D103" t="s">
        <v>93</v>
      </c>
    </row>
    <row r="104" spans="1:4" ht="30" x14ac:dyDescent="0.25">
      <c r="A104" s="19" t="s">
        <v>115</v>
      </c>
      <c r="B104" s="20">
        <v>44317</v>
      </c>
      <c r="C104" t="s">
        <v>116</v>
      </c>
      <c r="D104" t="s">
        <v>93</v>
      </c>
    </row>
    <row r="105" spans="1:4" x14ac:dyDescent="0.25">
      <c r="A105" t="s">
        <v>117</v>
      </c>
      <c r="B105" s="20">
        <v>44321</v>
      </c>
      <c r="C105" t="s">
        <v>76</v>
      </c>
      <c r="D105" t="s">
        <v>93</v>
      </c>
    </row>
    <row r="106" spans="1:4" x14ac:dyDescent="0.25">
      <c r="A106" t="s">
        <v>118</v>
      </c>
      <c r="B106" s="20">
        <v>44322</v>
      </c>
      <c r="C106" t="s">
        <v>76</v>
      </c>
      <c r="D106" t="s">
        <v>93</v>
      </c>
    </row>
    <row r="107" spans="1:4" x14ac:dyDescent="0.25">
      <c r="A107" t="s">
        <v>119</v>
      </c>
      <c r="B107" s="20">
        <v>44327</v>
      </c>
      <c r="C107" t="s">
        <v>26</v>
      </c>
      <c r="D107" t="s">
        <v>93</v>
      </c>
    </row>
    <row r="108" spans="1:4" x14ac:dyDescent="0.25">
      <c r="A108" t="s">
        <v>120</v>
      </c>
      <c r="B108" s="20">
        <v>44328</v>
      </c>
      <c r="C108" t="s">
        <v>76</v>
      </c>
      <c r="D108" t="s">
        <v>93</v>
      </c>
    </row>
    <row r="109" spans="1:4" x14ac:dyDescent="0.25">
      <c r="A109" t="s">
        <v>121</v>
      </c>
      <c r="B109" s="20">
        <v>44372</v>
      </c>
      <c r="C109" t="s">
        <v>26</v>
      </c>
      <c r="D109" t="s">
        <v>93</v>
      </c>
    </row>
    <row r="110" spans="1:4" x14ac:dyDescent="0.25">
      <c r="A110" t="s">
        <v>122</v>
      </c>
      <c r="B110" s="20">
        <v>44373</v>
      </c>
      <c r="C110" t="s">
        <v>26</v>
      </c>
      <c r="D110" t="s">
        <v>93</v>
      </c>
    </row>
    <row r="111" spans="1:4" x14ac:dyDescent="0.25">
      <c r="A111" t="s">
        <v>123</v>
      </c>
      <c r="B111" s="20">
        <v>44406</v>
      </c>
      <c r="C111" t="s">
        <v>26</v>
      </c>
      <c r="D111" t="s">
        <v>93</v>
      </c>
    </row>
    <row r="112" spans="1:4" x14ac:dyDescent="0.25">
      <c r="A112" t="s">
        <v>124</v>
      </c>
      <c r="B112" s="20">
        <v>44412</v>
      </c>
      <c r="C112" t="s">
        <v>26</v>
      </c>
      <c r="D112" t="s">
        <v>93</v>
      </c>
    </row>
    <row r="113" spans="1:4" x14ac:dyDescent="0.25">
      <c r="A113" t="s">
        <v>125</v>
      </c>
      <c r="B113" s="20">
        <v>44412</v>
      </c>
      <c r="C113" t="s">
        <v>26</v>
      </c>
      <c r="D113" t="s">
        <v>93</v>
      </c>
    </row>
    <row r="114" spans="1:4" x14ac:dyDescent="0.25">
      <c r="A114" t="s">
        <v>126</v>
      </c>
      <c r="B114" s="20">
        <v>44449</v>
      </c>
      <c r="C114" t="s">
        <v>26</v>
      </c>
      <c r="D114" t="s">
        <v>93</v>
      </c>
    </row>
    <row r="118" spans="1:4" x14ac:dyDescent="0.25">
      <c r="A118" s="27">
        <f ca="1">NOW()</f>
        <v>45195.534187152778</v>
      </c>
    </row>
    <row r="119" spans="1:4" x14ac:dyDescent="0.25">
      <c r="A119" t="s">
        <v>127</v>
      </c>
    </row>
    <row r="120" spans="1:4" x14ac:dyDescent="0.25">
      <c r="A120" t="s">
        <v>128</v>
      </c>
    </row>
    <row r="121" spans="1:4" x14ac:dyDescent="0.25">
      <c r="A121" t="s">
        <v>129</v>
      </c>
    </row>
  </sheetData>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FF9C6F-1869-4A61-83EA-83E6DB073709}">
  <sheetPr codeName="Sheet3">
    <tabColor theme="5"/>
    <pageSetUpPr fitToPage="1"/>
  </sheetPr>
  <dimension ref="A2:D132"/>
  <sheetViews>
    <sheetView workbookViewId="0">
      <selection activeCell="C29" sqref="C29"/>
    </sheetView>
  </sheetViews>
  <sheetFormatPr defaultColWidth="11.42578125" defaultRowHeight="12.75" x14ac:dyDescent="0.2"/>
  <cols>
    <col min="1" max="1" width="11.42578125" style="28" customWidth="1"/>
    <col min="2" max="2" width="26.7109375" style="28" customWidth="1"/>
    <col min="3" max="3" width="11.42578125" style="28" customWidth="1"/>
    <col min="4" max="4" width="32.7109375" style="28" customWidth="1"/>
    <col min="5" max="16384" width="11.42578125" style="28"/>
  </cols>
  <sheetData>
    <row r="2" spans="1:4" x14ac:dyDescent="0.2">
      <c r="C2" s="28" t="s">
        <v>132</v>
      </c>
      <c r="D2" s="31">
        <v>1E-8</v>
      </c>
    </row>
    <row r="3" spans="1:4" ht="18" x14ac:dyDescent="0.25">
      <c r="B3" s="32" t="s">
        <v>133</v>
      </c>
    </row>
    <row r="4" spans="1:4" x14ac:dyDescent="0.2">
      <c r="B4" s="29" t="s">
        <v>134</v>
      </c>
      <c r="C4" s="29" t="s">
        <v>135</v>
      </c>
    </row>
    <row r="5" spans="1:4" x14ac:dyDescent="0.2">
      <c r="A5" s="28">
        <v>1</v>
      </c>
      <c r="B5" s="28" t="s">
        <v>144</v>
      </c>
      <c r="C5" s="28" t="s">
        <v>145</v>
      </c>
    </row>
    <row r="6" spans="1:4" x14ac:dyDescent="0.2">
      <c r="A6" s="28">
        <f t="shared" ref="A6:A47" si="0">A5+1</f>
        <v>2</v>
      </c>
      <c r="B6" s="28" t="s">
        <v>146</v>
      </c>
      <c r="C6" s="28" t="s">
        <v>147</v>
      </c>
    </row>
    <row r="7" spans="1:4" x14ac:dyDescent="0.2">
      <c r="A7" s="28">
        <f t="shared" si="0"/>
        <v>3</v>
      </c>
      <c r="B7" s="28" t="s">
        <v>148</v>
      </c>
      <c r="C7" s="28" t="s">
        <v>149</v>
      </c>
    </row>
    <row r="8" spans="1:4" x14ac:dyDescent="0.2">
      <c r="A8" s="28">
        <f t="shared" si="0"/>
        <v>4</v>
      </c>
      <c r="B8" s="28" t="s">
        <v>150</v>
      </c>
      <c r="C8" s="28" t="s">
        <v>151</v>
      </c>
    </row>
    <row r="9" spans="1:4" x14ac:dyDescent="0.2">
      <c r="A9" s="28">
        <f t="shared" si="0"/>
        <v>5</v>
      </c>
      <c r="B9" s="28" t="s">
        <v>152</v>
      </c>
      <c r="C9" s="28" t="s">
        <v>153</v>
      </c>
    </row>
    <row r="10" spans="1:4" x14ac:dyDescent="0.2">
      <c r="A10" s="28">
        <f t="shared" si="0"/>
        <v>6</v>
      </c>
      <c r="B10" s="28" t="s">
        <v>154</v>
      </c>
      <c r="C10" s="28" t="s">
        <v>155</v>
      </c>
    </row>
    <row r="11" spans="1:4" x14ac:dyDescent="0.2">
      <c r="A11" s="28">
        <f t="shared" si="0"/>
        <v>7</v>
      </c>
      <c r="B11" s="28" t="s">
        <v>156</v>
      </c>
      <c r="C11" s="28" t="s">
        <v>157</v>
      </c>
    </row>
    <row r="12" spans="1:4" x14ac:dyDescent="0.2">
      <c r="A12" s="28">
        <f t="shared" si="0"/>
        <v>8</v>
      </c>
      <c r="B12" s="28" t="s">
        <v>158</v>
      </c>
      <c r="C12" s="28" t="s">
        <v>159</v>
      </c>
    </row>
    <row r="13" spans="1:4" ht="15" x14ac:dyDescent="0.25">
      <c r="A13" s="28">
        <f t="shared" si="0"/>
        <v>9</v>
      </c>
      <c r="B13" t="s">
        <v>160</v>
      </c>
      <c r="C13" t="s">
        <v>161</v>
      </c>
    </row>
    <row r="14" spans="1:4" ht="15" x14ac:dyDescent="0.25">
      <c r="A14" s="28">
        <f t="shared" si="0"/>
        <v>10</v>
      </c>
      <c r="B14" t="s">
        <v>162</v>
      </c>
      <c r="C14" t="s">
        <v>163</v>
      </c>
    </row>
    <row r="15" spans="1:4" customFormat="1" ht="15" x14ac:dyDescent="0.25">
      <c r="A15">
        <f t="shared" si="0"/>
        <v>11</v>
      </c>
      <c r="B15" t="s">
        <v>164</v>
      </c>
      <c r="C15" t="s">
        <v>165</v>
      </c>
    </row>
    <row r="16" spans="1:4" customFormat="1" ht="15" x14ac:dyDescent="0.25">
      <c r="A16">
        <f t="shared" si="0"/>
        <v>12</v>
      </c>
      <c r="B16" t="s">
        <v>1104</v>
      </c>
      <c r="C16" t="s">
        <v>1100</v>
      </c>
    </row>
    <row r="17" spans="1:3" customFormat="1" ht="15" x14ac:dyDescent="0.25">
      <c r="A17">
        <f t="shared" si="0"/>
        <v>13</v>
      </c>
      <c r="B17" t="s">
        <v>166</v>
      </c>
      <c r="C17" t="s">
        <v>167</v>
      </c>
    </row>
    <row r="18" spans="1:3" customFormat="1" ht="15" x14ac:dyDescent="0.25">
      <c r="A18">
        <f t="shared" si="0"/>
        <v>14</v>
      </c>
      <c r="B18" t="s">
        <v>168</v>
      </c>
      <c r="C18" t="s">
        <v>169</v>
      </c>
    </row>
    <row r="19" spans="1:3" customFormat="1" ht="15" x14ac:dyDescent="0.25">
      <c r="A19">
        <f t="shared" si="0"/>
        <v>15</v>
      </c>
      <c r="B19" t="s">
        <v>170</v>
      </c>
      <c r="C19" t="s">
        <v>171</v>
      </c>
    </row>
    <row r="20" spans="1:3" customFormat="1" ht="15" x14ac:dyDescent="0.25">
      <c r="A20">
        <f t="shared" si="0"/>
        <v>16</v>
      </c>
      <c r="B20" t="s">
        <v>172</v>
      </c>
      <c r="C20" t="s">
        <v>173</v>
      </c>
    </row>
    <row r="21" spans="1:3" customFormat="1" ht="15" x14ac:dyDescent="0.25">
      <c r="A21">
        <f t="shared" si="0"/>
        <v>17</v>
      </c>
      <c r="B21" t="s">
        <v>174</v>
      </c>
      <c r="C21" t="s">
        <v>175</v>
      </c>
    </row>
    <row r="22" spans="1:3" x14ac:dyDescent="0.2">
      <c r="A22" s="28">
        <f t="shared" si="0"/>
        <v>18</v>
      </c>
      <c r="B22" s="28" t="s">
        <v>176</v>
      </c>
      <c r="C22" s="28" t="s">
        <v>177</v>
      </c>
    </row>
    <row r="23" spans="1:3" x14ac:dyDescent="0.2">
      <c r="A23" s="28">
        <f t="shared" si="0"/>
        <v>19</v>
      </c>
      <c r="B23" s="28" t="s">
        <v>178</v>
      </c>
      <c r="C23" s="28" t="s">
        <v>179</v>
      </c>
    </row>
    <row r="24" spans="1:3" x14ac:dyDescent="0.2">
      <c r="A24" s="28">
        <f t="shared" si="0"/>
        <v>20</v>
      </c>
      <c r="B24" s="28" t="s">
        <v>180</v>
      </c>
      <c r="C24" s="28" t="s">
        <v>181</v>
      </c>
    </row>
    <row r="25" spans="1:3" x14ac:dyDescent="0.2">
      <c r="A25" s="28">
        <f t="shared" si="0"/>
        <v>21</v>
      </c>
      <c r="B25" s="28" t="s">
        <v>182</v>
      </c>
      <c r="C25" s="28" t="s">
        <v>183</v>
      </c>
    </row>
    <row r="26" spans="1:3" x14ac:dyDescent="0.2">
      <c r="A26" s="28">
        <f t="shared" si="0"/>
        <v>22</v>
      </c>
      <c r="B26" s="28" t="s">
        <v>184</v>
      </c>
      <c r="C26" s="28" t="s">
        <v>185</v>
      </c>
    </row>
    <row r="27" spans="1:3" x14ac:dyDescent="0.2">
      <c r="A27" s="28">
        <f t="shared" si="0"/>
        <v>23</v>
      </c>
      <c r="B27" s="28" t="s">
        <v>186</v>
      </c>
      <c r="C27" s="28" t="s">
        <v>187</v>
      </c>
    </row>
    <row r="28" spans="1:3" x14ac:dyDescent="0.2">
      <c r="A28" s="28">
        <f t="shared" si="0"/>
        <v>24</v>
      </c>
      <c r="B28" s="28" t="s">
        <v>1103</v>
      </c>
      <c r="C28" s="28" t="s">
        <v>1102</v>
      </c>
    </row>
    <row r="29" spans="1:3" x14ac:dyDescent="0.2">
      <c r="A29" s="28">
        <f t="shared" si="0"/>
        <v>25</v>
      </c>
      <c r="B29" s="28" t="s">
        <v>188</v>
      </c>
      <c r="C29" s="28" t="s">
        <v>189</v>
      </c>
    </row>
    <row r="30" spans="1:3" x14ac:dyDescent="0.2">
      <c r="A30" s="28">
        <f t="shared" si="0"/>
        <v>26</v>
      </c>
      <c r="B30" s="28" t="s">
        <v>190</v>
      </c>
      <c r="C30" s="28" t="s">
        <v>191</v>
      </c>
    </row>
    <row r="31" spans="1:3" x14ac:dyDescent="0.2">
      <c r="A31" s="28">
        <f t="shared" si="0"/>
        <v>27</v>
      </c>
      <c r="B31" s="28" t="s">
        <v>192</v>
      </c>
      <c r="C31" s="28" t="s">
        <v>193</v>
      </c>
    </row>
    <row r="32" spans="1:3" x14ac:dyDescent="0.2">
      <c r="A32" s="28">
        <f t="shared" si="0"/>
        <v>28</v>
      </c>
      <c r="B32" s="28" t="s">
        <v>194</v>
      </c>
      <c r="C32" s="28" t="s">
        <v>195</v>
      </c>
    </row>
    <row r="33" spans="1:3" x14ac:dyDescent="0.2">
      <c r="A33" s="28">
        <f t="shared" si="0"/>
        <v>29</v>
      </c>
      <c r="B33" s="28" t="s">
        <v>196</v>
      </c>
      <c r="C33" s="28" t="s">
        <v>197</v>
      </c>
    </row>
    <row r="34" spans="1:3" s="33" customFormat="1" x14ac:dyDescent="0.2">
      <c r="A34" s="28">
        <f>A33+1</f>
        <v>30</v>
      </c>
      <c r="B34" s="33" t="s">
        <v>198</v>
      </c>
      <c r="C34" s="33" t="s">
        <v>199</v>
      </c>
    </row>
    <row r="35" spans="1:3" x14ac:dyDescent="0.2">
      <c r="A35" s="28">
        <f>A34+1</f>
        <v>31</v>
      </c>
      <c r="B35" s="28" t="s">
        <v>200</v>
      </c>
      <c r="C35" s="28" t="s">
        <v>201</v>
      </c>
    </row>
    <row r="36" spans="1:3" x14ac:dyDescent="0.2">
      <c r="A36" s="28">
        <f t="shared" si="0"/>
        <v>32</v>
      </c>
      <c r="B36" s="34" t="s">
        <v>202</v>
      </c>
      <c r="C36" s="28" t="s">
        <v>203</v>
      </c>
    </row>
    <row r="37" spans="1:3" x14ac:dyDescent="0.2">
      <c r="A37" s="28">
        <f t="shared" si="0"/>
        <v>33</v>
      </c>
      <c r="B37" s="28" t="s">
        <v>204</v>
      </c>
      <c r="C37" s="28" t="s">
        <v>205</v>
      </c>
    </row>
    <row r="38" spans="1:3" x14ac:dyDescent="0.2">
      <c r="A38" s="28">
        <f t="shared" si="0"/>
        <v>34</v>
      </c>
      <c r="B38" s="28" t="s">
        <v>206</v>
      </c>
      <c r="C38" s="28" t="s">
        <v>207</v>
      </c>
    </row>
    <row r="39" spans="1:3" x14ac:dyDescent="0.2">
      <c r="A39" s="28">
        <f t="shared" si="0"/>
        <v>35</v>
      </c>
      <c r="B39" s="28" t="s">
        <v>208</v>
      </c>
      <c r="C39" s="28" t="s">
        <v>209</v>
      </c>
    </row>
    <row r="40" spans="1:3" x14ac:dyDescent="0.2">
      <c r="A40" s="28">
        <f t="shared" si="0"/>
        <v>36</v>
      </c>
      <c r="B40" s="28" t="s">
        <v>210</v>
      </c>
      <c r="C40" s="28" t="s">
        <v>211</v>
      </c>
    </row>
    <row r="41" spans="1:3" x14ac:dyDescent="0.2">
      <c r="A41" s="28">
        <f t="shared" si="0"/>
        <v>37</v>
      </c>
      <c r="B41" s="28" t="s">
        <v>212</v>
      </c>
      <c r="C41" s="28" t="s">
        <v>213</v>
      </c>
    </row>
    <row r="42" spans="1:3" x14ac:dyDescent="0.2">
      <c r="A42" s="28">
        <f t="shared" si="0"/>
        <v>38</v>
      </c>
      <c r="B42" s="28" t="s">
        <v>214</v>
      </c>
      <c r="C42" s="28" t="s">
        <v>215</v>
      </c>
    </row>
    <row r="43" spans="1:3" x14ac:dyDescent="0.2">
      <c r="A43" s="28">
        <f t="shared" si="0"/>
        <v>39</v>
      </c>
      <c r="B43" s="28" t="s">
        <v>216</v>
      </c>
      <c r="C43" s="28" t="s">
        <v>217</v>
      </c>
    </row>
    <row r="44" spans="1:3" x14ac:dyDescent="0.2">
      <c r="A44" s="28">
        <f t="shared" si="0"/>
        <v>40</v>
      </c>
      <c r="B44" s="28" t="s">
        <v>218</v>
      </c>
      <c r="C44" s="28" t="s">
        <v>219</v>
      </c>
    </row>
    <row r="45" spans="1:3" x14ac:dyDescent="0.2">
      <c r="A45" s="28">
        <f t="shared" si="0"/>
        <v>41</v>
      </c>
      <c r="B45" s="28" t="s">
        <v>220</v>
      </c>
      <c r="C45" s="28" t="s">
        <v>221</v>
      </c>
    </row>
    <row r="46" spans="1:3" x14ac:dyDescent="0.2">
      <c r="A46" s="28">
        <f t="shared" si="0"/>
        <v>42</v>
      </c>
      <c r="B46" s="28" t="s">
        <v>222</v>
      </c>
      <c r="C46" s="28" t="s">
        <v>223</v>
      </c>
    </row>
    <row r="47" spans="1:3" x14ac:dyDescent="0.2">
      <c r="A47" s="28">
        <f t="shared" si="0"/>
        <v>43</v>
      </c>
      <c r="B47" s="28" t="s">
        <v>224</v>
      </c>
    </row>
    <row r="49" spans="2:4" x14ac:dyDescent="0.2">
      <c r="D49" s="30"/>
    </row>
    <row r="50" spans="2:4" ht="15" x14ac:dyDescent="0.25">
      <c r="B50" s="26" t="s">
        <v>225</v>
      </c>
      <c r="C50" s="26" t="s">
        <v>226</v>
      </c>
      <c r="D50" s="30"/>
    </row>
    <row r="51" spans="2:4" ht="15" x14ac:dyDescent="0.25">
      <c r="B51" t="s">
        <v>5</v>
      </c>
      <c r="C51" t="s">
        <v>0</v>
      </c>
      <c r="D51" s="30"/>
    </row>
    <row r="52" spans="2:4" ht="15" x14ac:dyDescent="0.25">
      <c r="B52" t="s">
        <v>6</v>
      </c>
      <c r="C52" t="s">
        <v>227</v>
      </c>
      <c r="D52" s="30"/>
    </row>
    <row r="53" spans="2:4" ht="15" x14ac:dyDescent="0.25">
      <c r="B53" t="s">
        <v>7</v>
      </c>
      <c r="C53" t="s">
        <v>1</v>
      </c>
      <c r="D53" s="30"/>
    </row>
    <row r="54" spans="2:4" ht="15" x14ac:dyDescent="0.25">
      <c r="B54" t="s">
        <v>10</v>
      </c>
      <c r="C54" t="s">
        <v>228</v>
      </c>
      <c r="D54" s="30"/>
    </row>
    <row r="55" spans="2:4" ht="15" x14ac:dyDescent="0.25">
      <c r="B55" t="s">
        <v>9</v>
      </c>
      <c r="C55" t="s">
        <v>3</v>
      </c>
      <c r="D55" s="30"/>
    </row>
    <row r="56" spans="2:4" ht="15" x14ac:dyDescent="0.25">
      <c r="B56" t="s">
        <v>8</v>
      </c>
      <c r="C56" t="s">
        <v>2</v>
      </c>
      <c r="D56" s="30"/>
    </row>
    <row r="57" spans="2:4" ht="15" x14ac:dyDescent="0.25">
      <c r="B57" t="s">
        <v>11</v>
      </c>
      <c r="C57" t="s">
        <v>229</v>
      </c>
      <c r="D57" s="30"/>
    </row>
    <row r="58" spans="2:4" ht="15" x14ac:dyDescent="0.25">
      <c r="B58"/>
      <c r="C58"/>
      <c r="D58" s="30"/>
    </row>
    <row r="59" spans="2:4" ht="15" x14ac:dyDescent="0.25">
      <c r="B59"/>
      <c r="C59"/>
      <c r="D59" s="30"/>
    </row>
    <row r="60" spans="2:4" x14ac:dyDescent="0.2">
      <c r="D60" s="30"/>
    </row>
    <row r="61" spans="2:4" x14ac:dyDescent="0.2">
      <c r="D61" s="30"/>
    </row>
    <row r="62" spans="2:4" x14ac:dyDescent="0.2">
      <c r="D62" s="30"/>
    </row>
    <row r="63" spans="2:4" x14ac:dyDescent="0.2">
      <c r="D63" s="30"/>
    </row>
    <row r="64" spans="2:4" x14ac:dyDescent="0.2">
      <c r="D64" s="30"/>
    </row>
    <row r="65" spans="3:4" x14ac:dyDescent="0.2">
      <c r="D65" s="30"/>
    </row>
    <row r="66" spans="3:4" x14ac:dyDescent="0.2">
      <c r="D66" s="30"/>
    </row>
    <row r="67" spans="3:4" x14ac:dyDescent="0.2">
      <c r="D67" s="30"/>
    </row>
    <row r="68" spans="3:4" x14ac:dyDescent="0.2">
      <c r="D68" s="30"/>
    </row>
    <row r="69" spans="3:4" x14ac:dyDescent="0.2">
      <c r="C69" s="30" t="s">
        <v>230</v>
      </c>
    </row>
    <row r="70" spans="3:4" x14ac:dyDescent="0.2">
      <c r="C70" s="30">
        <f t="shared" ref="C70:C80" si="1">COUNTIF($C$5:$C$46,C5)</f>
        <v>1</v>
      </c>
    </row>
    <row r="71" spans="3:4" x14ac:dyDescent="0.2">
      <c r="C71" s="30">
        <f t="shared" si="1"/>
        <v>1</v>
      </c>
    </row>
    <row r="72" spans="3:4" x14ac:dyDescent="0.2">
      <c r="C72" s="30">
        <f t="shared" si="1"/>
        <v>1</v>
      </c>
    </row>
    <row r="73" spans="3:4" x14ac:dyDescent="0.2">
      <c r="C73" s="30">
        <f t="shared" si="1"/>
        <v>1</v>
      </c>
    </row>
    <row r="74" spans="3:4" x14ac:dyDescent="0.2">
      <c r="C74" s="30">
        <f t="shared" si="1"/>
        <v>1</v>
      </c>
    </row>
    <row r="75" spans="3:4" x14ac:dyDescent="0.2">
      <c r="C75" s="30">
        <f t="shared" si="1"/>
        <v>1</v>
      </c>
    </row>
    <row r="76" spans="3:4" x14ac:dyDescent="0.2">
      <c r="C76" s="30">
        <f t="shared" si="1"/>
        <v>1</v>
      </c>
    </row>
    <row r="77" spans="3:4" x14ac:dyDescent="0.2">
      <c r="C77" s="30">
        <f t="shared" si="1"/>
        <v>1</v>
      </c>
    </row>
    <row r="78" spans="3:4" x14ac:dyDescent="0.2">
      <c r="C78" s="30">
        <f t="shared" si="1"/>
        <v>1</v>
      </c>
    </row>
    <row r="79" spans="3:4" x14ac:dyDescent="0.2">
      <c r="C79" s="30">
        <f t="shared" si="1"/>
        <v>1</v>
      </c>
    </row>
    <row r="80" spans="3:4" x14ac:dyDescent="0.2">
      <c r="C80" s="30">
        <f t="shared" si="1"/>
        <v>1</v>
      </c>
    </row>
    <row r="81" spans="1:3" x14ac:dyDescent="0.2">
      <c r="A81" s="28">
        <v>1</v>
      </c>
      <c r="C81" s="30">
        <f t="shared" ref="C81:C91" si="2">COUNTIF($C$5:$C$46,C17)</f>
        <v>1</v>
      </c>
    </row>
    <row r="82" spans="1:3" x14ac:dyDescent="0.2">
      <c r="A82" s="28">
        <v>2</v>
      </c>
      <c r="C82" s="30">
        <f t="shared" si="2"/>
        <v>1</v>
      </c>
    </row>
    <row r="83" spans="1:3" x14ac:dyDescent="0.2">
      <c r="A83" s="28">
        <v>3</v>
      </c>
      <c r="C83" s="30">
        <f t="shared" si="2"/>
        <v>1</v>
      </c>
    </row>
    <row r="84" spans="1:3" x14ac:dyDescent="0.2">
      <c r="A84" s="28">
        <v>4</v>
      </c>
      <c r="C84" s="30">
        <f t="shared" si="2"/>
        <v>1</v>
      </c>
    </row>
    <row r="85" spans="1:3" x14ac:dyDescent="0.2">
      <c r="A85" s="28">
        <v>5</v>
      </c>
      <c r="C85" s="30">
        <f t="shared" si="2"/>
        <v>1</v>
      </c>
    </row>
    <row r="86" spans="1:3" x14ac:dyDescent="0.2">
      <c r="A86" s="28">
        <v>6</v>
      </c>
      <c r="C86" s="30">
        <f t="shared" si="2"/>
        <v>1</v>
      </c>
    </row>
    <row r="87" spans="1:3" x14ac:dyDescent="0.2">
      <c r="A87" s="28">
        <v>7</v>
      </c>
      <c r="C87" s="30">
        <f t="shared" si="2"/>
        <v>1</v>
      </c>
    </row>
    <row r="88" spans="1:3" x14ac:dyDescent="0.2">
      <c r="A88" s="28">
        <v>8</v>
      </c>
      <c r="C88" s="30">
        <f t="shared" si="2"/>
        <v>1</v>
      </c>
    </row>
    <row r="89" spans="1:3" x14ac:dyDescent="0.2">
      <c r="A89" s="28">
        <v>9</v>
      </c>
      <c r="C89" s="30">
        <f t="shared" si="2"/>
        <v>1</v>
      </c>
    </row>
    <row r="90" spans="1:3" x14ac:dyDescent="0.2">
      <c r="A90" s="28">
        <v>10</v>
      </c>
      <c r="C90" s="30">
        <f t="shared" si="2"/>
        <v>1</v>
      </c>
    </row>
    <row r="91" spans="1:3" x14ac:dyDescent="0.2">
      <c r="A91" s="28">
        <v>11</v>
      </c>
      <c r="C91" s="30">
        <f t="shared" si="2"/>
        <v>1</v>
      </c>
    </row>
    <row r="92" spans="1:3" x14ac:dyDescent="0.2">
      <c r="A92" s="28">
        <v>12</v>
      </c>
      <c r="C92" s="30">
        <f t="shared" ref="C92:C109" si="3">COUNTIF($C$5:$C$46,C29)</f>
        <v>1</v>
      </c>
    </row>
    <row r="93" spans="1:3" x14ac:dyDescent="0.2">
      <c r="A93" s="28">
        <v>13</v>
      </c>
      <c r="C93" s="30">
        <f t="shared" si="3"/>
        <v>1</v>
      </c>
    </row>
    <row r="94" spans="1:3" x14ac:dyDescent="0.2">
      <c r="A94" s="28">
        <v>14</v>
      </c>
      <c r="C94" s="30">
        <f t="shared" si="3"/>
        <v>1</v>
      </c>
    </row>
    <row r="95" spans="1:3" x14ac:dyDescent="0.2">
      <c r="A95" s="28">
        <v>15</v>
      </c>
      <c r="C95" s="30">
        <f t="shared" si="3"/>
        <v>1</v>
      </c>
    </row>
    <row r="96" spans="1:3" x14ac:dyDescent="0.2">
      <c r="A96" s="28">
        <v>16</v>
      </c>
      <c r="C96" s="30">
        <f t="shared" si="3"/>
        <v>1</v>
      </c>
    </row>
    <row r="97" spans="1:3" x14ac:dyDescent="0.2">
      <c r="A97" s="28">
        <v>17</v>
      </c>
      <c r="C97" s="30">
        <f t="shared" si="3"/>
        <v>1</v>
      </c>
    </row>
    <row r="98" spans="1:3" x14ac:dyDescent="0.2">
      <c r="A98" s="28">
        <v>18</v>
      </c>
      <c r="C98" s="30">
        <f t="shared" si="3"/>
        <v>1</v>
      </c>
    </row>
    <row r="99" spans="1:3" x14ac:dyDescent="0.2">
      <c r="A99" s="28">
        <v>19</v>
      </c>
      <c r="C99" s="30">
        <f t="shared" si="3"/>
        <v>1</v>
      </c>
    </row>
    <row r="100" spans="1:3" x14ac:dyDescent="0.2">
      <c r="A100" s="28">
        <v>20</v>
      </c>
      <c r="C100" s="30">
        <f t="shared" si="3"/>
        <v>1</v>
      </c>
    </row>
    <row r="101" spans="1:3" x14ac:dyDescent="0.2">
      <c r="A101" s="28">
        <v>21</v>
      </c>
      <c r="C101" s="30">
        <f t="shared" si="3"/>
        <v>1</v>
      </c>
    </row>
    <row r="102" spans="1:3" x14ac:dyDescent="0.2">
      <c r="A102" s="28">
        <v>22</v>
      </c>
      <c r="C102" s="30">
        <f t="shared" si="3"/>
        <v>1</v>
      </c>
    </row>
    <row r="103" spans="1:3" ht="15" x14ac:dyDescent="0.25">
      <c r="B103"/>
      <c r="C103" s="30">
        <f t="shared" si="3"/>
        <v>1</v>
      </c>
    </row>
    <row r="104" spans="1:3" ht="15" x14ac:dyDescent="0.25">
      <c r="B104"/>
      <c r="C104" s="30">
        <f t="shared" si="3"/>
        <v>1</v>
      </c>
    </row>
    <row r="105" spans="1:3" ht="15" x14ac:dyDescent="0.25">
      <c r="B105"/>
      <c r="C105" s="30">
        <f t="shared" si="3"/>
        <v>1</v>
      </c>
    </row>
    <row r="106" spans="1:3" ht="15" x14ac:dyDescent="0.25">
      <c r="B106"/>
      <c r="C106" s="30">
        <f t="shared" si="3"/>
        <v>1</v>
      </c>
    </row>
    <row r="107" spans="1:3" ht="15" x14ac:dyDescent="0.25">
      <c r="B107"/>
      <c r="C107" s="30">
        <f t="shared" si="3"/>
        <v>1</v>
      </c>
    </row>
    <row r="108" spans="1:3" ht="15" x14ac:dyDescent="0.25">
      <c r="B108"/>
      <c r="C108" s="30">
        <f t="shared" si="3"/>
        <v>1</v>
      </c>
    </row>
    <row r="109" spans="1:3" ht="15" x14ac:dyDescent="0.25">
      <c r="B109"/>
      <c r="C109" s="30">
        <f t="shared" si="3"/>
        <v>1</v>
      </c>
    </row>
    <row r="110" spans="1:3" ht="15" x14ac:dyDescent="0.25">
      <c r="B110"/>
      <c r="C110" s="30"/>
    </row>
    <row r="111" spans="1:3" ht="15" x14ac:dyDescent="0.25">
      <c r="B111"/>
      <c r="C111" s="30"/>
    </row>
    <row r="112" spans="1:3" ht="15" x14ac:dyDescent="0.25">
      <c r="B112"/>
      <c r="C112" s="30"/>
    </row>
    <row r="113" spans="2:4" ht="15" x14ac:dyDescent="0.25">
      <c r="B113"/>
      <c r="C113" s="30"/>
    </row>
    <row r="114" spans="2:4" ht="15" x14ac:dyDescent="0.25">
      <c r="B114"/>
      <c r="C114" s="30"/>
    </row>
    <row r="115" spans="2:4" ht="15" x14ac:dyDescent="0.25">
      <c r="B115"/>
      <c r="C115" s="30"/>
    </row>
    <row r="116" spans="2:4" ht="15" x14ac:dyDescent="0.25">
      <c r="B116"/>
      <c r="C116" s="30"/>
    </row>
    <row r="117" spans="2:4" ht="15" x14ac:dyDescent="0.25">
      <c r="B117"/>
      <c r="C117" s="30"/>
    </row>
    <row r="118" spans="2:4" ht="15" x14ac:dyDescent="0.25">
      <c r="B118"/>
      <c r="C118" s="30"/>
    </row>
    <row r="119" spans="2:4" ht="15" x14ac:dyDescent="0.25">
      <c r="B119"/>
      <c r="C119" s="30"/>
    </row>
    <row r="120" spans="2:4" ht="15" x14ac:dyDescent="0.25">
      <c r="B120"/>
    </row>
    <row r="121" spans="2:4" ht="15" x14ac:dyDescent="0.25">
      <c r="B121"/>
    </row>
    <row r="122" spans="2:4" x14ac:dyDescent="0.2">
      <c r="B122" s="29"/>
      <c r="C122" s="29"/>
      <c r="D122" s="29"/>
    </row>
    <row r="123" spans="2:4" ht="15" x14ac:dyDescent="0.25">
      <c r="B123"/>
      <c r="C123"/>
    </row>
    <row r="125" spans="2:4" ht="15" x14ac:dyDescent="0.25">
      <c r="B125" s="35"/>
      <c r="C125"/>
    </row>
    <row r="129" spans="2:2" ht="15" x14ac:dyDescent="0.25">
      <c r="B129"/>
    </row>
    <row r="130" spans="2:2" ht="15" x14ac:dyDescent="0.25">
      <c r="B130"/>
    </row>
    <row r="131" spans="2:2" ht="15" x14ac:dyDescent="0.25">
      <c r="B131"/>
    </row>
    <row r="132" spans="2:2" ht="15" x14ac:dyDescent="0.25">
      <c r="B132"/>
    </row>
  </sheetData>
  <dataValidations count="1">
    <dataValidation type="whole" allowBlank="1" showInputMessage="1" showErrorMessage="1" sqref="B2" xr:uid="{DA156300-3992-407E-ACCB-82530B00ABF8}">
      <formula1>IF(#REF!&gt;0,1,6)</formula1>
      <formula2>IF(#REF!&gt;0,1,6)</formula2>
    </dataValidation>
  </dataValidations>
  <pageMargins left="0.70000000000000007" right="0.70000000000000007" top="0.75000000000000011" bottom="0.75000000000000011" header="0.30000000000000004" footer="0.30000000000000004"/>
  <pageSetup paperSize="9" scale="35" orientation="landscape" horizontalDpi="4294967292" verticalDpi="4294967292"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8BEC84-F956-4D17-B784-5F349929F328}">
  <sheetPr codeName="Sheet4">
    <tabColor theme="5"/>
  </sheetPr>
  <dimension ref="A1"/>
  <sheetViews>
    <sheetView workbookViewId="0"/>
  </sheetViews>
  <sheetFormatPr defaultRowHeight="15" x14ac:dyDescent="0.2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730D0B-5272-4EB8-9C34-73F85F8B8F2D}">
  <sheetPr codeName="Sheet5">
    <tabColor theme="4"/>
  </sheetPr>
  <dimension ref="A1:L62"/>
  <sheetViews>
    <sheetView topLeftCell="A31" workbookViewId="0">
      <selection activeCell="D61" sqref="D61:G62"/>
    </sheetView>
  </sheetViews>
  <sheetFormatPr defaultColWidth="11.42578125" defaultRowHeight="11.25" x14ac:dyDescent="0.2"/>
  <cols>
    <col min="1" max="1" width="12.42578125" style="380" customWidth="1"/>
    <col min="2" max="2" width="14.28515625" style="380" customWidth="1"/>
    <col min="3" max="3" width="27.42578125" style="380" customWidth="1"/>
    <col min="4" max="4" width="10.28515625" style="380" customWidth="1"/>
    <col min="5" max="5" width="28.7109375" style="380" customWidth="1"/>
    <col min="6" max="10" width="11.42578125" style="380"/>
    <col min="11" max="11" width="19.85546875" style="380" customWidth="1"/>
    <col min="12" max="16384" width="11.42578125" style="380"/>
  </cols>
  <sheetData>
    <row r="1" spans="1:12" ht="18" thickBot="1" x14ac:dyDescent="0.35">
      <c r="A1" s="291"/>
      <c r="B1" s="169" t="s">
        <v>1001</v>
      </c>
      <c r="C1" s="169"/>
      <c r="D1" s="169"/>
      <c r="E1" s="169"/>
    </row>
    <row r="2" spans="1:12" ht="12" thickTop="1" x14ac:dyDescent="0.2"/>
    <row r="3" spans="1:12" ht="15" x14ac:dyDescent="0.25">
      <c r="B3" s="383" t="s">
        <v>592</v>
      </c>
      <c r="C3" s="384"/>
      <c r="D3" s="384"/>
      <c r="E3" s="384"/>
      <c r="F3" s="384"/>
      <c r="G3" s="384"/>
      <c r="H3" s="172"/>
      <c r="I3" s="172"/>
    </row>
    <row r="4" spans="1:12" ht="15" x14ac:dyDescent="0.25">
      <c r="B4" s="385" t="s">
        <v>335</v>
      </c>
      <c r="C4" s="385" t="s">
        <v>334</v>
      </c>
      <c r="D4" s="385" t="s">
        <v>603</v>
      </c>
      <c r="E4" s="385" t="s">
        <v>604</v>
      </c>
      <c r="F4" s="385" t="s">
        <v>605</v>
      </c>
      <c r="G4" s="385" t="s">
        <v>606</v>
      </c>
      <c r="H4" s="172"/>
      <c r="I4" s="172"/>
    </row>
    <row r="5" spans="1:12" x14ac:dyDescent="0.2">
      <c r="A5" s="380" t="s">
        <v>355</v>
      </c>
      <c r="B5" s="291" t="s">
        <v>974</v>
      </c>
      <c r="C5" s="291"/>
      <c r="D5" s="291"/>
      <c r="E5" s="291"/>
      <c r="F5" s="291"/>
      <c r="H5" s="172"/>
    </row>
    <row r="6" spans="1:12" ht="15" x14ac:dyDescent="0.25">
      <c r="B6" s="380" t="s">
        <v>976</v>
      </c>
      <c r="C6" s="380" t="s">
        <v>975</v>
      </c>
      <c r="D6" t="s">
        <v>240</v>
      </c>
      <c r="E6" t="s">
        <v>967</v>
      </c>
      <c r="F6" s="172" t="s">
        <v>609</v>
      </c>
      <c r="G6" s="172" t="s">
        <v>991</v>
      </c>
      <c r="H6" s="172"/>
      <c r="K6" s="381"/>
      <c r="L6" s="381"/>
    </row>
    <row r="7" spans="1:12" ht="15" x14ac:dyDescent="0.25">
      <c r="A7" s="380" t="s">
        <v>355</v>
      </c>
      <c r="B7" s="291" t="s">
        <v>974</v>
      </c>
      <c r="C7" s="291"/>
      <c r="D7" t="str">
        <f>LEFT(L7,2)</f>
        <v/>
      </c>
      <c r="E7" t="str">
        <f>RIGHT(L7,2)</f>
        <v/>
      </c>
      <c r="F7" s="172"/>
      <c r="G7" s="172"/>
      <c r="H7" s="172"/>
      <c r="K7" s="291"/>
      <c r="L7" s="291"/>
    </row>
    <row r="8" spans="1:12" ht="15" x14ac:dyDescent="0.25">
      <c r="B8" s="380" t="s">
        <v>973</v>
      </c>
      <c r="C8" s="380" t="s">
        <v>972</v>
      </c>
      <c r="D8" t="str">
        <f>LEFT(L8,2)</f>
        <v/>
      </c>
      <c r="E8" t="s">
        <v>429</v>
      </c>
      <c r="F8" s="172" t="s">
        <v>358</v>
      </c>
      <c r="G8" s="172" t="s">
        <v>991</v>
      </c>
      <c r="H8" s="172"/>
      <c r="K8" s="381"/>
      <c r="L8" s="381"/>
    </row>
    <row r="9" spans="1:12" ht="15" x14ac:dyDescent="0.25">
      <c r="A9" s="380" t="s">
        <v>355</v>
      </c>
      <c r="B9" s="291" t="str">
        <f>SUP!A59</f>
        <v>* Indegenous Production of Primary Energy - Fossil</v>
      </c>
      <c r="C9" s="291"/>
      <c r="D9" t="str">
        <f>LEFT(L9,2)</f>
        <v/>
      </c>
      <c r="E9" t="str">
        <f>RIGHT(L9,2)</f>
        <v/>
      </c>
      <c r="F9" s="172"/>
      <c r="G9" s="172"/>
      <c r="H9" s="172"/>
      <c r="K9" s="291"/>
      <c r="L9" s="291"/>
    </row>
    <row r="10" spans="1:12" ht="15" x14ac:dyDescent="0.25">
      <c r="B10" s="380" t="s">
        <v>971</v>
      </c>
      <c r="C10" s="380" t="s">
        <v>970</v>
      </c>
      <c r="D10" t="s">
        <v>240</v>
      </c>
      <c r="E10" t="s">
        <v>429</v>
      </c>
      <c r="F10" s="172" t="s">
        <v>358</v>
      </c>
      <c r="G10" s="172" t="s">
        <v>991</v>
      </c>
      <c r="H10" s="172"/>
      <c r="K10" s="381"/>
      <c r="L10" s="381"/>
    </row>
    <row r="11" spans="1:12" ht="15" x14ac:dyDescent="0.25">
      <c r="B11" s="380" t="s">
        <v>969</v>
      </c>
      <c r="C11" s="380" t="s">
        <v>968</v>
      </c>
      <c r="D11" t="s">
        <v>240</v>
      </c>
      <c r="E11" t="s">
        <v>429</v>
      </c>
      <c r="F11" s="172" t="s">
        <v>358</v>
      </c>
      <c r="G11" s="172" t="s">
        <v>991</v>
      </c>
      <c r="H11" s="172"/>
      <c r="K11" s="381"/>
      <c r="L11" s="381"/>
    </row>
    <row r="12" spans="1:12" ht="15" x14ac:dyDescent="0.25">
      <c r="A12" s="380" t="str">
        <f>IF(LEFT(SUP!A60,2)="\I","*","")</f>
        <v/>
      </c>
      <c r="B12" s="380" t="str">
        <f>IF(A12="*","",SUP!B60)</f>
        <v>MINCOA</v>
      </c>
      <c r="C12" s="380" t="str">
        <f>IF(A12="*","",SUP!A60)</f>
        <v>Extraction of Coal</v>
      </c>
      <c r="D12" t="s">
        <v>240</v>
      </c>
      <c r="E12" t="s">
        <v>429</v>
      </c>
      <c r="F12" s="172" t="s">
        <v>358</v>
      </c>
      <c r="G12" s="172" t="s">
        <v>991</v>
      </c>
      <c r="H12" s="172"/>
      <c r="K12" s="381"/>
      <c r="L12" s="381"/>
    </row>
    <row r="13" spans="1:12" ht="15" x14ac:dyDescent="0.25">
      <c r="A13" s="380" t="str">
        <f>IF(LEFT(SUP!A61,2)="\I","*","")</f>
        <v/>
      </c>
      <c r="B13" s="380" t="str">
        <f>IF(A13="*","",SUP!B61)</f>
        <v>MINCLE</v>
      </c>
      <c r="C13" s="380" t="str">
        <f>IF(A13="*","",SUP!A61)</f>
        <v>Extraction of Coal low grade</v>
      </c>
      <c r="D13" t="s">
        <v>240</v>
      </c>
      <c r="E13" t="s">
        <v>429</v>
      </c>
      <c r="F13" s="172" t="s">
        <v>358</v>
      </c>
      <c r="G13" s="172" t="s">
        <v>991</v>
      </c>
      <c r="H13" s="172"/>
      <c r="K13" s="381"/>
      <c r="L13" s="381"/>
    </row>
    <row r="14" spans="1:12" ht="15" x14ac:dyDescent="0.25">
      <c r="A14" s="380" t="str">
        <f>IF(LEFT(SUP!A62,2)="\I","*","")</f>
        <v/>
      </c>
      <c r="B14" s="380" t="str">
        <f>IF(A14="*","",SUP!B62)</f>
        <v>MINCLD</v>
      </c>
      <c r="C14" s="380" t="str">
        <f>IF(A14="*","",SUP!A62)</f>
        <v>Extraction of Coal Discard</v>
      </c>
      <c r="D14" t="s">
        <v>240</v>
      </c>
      <c r="E14" t="s">
        <v>429</v>
      </c>
      <c r="F14" s="172" t="s">
        <v>358</v>
      </c>
      <c r="G14" s="172" t="s">
        <v>991</v>
      </c>
      <c r="H14" s="172"/>
      <c r="K14" s="381"/>
      <c r="L14" s="381"/>
    </row>
    <row r="15" spans="1:12" ht="15" x14ac:dyDescent="0.25">
      <c r="A15" s="380" t="str">
        <f>IF(LEFT(SUP!A63,2)="\I","*","")</f>
        <v/>
      </c>
      <c r="B15" s="380" t="str">
        <f>IF(A15="*","",SUP!B63)</f>
        <v>MINOCR</v>
      </c>
      <c r="C15" s="380" t="str">
        <f>IF(A15="*","",SUP!A63)</f>
        <v>Extraction of Oil Crude</v>
      </c>
      <c r="D15" t="s">
        <v>240</v>
      </c>
      <c r="E15" t="s">
        <v>429</v>
      </c>
      <c r="F15" s="172" t="s">
        <v>358</v>
      </c>
      <c r="G15" s="172" t="s">
        <v>991</v>
      </c>
      <c r="H15" s="172"/>
      <c r="K15" s="381"/>
      <c r="L15" s="381"/>
    </row>
    <row r="16" spans="1:12" ht="15" x14ac:dyDescent="0.25">
      <c r="A16" s="380" t="s">
        <v>253</v>
      </c>
      <c r="B16" s="380" t="str">
        <f>IF(A16="*","",SUP!B64)</f>
        <v>MINGIC</v>
      </c>
      <c r="C16" s="380" t="str">
        <f>IF(A16="*","",SUP!A64)</f>
        <v>Extraction of Coastal Gas</v>
      </c>
      <c r="D16" t="s">
        <v>240</v>
      </c>
      <c r="E16" t="s">
        <v>429</v>
      </c>
      <c r="F16" s="172" t="s">
        <v>358</v>
      </c>
      <c r="G16" s="172" t="s">
        <v>991</v>
      </c>
      <c r="H16" s="172"/>
      <c r="K16" s="381"/>
      <c r="L16" s="381"/>
    </row>
    <row r="17" spans="1:12" ht="15" x14ac:dyDescent="0.25">
      <c r="A17" s="380" t="s">
        <v>253</v>
      </c>
      <c r="B17" s="380" t="str">
        <f>IF(A17="*","",SUP!B65)</f>
        <v>MINGIB</v>
      </c>
      <c r="C17" s="380" t="str">
        <f>IF(A17="*","",SUP!A65)</f>
        <v>Extraction of Gas Indigenous Ibhubezi</v>
      </c>
      <c r="D17" t="s">
        <v>240</v>
      </c>
      <c r="E17" t="s">
        <v>429</v>
      </c>
      <c r="F17" s="172" t="s">
        <v>358</v>
      </c>
      <c r="G17" s="172" t="s">
        <v>991</v>
      </c>
      <c r="H17" s="172"/>
      <c r="K17" s="381"/>
      <c r="L17" s="381"/>
    </row>
    <row r="18" spans="1:12" ht="15" x14ac:dyDescent="0.25">
      <c r="A18" s="380" t="s">
        <v>253</v>
      </c>
      <c r="B18" s="380" t="str">
        <f>IF(A18="*","",SUP!B66)</f>
        <v>MINGAS</v>
      </c>
      <c r="C18" s="380" t="str">
        <f>IF(A18="*","",SUP!A66)</f>
        <v>Extraction of Gas Indigenous Coal Bed Methane</v>
      </c>
      <c r="D18" t="s">
        <v>240</v>
      </c>
      <c r="E18" t="s">
        <v>429</v>
      </c>
      <c r="F18" s="172" t="s">
        <v>358</v>
      </c>
      <c r="G18" s="172" t="s">
        <v>991</v>
      </c>
      <c r="H18" s="172"/>
      <c r="K18" s="381"/>
      <c r="L18" s="381"/>
    </row>
    <row r="19" spans="1:12" ht="15" x14ac:dyDescent="0.25">
      <c r="A19" s="380" t="s">
        <v>253</v>
      </c>
      <c r="B19" s="380" t="str">
        <f>IF(A19="*","",SUP!B67)</f>
        <v>MINGIH</v>
      </c>
      <c r="C19" s="380" t="str">
        <f>IF(A19="*","",SUP!A67)</f>
        <v>Extraction of Gas Indigenous Shale</v>
      </c>
      <c r="D19" t="s">
        <v>240</v>
      </c>
      <c r="E19" t="s">
        <v>429</v>
      </c>
      <c r="F19" s="172" t="s">
        <v>358</v>
      </c>
      <c r="G19" s="172" t="s">
        <v>991</v>
      </c>
      <c r="H19" s="172"/>
      <c r="K19" s="381"/>
      <c r="L19" s="381"/>
    </row>
    <row r="20" spans="1:12" ht="15" x14ac:dyDescent="0.25">
      <c r="A20" s="380" t="s">
        <v>355</v>
      </c>
      <c r="B20" s="380" t="str">
        <f>IF(A20="*","",SUP!B68)</f>
        <v/>
      </c>
      <c r="C20" s="380" t="str">
        <f>IF(A20="*","",SUP!A68)</f>
        <v/>
      </c>
      <c r="D20"/>
      <c r="E20"/>
      <c r="F20" s="172"/>
      <c r="G20" s="172"/>
      <c r="H20" s="172"/>
      <c r="K20" s="381"/>
      <c r="L20" s="381"/>
    </row>
    <row r="21" spans="1:12" ht="15" x14ac:dyDescent="0.25">
      <c r="A21" s="380" t="s">
        <v>253</v>
      </c>
      <c r="B21" s="380" t="str">
        <f>IF(A21="*","",SUP!B69)</f>
        <v>MINBIG</v>
      </c>
      <c r="C21" s="380" t="str">
        <f>IF(A21="*","",SUP!A69)</f>
        <v>Extraction of Biogas</v>
      </c>
      <c r="D21" t="s">
        <v>240</v>
      </c>
      <c r="E21" t="s">
        <v>429</v>
      </c>
      <c r="F21" s="172" t="s">
        <v>358</v>
      </c>
      <c r="G21" s="172" t="s">
        <v>991</v>
      </c>
      <c r="H21" s="172"/>
      <c r="K21" s="381"/>
      <c r="L21" s="381"/>
    </row>
    <row r="22" spans="1:12" ht="15" x14ac:dyDescent="0.25">
      <c r="A22" s="380" t="s">
        <v>253</v>
      </c>
      <c r="B22" s="380" t="str">
        <f>IF(A22="*","",SUP!B70)</f>
        <v>MINBIB</v>
      </c>
      <c r="C22" s="380" t="str">
        <f>IF(A22="*","",SUP!A70)</f>
        <v>Extraction of Biomass bagasse</v>
      </c>
      <c r="D22" t="s">
        <v>240</v>
      </c>
      <c r="E22" t="s">
        <v>429</v>
      </c>
      <c r="F22" s="172" t="s">
        <v>358</v>
      </c>
      <c r="G22" s="172" t="s">
        <v>991</v>
      </c>
      <c r="H22" s="172"/>
      <c r="K22" s="381"/>
      <c r="L22" s="381"/>
    </row>
    <row r="23" spans="1:12" ht="15" x14ac:dyDescent="0.25">
      <c r="A23" s="380" t="s">
        <v>253</v>
      </c>
      <c r="B23" s="380" t="str">
        <f>IF(A23="*","",SUP!B71)</f>
        <v>MINBIO</v>
      </c>
      <c r="C23" s="380" t="str">
        <f>IF(A23="*","",SUP!A71)</f>
        <v>Extraction of Biomass Other</v>
      </c>
      <c r="D23" t="s">
        <v>240</v>
      </c>
      <c r="E23" t="s">
        <v>429</v>
      </c>
      <c r="F23" s="172" t="s">
        <v>358</v>
      </c>
      <c r="G23" s="172" t="s">
        <v>991</v>
      </c>
      <c r="H23" s="172"/>
      <c r="K23" s="381"/>
      <c r="L23" s="381"/>
    </row>
    <row r="24" spans="1:12" ht="15" x14ac:dyDescent="0.25">
      <c r="A24" s="380" t="s">
        <v>253</v>
      </c>
      <c r="B24" s="380" t="str">
        <f>IF(A24="*","",SUP!B72)</f>
        <v>MINBIW</v>
      </c>
      <c r="C24" s="380" t="str">
        <f>IF(A24="*","",SUP!A72)</f>
        <v>Extraction of Biomass Wood</v>
      </c>
      <c r="D24" t="s">
        <v>240</v>
      </c>
      <c r="E24" t="s">
        <v>429</v>
      </c>
      <c r="F24" s="172" t="s">
        <v>358</v>
      </c>
      <c r="G24" s="172" t="s">
        <v>991</v>
      </c>
      <c r="H24" s="172"/>
      <c r="K24" s="381"/>
      <c r="L24" s="381"/>
    </row>
    <row r="25" spans="1:12" ht="15" x14ac:dyDescent="0.25">
      <c r="A25" s="380" t="s">
        <v>253</v>
      </c>
      <c r="B25" s="380" t="str">
        <f>IF(A25="*","",SUP!B73)</f>
        <v>MINWAS</v>
      </c>
      <c r="C25" s="380" t="str">
        <f>IF(A25="*","",SUP!A73)</f>
        <v>Extraction of Waste</v>
      </c>
      <c r="D25" t="s">
        <v>240</v>
      </c>
      <c r="E25" t="s">
        <v>429</v>
      </c>
      <c r="F25" s="172" t="s">
        <v>358</v>
      </c>
      <c r="G25" s="172" t="s">
        <v>991</v>
      </c>
      <c r="H25" s="172"/>
      <c r="K25" s="381"/>
      <c r="L25" s="381"/>
    </row>
    <row r="26" spans="1:12" ht="15" x14ac:dyDescent="0.25">
      <c r="A26" s="380" t="s">
        <v>253</v>
      </c>
      <c r="B26" s="380" t="str">
        <f>IF(A26="*","",SUP!B74)</f>
        <v>MINHYD</v>
      </c>
      <c r="C26" s="380" t="str">
        <f>IF(A26="*","",SUP!A74)</f>
        <v>Extraction of Hydro</v>
      </c>
      <c r="D26" t="s">
        <v>240</v>
      </c>
      <c r="E26" t="s">
        <v>429</v>
      </c>
      <c r="F26" s="172" t="s">
        <v>358</v>
      </c>
      <c r="G26" s="172" t="s">
        <v>991</v>
      </c>
      <c r="H26" s="172"/>
      <c r="K26" s="381"/>
      <c r="L26" s="381"/>
    </row>
    <row r="27" spans="1:12" ht="15" x14ac:dyDescent="0.25">
      <c r="A27" s="380" t="s">
        <v>253</v>
      </c>
      <c r="B27" s="380" t="str">
        <f>IF(A27="*","",SUP!B75)</f>
        <v>MINSOL</v>
      </c>
      <c r="C27" s="380" t="str">
        <f>IF(A27="*","",SUP!A75)</f>
        <v>Extraction of Solar</v>
      </c>
      <c r="D27" t="s">
        <v>240</v>
      </c>
      <c r="E27" t="s">
        <v>429</v>
      </c>
      <c r="F27" s="172" t="s">
        <v>358</v>
      </c>
      <c r="G27" s="172" t="s">
        <v>991</v>
      </c>
      <c r="H27" s="172"/>
      <c r="K27" s="381"/>
      <c r="L27" s="381"/>
    </row>
    <row r="28" spans="1:12" ht="15" x14ac:dyDescent="0.25">
      <c r="A28" s="380" t="s">
        <v>253</v>
      </c>
      <c r="B28" s="380" t="str">
        <f>IF(A28="*","",SUP!B76)</f>
        <v>MINWND</v>
      </c>
      <c r="C28" s="380" t="str">
        <f>IF(A28="*","",SUP!A76)</f>
        <v>Extraction of Wind</v>
      </c>
      <c r="D28" t="s">
        <v>240</v>
      </c>
      <c r="E28" t="s">
        <v>429</v>
      </c>
      <c r="F28" s="172" t="s">
        <v>358</v>
      </c>
      <c r="G28" s="172" t="s">
        <v>991</v>
      </c>
      <c r="H28" s="172"/>
      <c r="K28" s="381"/>
      <c r="L28" s="381"/>
    </row>
    <row r="29" spans="1:12" ht="15" x14ac:dyDescent="0.25">
      <c r="A29" s="380" t="s">
        <v>355</v>
      </c>
      <c r="B29" s="291" t="s">
        <v>1036</v>
      </c>
      <c r="C29" s="380" t="str">
        <f>IF(A29="*","",SUP!A77)</f>
        <v/>
      </c>
      <c r="D29"/>
      <c r="E29"/>
      <c r="F29" s="172"/>
      <c r="G29" s="172"/>
      <c r="H29" s="172"/>
      <c r="K29" s="381"/>
      <c r="L29" s="381"/>
    </row>
    <row r="30" spans="1:12" ht="15" x14ac:dyDescent="0.25">
      <c r="A30" s="380" t="s">
        <v>253</v>
      </c>
      <c r="B30" s="380" t="str">
        <f>IF(A30="*","",SUP!B78)</f>
        <v>IMPCOK</v>
      </c>
      <c r="C30" s="380" t="str">
        <f>IF(A30="*","",SUP!A78)</f>
        <v>Imports of Coal Coking</v>
      </c>
      <c r="D30" t="s">
        <v>240</v>
      </c>
      <c r="E30" t="s">
        <v>429</v>
      </c>
      <c r="F30" s="172" t="s">
        <v>358</v>
      </c>
      <c r="G30" s="172" t="s">
        <v>317</v>
      </c>
      <c r="H30" s="172"/>
      <c r="K30" s="381"/>
      <c r="L30" s="381"/>
    </row>
    <row r="31" spans="1:12" ht="15" x14ac:dyDescent="0.25">
      <c r="A31" s="380" t="s">
        <v>253</v>
      </c>
      <c r="B31" s="380" t="str">
        <f>IF(A31="*","",SUP!B80)</f>
        <v>IMPGRL</v>
      </c>
      <c r="C31" s="380" t="str">
        <f>IF(A31="*","",SUP!A80)</f>
        <v>Imports of Gas Regional LNG</v>
      </c>
      <c r="D31" t="s">
        <v>240</v>
      </c>
      <c r="E31" t="s">
        <v>429</v>
      </c>
      <c r="F31" s="172" t="s">
        <v>358</v>
      </c>
      <c r="G31" s="172" t="s">
        <v>317</v>
      </c>
      <c r="H31" s="172"/>
      <c r="K31" s="381"/>
      <c r="L31" s="381"/>
    </row>
    <row r="32" spans="1:12" ht="15" x14ac:dyDescent="0.25">
      <c r="A32" s="380" t="s">
        <v>253</v>
      </c>
      <c r="B32" s="380" t="str">
        <f>IF(A32="*","",SUP!B81)</f>
        <v>IMPGWL</v>
      </c>
      <c r="C32" s="380" t="str">
        <f>IF(A32="*","",SUP!A81)</f>
        <v>Imports of Gas International LNG</v>
      </c>
      <c r="D32" t="s">
        <v>240</v>
      </c>
      <c r="E32" t="s">
        <v>429</v>
      </c>
      <c r="F32" s="172" t="s">
        <v>358</v>
      </c>
      <c r="G32" s="172" t="s">
        <v>317</v>
      </c>
      <c r="H32" s="172"/>
      <c r="K32" s="381"/>
      <c r="L32" s="381"/>
    </row>
    <row r="33" spans="1:12" ht="15" x14ac:dyDescent="0.25">
      <c r="A33" s="380" t="s">
        <v>253</v>
      </c>
      <c r="B33" s="380" t="str">
        <f>IF(A33="*","",SUP!B83)</f>
        <v>IMPNUC</v>
      </c>
      <c r="C33" s="380" t="str">
        <f>IF(A33="*","",SUP!A83)</f>
        <v>Imports of Nuclear</v>
      </c>
      <c r="D33" t="s">
        <v>240</v>
      </c>
      <c r="E33" t="s">
        <v>429</v>
      </c>
      <c r="F33" s="172" t="s">
        <v>358</v>
      </c>
      <c r="G33" s="172" t="s">
        <v>317</v>
      </c>
      <c r="H33" s="172"/>
      <c r="K33" s="381"/>
      <c r="L33" s="381"/>
    </row>
    <row r="34" spans="1:12" ht="15" x14ac:dyDescent="0.25">
      <c r="A34" s="380" t="s">
        <v>253</v>
      </c>
      <c r="B34" s="380" t="str">
        <f>IF(A34="*","",SUP!B84)</f>
        <v>IMPOAG</v>
      </c>
      <c r="C34" s="380" t="str">
        <f>IF(A34="*","",SUP!A84)</f>
        <v>Imports of Oil Av Gasoline</v>
      </c>
      <c r="D34" t="s">
        <v>240</v>
      </c>
      <c r="E34" t="s">
        <v>429</v>
      </c>
      <c r="F34" s="172" t="s">
        <v>358</v>
      </c>
      <c r="G34" s="172" t="s">
        <v>317</v>
      </c>
      <c r="H34" s="172"/>
      <c r="K34" s="381"/>
      <c r="L34" s="381"/>
    </row>
    <row r="35" spans="1:12" ht="15" x14ac:dyDescent="0.25">
      <c r="A35" s="380" t="s">
        <v>253</v>
      </c>
      <c r="B35" s="380" t="str">
        <f>IF(A35="*","",SUP!B85)</f>
        <v>IMPOCR</v>
      </c>
      <c r="C35" s="380" t="str">
        <f>IF(A35="*","",SUP!A85)</f>
        <v>Imports of Oil Crude</v>
      </c>
      <c r="D35" t="s">
        <v>240</v>
      </c>
      <c r="E35" t="s">
        <v>429</v>
      </c>
      <c r="F35" s="172" t="s">
        <v>358</v>
      </c>
      <c r="G35" s="172" t="s">
        <v>317</v>
      </c>
      <c r="H35" s="172"/>
      <c r="K35" s="381"/>
      <c r="L35" s="381"/>
    </row>
    <row r="36" spans="1:12" ht="15" x14ac:dyDescent="0.25">
      <c r="A36" s="380" t="s">
        <v>253</v>
      </c>
      <c r="B36" s="380" t="str">
        <f>IF(A36="*","",SUP!B86)</f>
        <v>IMPODS</v>
      </c>
      <c r="C36" s="380" t="str">
        <f>IF(A36="*","",SUP!A86)</f>
        <v>Imports of Oil Diesel</v>
      </c>
      <c r="D36" t="s">
        <v>240</v>
      </c>
      <c r="E36" t="s">
        <v>429</v>
      </c>
      <c r="F36" s="172" t="s">
        <v>358</v>
      </c>
      <c r="G36" s="172" t="s">
        <v>317</v>
      </c>
      <c r="H36" s="172"/>
      <c r="K36" s="381"/>
      <c r="L36" s="381"/>
    </row>
    <row r="37" spans="1:12" ht="15" x14ac:dyDescent="0.25">
      <c r="A37" s="380" t="s">
        <v>253</v>
      </c>
      <c r="B37" s="380" t="str">
        <f>IF(A37="*","",SUP!B87)</f>
        <v>IMPOGS</v>
      </c>
      <c r="C37" s="380" t="str">
        <f>IF(A37="*","",SUP!A87)</f>
        <v>Imports of Oil Gasoline</v>
      </c>
      <c r="D37" t="s">
        <v>240</v>
      </c>
      <c r="E37" t="s">
        <v>429</v>
      </c>
      <c r="F37" s="172" t="s">
        <v>358</v>
      </c>
      <c r="G37" s="172" t="s">
        <v>317</v>
      </c>
      <c r="H37" s="172"/>
      <c r="K37" s="381"/>
      <c r="L37" s="381"/>
    </row>
    <row r="38" spans="1:12" ht="15" x14ac:dyDescent="0.25">
      <c r="A38" s="380" t="s">
        <v>253</v>
      </c>
      <c r="B38" s="380" t="str">
        <f>IF(A38="*","",SUP!B88)</f>
        <v>IMPOHF</v>
      </c>
      <c r="C38" s="380" t="str">
        <f>IF(A38="*","",SUP!A88)</f>
        <v>Imports of Oil HFO</v>
      </c>
      <c r="D38" t="s">
        <v>240</v>
      </c>
      <c r="E38" t="s">
        <v>429</v>
      </c>
      <c r="F38" s="172" t="s">
        <v>358</v>
      </c>
      <c r="G38" s="172" t="s">
        <v>317</v>
      </c>
      <c r="H38" s="172"/>
      <c r="K38" s="381"/>
      <c r="L38" s="381"/>
    </row>
    <row r="39" spans="1:12" ht="15" x14ac:dyDescent="0.25">
      <c r="A39" s="380" t="s">
        <v>253</v>
      </c>
      <c r="B39" s="380" t="str">
        <f>IF(A39="*","",SUP!B89)</f>
        <v>IMPOLP</v>
      </c>
      <c r="C39" s="380" t="str">
        <f>IF(A39="*","",SUP!A89)</f>
        <v>Imports of Oil LPG</v>
      </c>
      <c r="D39" t="s">
        <v>240</v>
      </c>
      <c r="E39" t="s">
        <v>429</v>
      </c>
      <c r="F39" s="172" t="s">
        <v>358</v>
      </c>
      <c r="G39" s="172" t="s">
        <v>317</v>
      </c>
      <c r="H39" s="172"/>
      <c r="K39" s="381"/>
      <c r="L39" s="381"/>
    </row>
    <row r="40" spans="1:12" ht="15" x14ac:dyDescent="0.25">
      <c r="A40" s="380" t="s">
        <v>253</v>
      </c>
      <c r="B40" s="380" t="str">
        <f>IF(A40="*","",SUP!B90)</f>
        <v>IMPOKE</v>
      </c>
      <c r="C40" s="380" t="str">
        <f>IF(A40="*","",SUP!A90)</f>
        <v>Imports of Oil Kerosene</v>
      </c>
      <c r="D40" t="s">
        <v>240</v>
      </c>
      <c r="E40" t="s">
        <v>429</v>
      </c>
      <c r="F40" s="172" t="s">
        <v>358</v>
      </c>
      <c r="G40" s="172" t="s">
        <v>317</v>
      </c>
      <c r="H40" s="172"/>
      <c r="K40" s="381"/>
      <c r="L40" s="381"/>
    </row>
    <row r="41" spans="1:12" ht="15" x14ac:dyDescent="0.25">
      <c r="A41" s="380" t="s">
        <v>253</v>
      </c>
      <c r="B41" s="380" t="str">
        <f>IF(A41="*","",SUP!B91)</f>
        <v>IMPBID</v>
      </c>
      <c r="C41" s="380" t="str">
        <f>IF(A41="*","",SUP!A91)</f>
        <v>Imports of Biodiesel</v>
      </c>
      <c r="D41" t="s">
        <v>240</v>
      </c>
      <c r="E41" t="s">
        <v>429</v>
      </c>
      <c r="F41" s="172" t="s">
        <v>358</v>
      </c>
      <c r="G41" s="172" t="s">
        <v>317</v>
      </c>
      <c r="H41" s="172"/>
      <c r="K41" s="381"/>
      <c r="L41" s="381"/>
    </row>
    <row r="42" spans="1:12" ht="15" x14ac:dyDescent="0.25">
      <c r="A42" s="380" t="s">
        <v>253</v>
      </c>
      <c r="B42" s="380" t="str">
        <f>IF(A42="*","",SUP!B92)</f>
        <v>IMPBIE</v>
      </c>
      <c r="C42" s="380" t="str">
        <f>IF(A42="*","",SUP!A92)</f>
        <v>Imports of Bioethanol</v>
      </c>
      <c r="D42" t="s">
        <v>240</v>
      </c>
      <c r="E42" t="s">
        <v>429</v>
      </c>
      <c r="F42" s="172" t="s">
        <v>358</v>
      </c>
      <c r="G42" s="172" t="s">
        <v>317</v>
      </c>
      <c r="H42" s="172"/>
      <c r="K42" s="381"/>
      <c r="L42" s="381"/>
    </row>
    <row r="43" spans="1:12" ht="15" x14ac:dyDescent="0.25">
      <c r="A43" s="380" t="s">
        <v>355</v>
      </c>
      <c r="B43" s="380" t="str">
        <f>IF(A43="*","",SUP!B93)</f>
        <v/>
      </c>
      <c r="C43" s="380" t="str">
        <f>IF(A43="*","",SUP!A93)</f>
        <v/>
      </c>
      <c r="D43"/>
      <c r="E43"/>
      <c r="F43" s="172"/>
      <c r="G43" s="172"/>
      <c r="H43" s="172"/>
      <c r="K43" s="381"/>
      <c r="L43" s="381"/>
    </row>
    <row r="44" spans="1:12" ht="15" x14ac:dyDescent="0.25">
      <c r="A44" s="380" t="s">
        <v>253</v>
      </c>
      <c r="B44" s="380" t="str">
        <f>IF(A44="*","",SUP!B94)</f>
        <v>MIRGRS</v>
      </c>
      <c r="C44" s="380" t="str">
        <f>IF(A44="*","",SUP!A94)</f>
        <v>Extraction of Gas Southern Mozambique</v>
      </c>
      <c r="D44" t="s">
        <v>240</v>
      </c>
      <c r="E44" t="s">
        <v>429</v>
      </c>
      <c r="F44" s="172" t="s">
        <v>358</v>
      </c>
      <c r="G44" s="172" t="s">
        <v>991</v>
      </c>
      <c r="H44" s="172"/>
      <c r="K44" s="381"/>
      <c r="L44" s="381"/>
    </row>
    <row r="45" spans="1:12" ht="15" x14ac:dyDescent="0.25">
      <c r="A45" s="380" t="s">
        <v>253</v>
      </c>
      <c r="B45" s="380" t="str">
        <f>IF(A45="*","",SUP!B95)</f>
        <v>MIRGRM</v>
      </c>
      <c r="C45" s="380" t="str">
        <f>IF(A45="*","",SUP!A95)</f>
        <v>Extraction of Gas Northern Mozambique</v>
      </c>
      <c r="D45" t="s">
        <v>240</v>
      </c>
      <c r="E45" t="s">
        <v>429</v>
      </c>
      <c r="F45" s="172" t="s">
        <v>358</v>
      </c>
      <c r="G45" s="172" t="s">
        <v>991</v>
      </c>
      <c r="H45" s="172"/>
      <c r="K45" s="381"/>
      <c r="L45" s="381"/>
    </row>
    <row r="46" spans="1:12" ht="15" x14ac:dyDescent="0.25">
      <c r="A46" s="380" t="s">
        <v>355</v>
      </c>
      <c r="B46" s="291" t="s">
        <v>1037</v>
      </c>
      <c r="C46" s="380" t="str">
        <f>IF(A46="*","",SUP!A96)</f>
        <v/>
      </c>
      <c r="D46"/>
      <c r="E46"/>
      <c r="F46" s="172"/>
      <c r="G46" s="172"/>
      <c r="H46" s="172"/>
      <c r="K46" s="381"/>
      <c r="L46" s="381"/>
    </row>
    <row r="47" spans="1:12" ht="15" x14ac:dyDescent="0.25">
      <c r="A47" s="380" t="s">
        <v>253</v>
      </c>
      <c r="B47" s="380" t="str">
        <f>IF(A47="*","",SUP!B97)</f>
        <v>PEXCOA</v>
      </c>
      <c r="C47" s="380" t="str">
        <f>IF(A47="*","",SUP!A97)</f>
        <v>Exports of Coal</v>
      </c>
      <c r="D47" t="s">
        <v>240</v>
      </c>
      <c r="E47" t="s">
        <v>429</v>
      </c>
      <c r="F47" s="172" t="s">
        <v>358</v>
      </c>
      <c r="G47" s="172" t="s">
        <v>319</v>
      </c>
      <c r="H47" s="172"/>
      <c r="K47" s="381"/>
      <c r="L47" s="381"/>
    </row>
    <row r="48" spans="1:12" ht="15" x14ac:dyDescent="0.25">
      <c r="A48" s="380" t="s">
        <v>253</v>
      </c>
      <c r="B48" s="380" t="str">
        <f>IF(A48="*","",SUP!B98)</f>
        <v>PEXCOK</v>
      </c>
      <c r="C48" s="380" t="str">
        <f>IF(A48="*","",SUP!A98)</f>
        <v>Exports of Coal Coking</v>
      </c>
      <c r="D48" t="s">
        <v>240</v>
      </c>
      <c r="E48" t="s">
        <v>429</v>
      </c>
      <c r="F48" s="172" t="s">
        <v>358</v>
      </c>
      <c r="G48" s="172" t="s">
        <v>319</v>
      </c>
      <c r="H48" s="172"/>
      <c r="K48" s="381"/>
      <c r="L48" s="381"/>
    </row>
    <row r="49" spans="1:12" ht="15" x14ac:dyDescent="0.25">
      <c r="A49" s="380" t="s">
        <v>253</v>
      </c>
      <c r="B49" s="380" t="str">
        <f>IF(A49="*","",SUP!B99)</f>
        <v>PEXOAG</v>
      </c>
      <c r="C49" s="380" t="str">
        <f>IF(A49="*","",SUP!A99)</f>
        <v>Exports of Oil Av Gasoline</v>
      </c>
      <c r="D49" t="s">
        <v>240</v>
      </c>
      <c r="E49" t="s">
        <v>429</v>
      </c>
      <c r="F49" s="172" t="s">
        <v>358</v>
      </c>
      <c r="G49" s="172" t="s">
        <v>319</v>
      </c>
      <c r="H49" s="172"/>
      <c r="K49" s="381"/>
      <c r="L49" s="381"/>
    </row>
    <row r="50" spans="1:12" ht="15" x14ac:dyDescent="0.25">
      <c r="A50" s="380" t="s">
        <v>253</v>
      </c>
      <c r="B50" s="380" t="str">
        <f>IF(A50="*","",SUP!B100)</f>
        <v>PEXOCR</v>
      </c>
      <c r="C50" s="380" t="str">
        <f>IF(A50="*","",SUP!A100)</f>
        <v>Exports of Oil Crude</v>
      </c>
      <c r="D50" t="s">
        <v>240</v>
      </c>
      <c r="E50" t="s">
        <v>429</v>
      </c>
      <c r="F50" s="172" t="s">
        <v>358</v>
      </c>
      <c r="G50" s="172" t="s">
        <v>319</v>
      </c>
      <c r="H50" s="172"/>
      <c r="K50" s="381"/>
      <c r="L50" s="381"/>
    </row>
    <row r="51" spans="1:12" ht="15" x14ac:dyDescent="0.25">
      <c r="A51" s="380" t="s">
        <v>253</v>
      </c>
      <c r="B51" s="380" t="str">
        <f>IF(A51="*","",SUP!B101)</f>
        <v>PEXODS</v>
      </c>
      <c r="C51" s="380" t="str">
        <f>IF(A51="*","",SUP!A101)</f>
        <v>Exports of Oil Diesel</v>
      </c>
      <c r="D51" t="s">
        <v>240</v>
      </c>
      <c r="E51" t="s">
        <v>429</v>
      </c>
      <c r="F51" s="172" t="s">
        <v>358</v>
      </c>
      <c r="G51" s="172" t="s">
        <v>319</v>
      </c>
      <c r="H51" s="172"/>
      <c r="K51" s="381"/>
      <c r="L51" s="381"/>
    </row>
    <row r="52" spans="1:12" ht="15" x14ac:dyDescent="0.25">
      <c r="A52" s="380" t="s">
        <v>253</v>
      </c>
      <c r="B52" s="380" t="str">
        <f>IF(A52="*","",SUP!B102)</f>
        <v>PEXOGS</v>
      </c>
      <c r="C52" s="380" t="str">
        <f>IF(A52="*","",SUP!A102)</f>
        <v>Exports of Oil Gasoline</v>
      </c>
      <c r="D52" t="s">
        <v>240</v>
      </c>
      <c r="E52" t="s">
        <v>429</v>
      </c>
      <c r="F52" s="172" t="s">
        <v>358</v>
      </c>
      <c r="G52" s="172" t="s">
        <v>319</v>
      </c>
      <c r="H52" s="172"/>
      <c r="K52" s="381"/>
      <c r="L52" s="381"/>
    </row>
    <row r="53" spans="1:12" ht="15" x14ac:dyDescent="0.25">
      <c r="A53" s="380" t="s">
        <v>253</v>
      </c>
      <c r="B53" s="380" t="str">
        <f>IF(A53="*","",SUP!B103)</f>
        <v>PEXOHF</v>
      </c>
      <c r="C53" s="380" t="str">
        <f>IF(A53="*","",SUP!A103)</f>
        <v>Exports of Oil HFO</v>
      </c>
      <c r="D53" t="s">
        <v>240</v>
      </c>
      <c r="E53" t="s">
        <v>429</v>
      </c>
      <c r="F53" s="172" t="s">
        <v>358</v>
      </c>
      <c r="G53" s="172" t="s">
        <v>319</v>
      </c>
      <c r="H53" s="172"/>
      <c r="K53" s="381"/>
      <c r="L53" s="381"/>
    </row>
    <row r="54" spans="1:12" ht="15" x14ac:dyDescent="0.25">
      <c r="A54" s="380" t="s">
        <v>253</v>
      </c>
      <c r="B54" s="380" t="str">
        <f>IF(A54="*","",SUP!B104)</f>
        <v>PEXOKE</v>
      </c>
      <c r="C54" s="380" t="str">
        <f>IF(A54="*","",SUP!A104)</f>
        <v>Exports of Oil Kerosene</v>
      </c>
      <c r="D54" t="s">
        <v>240</v>
      </c>
      <c r="E54" t="s">
        <v>429</v>
      </c>
      <c r="F54" s="172" t="s">
        <v>358</v>
      </c>
      <c r="G54" s="172" t="s">
        <v>319</v>
      </c>
      <c r="H54" s="172"/>
      <c r="K54" s="381"/>
      <c r="L54" s="381"/>
    </row>
    <row r="55" spans="1:12" x14ac:dyDescent="0.2">
      <c r="A55" s="380" t="s">
        <v>355</v>
      </c>
      <c r="B55" s="291" t="s">
        <v>1038</v>
      </c>
      <c r="D55" s="381"/>
      <c r="E55" s="381"/>
    </row>
    <row r="56" spans="1:12" ht="15" x14ac:dyDescent="0.25">
      <c r="B56" s="380" t="s">
        <v>1030</v>
      </c>
      <c r="C56" s="380" t="s">
        <v>1029</v>
      </c>
      <c r="D56" t="s">
        <v>240</v>
      </c>
      <c r="E56" t="s">
        <v>429</v>
      </c>
      <c r="F56" s="172" t="s">
        <v>358</v>
      </c>
      <c r="G56" s="380" t="s">
        <v>608</v>
      </c>
    </row>
    <row r="57" spans="1:12" ht="15" x14ac:dyDescent="0.25">
      <c r="B57" s="380" t="s">
        <v>1032</v>
      </c>
      <c r="C57" s="380" t="s">
        <v>1031</v>
      </c>
      <c r="D57" t="s">
        <v>240</v>
      </c>
      <c r="E57" t="s">
        <v>429</v>
      </c>
      <c r="F57" s="172" t="s">
        <v>358</v>
      </c>
      <c r="G57" s="380" t="s">
        <v>608</v>
      </c>
    </row>
    <row r="58" spans="1:12" ht="15" x14ac:dyDescent="0.25">
      <c r="B58" s="380" t="s">
        <v>1022</v>
      </c>
      <c r="C58" s="380" t="s">
        <v>1021</v>
      </c>
      <c r="D58" t="s">
        <v>240</v>
      </c>
      <c r="E58" t="s">
        <v>429</v>
      </c>
      <c r="F58" s="172" t="s">
        <v>358</v>
      </c>
      <c r="G58" s="380" t="s">
        <v>608</v>
      </c>
    </row>
    <row r="59" spans="1:12" ht="15" x14ac:dyDescent="0.25">
      <c r="B59" s="380" t="s">
        <v>1024</v>
      </c>
      <c r="C59" s="380" t="s">
        <v>1023</v>
      </c>
      <c r="D59" t="s">
        <v>240</v>
      </c>
      <c r="E59" t="s">
        <v>429</v>
      </c>
      <c r="F59" s="172" t="s">
        <v>358</v>
      </c>
      <c r="G59" s="380" t="s">
        <v>608</v>
      </c>
    </row>
    <row r="60" spans="1:12" ht="15" x14ac:dyDescent="0.25">
      <c r="B60" s="380" t="s">
        <v>1026</v>
      </c>
      <c r="C60" s="380" t="s">
        <v>1025</v>
      </c>
      <c r="D60" t="s">
        <v>240</v>
      </c>
      <c r="E60" t="s">
        <v>429</v>
      </c>
      <c r="F60" s="172" t="s">
        <v>358</v>
      </c>
      <c r="G60" s="380" t="s">
        <v>608</v>
      </c>
    </row>
    <row r="61" spans="1:12" ht="15" x14ac:dyDescent="0.25">
      <c r="B61" s="380" t="s">
        <v>1027</v>
      </c>
      <c r="C61" s="380" t="s">
        <v>815</v>
      </c>
      <c r="D61" t="s">
        <v>240</v>
      </c>
      <c r="E61" t="s">
        <v>967</v>
      </c>
      <c r="F61" s="401" t="s">
        <v>609</v>
      </c>
      <c r="G61" s="401" t="s">
        <v>1039</v>
      </c>
    </row>
    <row r="62" spans="1:12" ht="15" x14ac:dyDescent="0.25">
      <c r="B62" s="380" t="s">
        <v>1028</v>
      </c>
      <c r="C62" s="380" t="s">
        <v>817</v>
      </c>
      <c r="D62" t="s">
        <v>240</v>
      </c>
      <c r="E62" t="s">
        <v>967</v>
      </c>
      <c r="F62" s="401" t="s">
        <v>609</v>
      </c>
      <c r="G62" s="401" t="s">
        <v>1039</v>
      </c>
    </row>
  </sheetData>
  <pageMargins left="0.75" right="0.75" top="1" bottom="1" header="0.5" footer="0.5"/>
  <pageSetup paperSize="9"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BA7E23-C7FF-4E8E-BD9A-61A52C845EC4}">
  <sheetPr codeName="Sheet6">
    <tabColor theme="4"/>
  </sheetPr>
  <dimension ref="A1:O70"/>
  <sheetViews>
    <sheetView topLeftCell="A9" workbookViewId="0">
      <selection activeCell="C32" sqref="C32"/>
    </sheetView>
  </sheetViews>
  <sheetFormatPr defaultColWidth="11.42578125" defaultRowHeight="11.25" x14ac:dyDescent="0.2"/>
  <cols>
    <col min="1" max="1" width="12.42578125" style="380" customWidth="1"/>
    <col min="2" max="2" width="11" style="380" customWidth="1"/>
    <col min="3" max="3" width="41" style="380" customWidth="1"/>
    <col min="4" max="4" width="10.28515625" style="380" customWidth="1"/>
    <col min="5" max="5" width="28.7109375" style="380" customWidth="1"/>
    <col min="6" max="16384" width="11.42578125" style="380"/>
  </cols>
  <sheetData>
    <row r="1" spans="1:15" ht="18" thickBot="1" x14ac:dyDescent="0.35">
      <c r="A1" s="291"/>
      <c r="B1" s="169" t="s">
        <v>1000</v>
      </c>
      <c r="C1" s="169"/>
      <c r="D1" s="169"/>
      <c r="E1" s="169"/>
    </row>
    <row r="2" spans="1:15" ht="12" thickTop="1" x14ac:dyDescent="0.2"/>
    <row r="3" spans="1:15" ht="15" x14ac:dyDescent="0.25">
      <c r="B3" s="296" t="s">
        <v>591</v>
      </c>
      <c r="C3" s="296"/>
      <c r="D3" s="296"/>
      <c r="E3" s="296"/>
      <c r="F3" s="296"/>
      <c r="G3" s="296"/>
      <c r="H3" s="296"/>
    </row>
    <row r="4" spans="1:15" ht="15" x14ac:dyDescent="0.25">
      <c r="B4" s="296" t="s">
        <v>576</v>
      </c>
      <c r="C4" s="296" t="s">
        <v>599</v>
      </c>
      <c r="D4" s="296" t="s">
        <v>600</v>
      </c>
      <c r="E4" s="296" t="s">
        <v>601</v>
      </c>
      <c r="F4" s="296" t="s">
        <v>602</v>
      </c>
      <c r="G4" s="296" t="s">
        <v>987</v>
      </c>
      <c r="H4" s="296" t="s">
        <v>986</v>
      </c>
    </row>
    <row r="5" spans="1:15" x14ac:dyDescent="0.2">
      <c r="B5" s="380" t="s">
        <v>985</v>
      </c>
      <c r="C5" s="380" t="s">
        <v>984</v>
      </c>
      <c r="D5" s="381" t="s">
        <v>240</v>
      </c>
      <c r="E5" s="381" t="s">
        <v>977</v>
      </c>
      <c r="F5" s="380" t="s">
        <v>358</v>
      </c>
    </row>
    <row r="6" spans="1:15" x14ac:dyDescent="0.2">
      <c r="B6" s="380" t="s">
        <v>1002</v>
      </c>
      <c r="D6" s="381"/>
      <c r="E6" s="381"/>
    </row>
    <row r="7" spans="1:15" x14ac:dyDescent="0.2">
      <c r="B7" s="380" t="str">
        <f>NameConv!C5</f>
        <v>BIG</v>
      </c>
      <c r="C7" s="380" t="str">
        <f>NameConv!B5</f>
        <v>Biogas</v>
      </c>
      <c r="D7" s="381" t="s">
        <v>240</v>
      </c>
      <c r="E7" s="381" t="s">
        <v>977</v>
      </c>
      <c r="F7" s="380" t="s">
        <v>358</v>
      </c>
      <c r="K7" s="170"/>
      <c r="L7" s="170"/>
      <c r="M7" s="170"/>
      <c r="N7" s="170"/>
      <c r="O7" s="170"/>
    </row>
    <row r="8" spans="1:15" x14ac:dyDescent="0.2">
      <c r="B8" s="380" t="str">
        <f>NameConv!C6</f>
        <v>BIE</v>
      </c>
      <c r="C8" s="380" t="str">
        <f>NameConv!B6</f>
        <v>Bioethanol</v>
      </c>
      <c r="D8" s="381" t="s">
        <v>240</v>
      </c>
      <c r="E8" s="381" t="s">
        <v>977</v>
      </c>
      <c r="F8" s="380" t="s">
        <v>358</v>
      </c>
      <c r="K8" s="170"/>
      <c r="L8" s="170"/>
      <c r="M8" s="170"/>
      <c r="N8" s="170"/>
      <c r="O8" s="170"/>
    </row>
    <row r="9" spans="1:15" x14ac:dyDescent="0.2">
      <c r="B9" s="380" t="str">
        <f>NameConv!C7</f>
        <v>BID</v>
      </c>
      <c r="C9" s="380" t="str">
        <f>NameConv!B7</f>
        <v>Biodiesel</v>
      </c>
      <c r="D9" s="381" t="s">
        <v>240</v>
      </c>
      <c r="E9" s="381" t="s">
        <v>977</v>
      </c>
      <c r="F9" s="380" t="s">
        <v>358</v>
      </c>
      <c r="K9" s="170"/>
      <c r="L9" s="170"/>
      <c r="M9" s="170"/>
      <c r="N9" s="170"/>
      <c r="O9" s="170"/>
    </row>
    <row r="10" spans="1:15" x14ac:dyDescent="0.2">
      <c r="B10" s="380" t="str">
        <f>NameConv!C8</f>
        <v>BIB</v>
      </c>
      <c r="C10" s="380" t="str">
        <f>NameConv!B8</f>
        <v>Biomass bagasse</v>
      </c>
      <c r="D10" s="381" t="s">
        <v>240</v>
      </c>
      <c r="E10" s="381" t="s">
        <v>977</v>
      </c>
      <c r="F10" s="380" t="s">
        <v>358</v>
      </c>
      <c r="K10" s="170"/>
      <c r="L10" s="170"/>
      <c r="M10" s="170"/>
      <c r="N10" s="170"/>
      <c r="O10" s="170"/>
    </row>
    <row r="11" spans="1:15" x14ac:dyDescent="0.2">
      <c r="B11" s="380" t="str">
        <f>NameConv!C9</f>
        <v>BIO</v>
      </c>
      <c r="C11" s="380" t="str">
        <f>NameConv!B9</f>
        <v>Biomass Other</v>
      </c>
      <c r="D11" s="381" t="s">
        <v>240</v>
      </c>
      <c r="E11" s="381" t="s">
        <v>977</v>
      </c>
      <c r="F11" s="380" t="s">
        <v>358</v>
      </c>
      <c r="K11" s="170"/>
      <c r="L11" s="170"/>
      <c r="M11" s="170"/>
      <c r="N11" s="170"/>
      <c r="O11" s="170"/>
    </row>
    <row r="12" spans="1:15" x14ac:dyDescent="0.2">
      <c r="B12" s="380" t="str">
        <f>NameConv!C10</f>
        <v>BIW</v>
      </c>
      <c r="C12" s="380" t="str">
        <f>NameConv!B10</f>
        <v>Biomass Wood</v>
      </c>
      <c r="D12" s="381" t="s">
        <v>240</v>
      </c>
      <c r="E12" s="381" t="s">
        <v>977</v>
      </c>
      <c r="F12" s="380" t="s">
        <v>358</v>
      </c>
      <c r="K12" s="170"/>
      <c r="L12" s="170"/>
      <c r="M12" s="170"/>
      <c r="N12" s="170"/>
      <c r="O12" s="170"/>
    </row>
    <row r="13" spans="1:15" x14ac:dyDescent="0.2">
      <c r="B13" s="380" t="str">
        <f>NameConv!C11</f>
        <v>COA</v>
      </c>
      <c r="C13" s="380" t="str">
        <f>NameConv!B11</f>
        <v>Coal</v>
      </c>
      <c r="D13" s="381" t="s">
        <v>240</v>
      </c>
      <c r="E13" s="381" t="s">
        <v>977</v>
      </c>
      <c r="F13" s="380" t="s">
        <v>358</v>
      </c>
      <c r="K13" s="170"/>
      <c r="L13" s="170"/>
      <c r="M13" s="170"/>
      <c r="N13" s="170"/>
      <c r="O13" s="170"/>
    </row>
    <row r="14" spans="1:15" x14ac:dyDescent="0.2">
      <c r="B14" s="380" t="str">
        <f>NameConv!C12</f>
        <v>COK</v>
      </c>
      <c r="C14" s="380" t="str">
        <f>NameConv!B12</f>
        <v>Coal Coking</v>
      </c>
      <c r="D14" s="381" t="s">
        <v>240</v>
      </c>
      <c r="E14" s="381" t="s">
        <v>977</v>
      </c>
      <c r="F14" s="380" t="s">
        <v>358</v>
      </c>
      <c r="K14" s="170"/>
      <c r="L14" s="170"/>
      <c r="M14" s="170"/>
      <c r="N14" s="170"/>
      <c r="O14" s="170"/>
    </row>
    <row r="15" spans="1:15" x14ac:dyDescent="0.2">
      <c r="B15" s="380" t="str">
        <f>NameConv!C13</f>
        <v>CLD</v>
      </c>
      <c r="C15" s="380" t="str">
        <f>NameConv!B13</f>
        <v>Coal Discard</v>
      </c>
      <c r="D15" s="381" t="s">
        <v>240</v>
      </c>
      <c r="E15" s="381" t="s">
        <v>977</v>
      </c>
      <c r="F15" s="380" t="s">
        <v>358</v>
      </c>
      <c r="K15" s="170"/>
      <c r="L15" s="170"/>
      <c r="M15" s="170"/>
      <c r="N15" s="170"/>
      <c r="O15" s="170"/>
    </row>
    <row r="16" spans="1:15" x14ac:dyDescent="0.2">
      <c r="B16" s="380" t="str">
        <f>NameConv!C14</f>
        <v>CLE</v>
      </c>
      <c r="C16" s="380" t="str">
        <f>NameConv!B14</f>
        <v>Coal low grade</v>
      </c>
      <c r="D16" s="381" t="s">
        <v>240</v>
      </c>
      <c r="E16" s="381" t="s">
        <v>977</v>
      </c>
      <c r="F16" s="380" t="s">
        <v>358</v>
      </c>
      <c r="K16" s="170"/>
      <c r="L16" s="170"/>
      <c r="M16" s="170"/>
      <c r="N16" s="170"/>
      <c r="O16" s="170"/>
    </row>
    <row r="17" spans="2:15" x14ac:dyDescent="0.2">
      <c r="B17" s="380" t="s">
        <v>1100</v>
      </c>
      <c r="C17" s="380" t="s">
        <v>1101</v>
      </c>
      <c r="D17" s="381" t="s">
        <v>240</v>
      </c>
      <c r="E17" s="381" t="s">
        <v>977</v>
      </c>
      <c r="F17" s="380" t="s">
        <v>358</v>
      </c>
      <c r="K17" s="170"/>
      <c r="L17" s="170"/>
      <c r="M17" s="170"/>
      <c r="N17" s="170"/>
      <c r="O17" s="170"/>
    </row>
    <row r="18" spans="2:15" x14ac:dyDescent="0.2">
      <c r="B18" s="380" t="str">
        <f>NameConv!C15</f>
        <v>CRB</v>
      </c>
      <c r="C18" s="380" t="str">
        <f>NameConv!B15</f>
        <v>Coal for plants in Botswana</v>
      </c>
      <c r="D18" s="381" t="s">
        <v>240</v>
      </c>
      <c r="E18" s="381" t="s">
        <v>977</v>
      </c>
      <c r="F18" s="380" t="s">
        <v>358</v>
      </c>
      <c r="K18" s="170"/>
      <c r="L18" s="170"/>
      <c r="M18" s="170"/>
      <c r="N18" s="170"/>
      <c r="O18" s="170"/>
    </row>
    <row r="19" spans="2:15" x14ac:dyDescent="0.2">
      <c r="B19" s="380" t="str">
        <f>NameConv!C17</f>
        <v>ELC</v>
      </c>
      <c r="C19" s="380" t="str">
        <f>NameConv!B17</f>
        <v>Electricity</v>
      </c>
      <c r="D19" s="381" t="s">
        <v>240</v>
      </c>
      <c r="E19" s="381" t="s">
        <v>977</v>
      </c>
      <c r="F19" s="380" t="s">
        <v>609</v>
      </c>
      <c r="H19" s="380" t="s">
        <v>167</v>
      </c>
      <c r="K19" s="170"/>
      <c r="L19" s="170"/>
      <c r="M19" s="170"/>
      <c r="N19" s="170"/>
      <c r="O19" s="170"/>
    </row>
    <row r="20" spans="2:15" x14ac:dyDescent="0.2">
      <c r="B20" s="380" t="str">
        <f>NameConv!C18</f>
        <v>ELCC</v>
      </c>
      <c r="C20" s="380" t="str">
        <f>NameConv!B18</f>
        <v>Electricity Upstream Transmission</v>
      </c>
      <c r="D20" s="381" t="s">
        <v>240</v>
      </c>
      <c r="E20" s="381" t="s">
        <v>977</v>
      </c>
      <c r="F20" s="380" t="s">
        <v>609</v>
      </c>
      <c r="G20" s="380" t="s">
        <v>358</v>
      </c>
      <c r="H20" s="380" t="s">
        <v>167</v>
      </c>
      <c r="K20" s="170"/>
      <c r="L20" s="170"/>
      <c r="M20" s="170"/>
      <c r="N20" s="170"/>
      <c r="O20" s="170"/>
    </row>
    <row r="21" spans="2:15" x14ac:dyDescent="0.2">
      <c r="B21" s="380" t="str">
        <f>NameConv!C19</f>
        <v>GAS</v>
      </c>
      <c r="C21" s="380" t="str">
        <f>NameConv!B19</f>
        <v>Gas South Africa</v>
      </c>
      <c r="D21" s="381" t="s">
        <v>240</v>
      </c>
      <c r="E21" s="381" t="s">
        <v>977</v>
      </c>
      <c r="F21" s="380" t="s">
        <v>358</v>
      </c>
      <c r="K21" s="170"/>
      <c r="L21" s="170"/>
      <c r="M21" s="170"/>
      <c r="N21" s="170"/>
      <c r="O21" s="170"/>
    </row>
    <row r="22" spans="2:15" x14ac:dyDescent="0.2">
      <c r="B22" s="380" t="str">
        <f>NameConv!C20</f>
        <v>GRS</v>
      </c>
      <c r="C22" s="380" t="str">
        <f>NameConv!B20</f>
        <v>Gas Southern Mozambique</v>
      </c>
      <c r="D22" s="381" t="s">
        <v>240</v>
      </c>
      <c r="E22" s="381" t="s">
        <v>977</v>
      </c>
      <c r="F22" s="380" t="s">
        <v>358</v>
      </c>
      <c r="K22" s="170"/>
      <c r="L22" s="170"/>
      <c r="M22" s="170"/>
      <c r="N22" s="170"/>
      <c r="O22" s="170"/>
    </row>
    <row r="23" spans="2:15" x14ac:dyDescent="0.2">
      <c r="B23" s="380" t="str">
        <f>NameConv!C21</f>
        <v>GRN</v>
      </c>
      <c r="C23" s="380" t="str">
        <f>NameConv!B21</f>
        <v>Gas Namibia</v>
      </c>
      <c r="D23" s="381" t="s">
        <v>240</v>
      </c>
      <c r="E23" s="381" t="s">
        <v>977</v>
      </c>
      <c r="F23" s="380" t="s">
        <v>358</v>
      </c>
      <c r="K23" s="170"/>
      <c r="L23" s="170"/>
      <c r="M23" s="170"/>
      <c r="N23" s="170"/>
      <c r="O23" s="170"/>
    </row>
    <row r="24" spans="2:15" x14ac:dyDescent="0.2">
      <c r="B24" s="380" t="str">
        <f>NameConv!C22</f>
        <v>GRL</v>
      </c>
      <c r="C24" s="380" t="str">
        <f>NameConv!B22</f>
        <v>Gas Regional LNG</v>
      </c>
      <c r="D24" s="381" t="s">
        <v>240</v>
      </c>
      <c r="E24" s="381" t="s">
        <v>977</v>
      </c>
      <c r="F24" s="380" t="s">
        <v>358</v>
      </c>
      <c r="K24" s="170"/>
      <c r="L24" s="170"/>
      <c r="M24" s="170"/>
      <c r="N24" s="170"/>
      <c r="O24" s="170"/>
    </row>
    <row r="25" spans="2:15" x14ac:dyDescent="0.2">
      <c r="B25" s="380" t="str">
        <f>NameConv!C23</f>
        <v>GWL</v>
      </c>
      <c r="C25" s="380" t="str">
        <f>NameConv!B23</f>
        <v>Gas International LNG</v>
      </c>
      <c r="D25" s="381" t="s">
        <v>240</v>
      </c>
      <c r="E25" s="381" t="s">
        <v>977</v>
      </c>
      <c r="F25" s="380" t="s">
        <v>358</v>
      </c>
      <c r="K25" s="170"/>
      <c r="L25" s="170"/>
      <c r="M25" s="170"/>
      <c r="N25" s="170"/>
      <c r="O25" s="170"/>
    </row>
    <row r="26" spans="2:15" x14ac:dyDescent="0.2">
      <c r="B26" s="380" t="str">
        <f>NameConv!C24</f>
        <v>GRM</v>
      </c>
      <c r="C26" s="380" t="str">
        <f>NameConv!B24</f>
        <v>Gas Northern Mozambique</v>
      </c>
      <c r="D26" s="381" t="s">
        <v>240</v>
      </c>
      <c r="E26" s="381" t="s">
        <v>977</v>
      </c>
      <c r="F26" s="380" t="s">
        <v>358</v>
      </c>
      <c r="K26" s="170"/>
      <c r="L26" s="170"/>
      <c r="M26" s="170"/>
      <c r="N26" s="170"/>
      <c r="O26" s="170"/>
    </row>
    <row r="27" spans="2:15" x14ac:dyDescent="0.2">
      <c r="B27" s="380" t="str">
        <f>NameConv!C25</f>
        <v>GIB</v>
      </c>
      <c r="C27" s="380" t="str">
        <f>NameConv!B25</f>
        <v>Gas Indigenous Ibhubezi</v>
      </c>
      <c r="D27" s="381" t="s">
        <v>240</v>
      </c>
      <c r="E27" s="381" t="s">
        <v>977</v>
      </c>
      <c r="F27" s="380" t="s">
        <v>358</v>
      </c>
      <c r="K27" s="170"/>
      <c r="L27" s="170"/>
      <c r="M27" s="170"/>
      <c r="N27" s="170"/>
      <c r="O27" s="170"/>
    </row>
    <row r="28" spans="2:15" x14ac:dyDescent="0.2">
      <c r="B28" s="380" t="str">
        <f>NameConv!C26</f>
        <v>GIH</v>
      </c>
      <c r="C28" s="380" t="str">
        <f>NameConv!B26</f>
        <v>Gas Indigenous Shale</v>
      </c>
      <c r="D28" s="381" t="s">
        <v>240</v>
      </c>
      <c r="E28" s="381" t="s">
        <v>977</v>
      </c>
      <c r="F28" s="380" t="s">
        <v>358</v>
      </c>
      <c r="K28" s="170"/>
      <c r="L28" s="170"/>
      <c r="M28" s="170"/>
      <c r="N28" s="170"/>
      <c r="O28" s="170"/>
    </row>
    <row r="29" spans="2:15" x14ac:dyDescent="0.2">
      <c r="B29" s="380" t="str">
        <f>NameConv!C27</f>
        <v>GIC</v>
      </c>
      <c r="C29" s="380" t="str">
        <f>NameConv!B27</f>
        <v>Coastal Gas</v>
      </c>
      <c r="D29" s="381" t="s">
        <v>240</v>
      </c>
      <c r="E29" s="381" t="s">
        <v>977</v>
      </c>
      <c r="F29" s="380" t="s">
        <v>358</v>
      </c>
      <c r="K29" s="170"/>
      <c r="L29" s="170"/>
      <c r="M29" s="170"/>
      <c r="N29" s="170"/>
      <c r="O29" s="170"/>
    </row>
    <row r="30" spans="2:15" x14ac:dyDescent="0.2">
      <c r="B30" s="380" t="str">
        <f>NameConv!C29</f>
        <v>GIM</v>
      </c>
      <c r="C30" s="380" t="str">
        <f>NameConv!B29</f>
        <v>Gas Methane Rich</v>
      </c>
      <c r="D30" s="381" t="s">
        <v>240</v>
      </c>
      <c r="E30" s="381" t="s">
        <v>977</v>
      </c>
      <c r="F30" s="380" t="s">
        <v>358</v>
      </c>
      <c r="K30" s="170"/>
      <c r="L30" s="170"/>
      <c r="M30" s="170"/>
      <c r="N30" s="170"/>
      <c r="O30" s="170"/>
    </row>
    <row r="31" spans="2:15" x14ac:dyDescent="0.2">
      <c r="B31" s="380" t="s">
        <v>1102</v>
      </c>
      <c r="C31" s="380" t="s">
        <v>1103</v>
      </c>
      <c r="D31" s="381" t="s">
        <v>240</v>
      </c>
      <c r="E31" s="381" t="s">
        <v>977</v>
      </c>
      <c r="F31" s="380" t="s">
        <v>358</v>
      </c>
      <c r="K31" s="170"/>
      <c r="L31" s="170"/>
      <c r="M31" s="170"/>
      <c r="N31" s="170"/>
      <c r="O31" s="170"/>
    </row>
    <row r="32" spans="2:15" x14ac:dyDescent="0.2">
      <c r="B32" s="380" t="str">
        <f>NameConv!C30</f>
        <v>HET</v>
      </c>
      <c r="C32" s="380" t="str">
        <f>NameConv!B30</f>
        <v>Heat-Steam</v>
      </c>
      <c r="D32" s="381" t="s">
        <v>240</v>
      </c>
      <c r="E32" s="381" t="s">
        <v>977</v>
      </c>
      <c r="F32" s="380" t="s">
        <v>358</v>
      </c>
      <c r="K32" s="170"/>
      <c r="L32" s="170"/>
      <c r="M32" s="170"/>
      <c r="N32" s="170"/>
      <c r="O32" s="170"/>
    </row>
    <row r="33" spans="2:15" x14ac:dyDescent="0.2">
      <c r="B33" s="380" t="str">
        <f>NameConv!C31</f>
        <v>HEE</v>
      </c>
      <c r="C33" s="380" t="str">
        <f>NameConv!B31</f>
        <v>Heat-Steam Existing</v>
      </c>
      <c r="D33" s="381" t="s">
        <v>240</v>
      </c>
      <c r="E33" s="381" t="s">
        <v>977</v>
      </c>
      <c r="F33" s="380" t="s">
        <v>358</v>
      </c>
      <c r="K33" s="170"/>
      <c r="L33" s="170"/>
      <c r="M33" s="170"/>
      <c r="N33" s="170"/>
      <c r="O33" s="170"/>
    </row>
    <row r="34" spans="2:15" x14ac:dyDescent="0.2">
      <c r="B34" s="380" t="str">
        <f>NameConv!C32</f>
        <v>HEN</v>
      </c>
      <c r="C34" s="380" t="str">
        <f>NameConv!B32</f>
        <v>Heat-Steam New</v>
      </c>
      <c r="D34" s="381" t="s">
        <v>240</v>
      </c>
      <c r="E34" s="381" t="s">
        <v>977</v>
      </c>
      <c r="F34" s="380" t="s">
        <v>358</v>
      </c>
      <c r="K34" s="170"/>
      <c r="L34" s="170"/>
      <c r="M34" s="170"/>
      <c r="N34" s="170"/>
      <c r="O34" s="170"/>
    </row>
    <row r="35" spans="2:15" x14ac:dyDescent="0.2">
      <c r="B35" s="380" t="str">
        <f>NameConv!C33</f>
        <v>HYD</v>
      </c>
      <c r="C35" s="380" t="str">
        <f>NameConv!B33</f>
        <v>Hydro</v>
      </c>
      <c r="D35" s="381" t="s">
        <v>240</v>
      </c>
      <c r="E35" s="381" t="s">
        <v>977</v>
      </c>
      <c r="F35" s="380" t="s">
        <v>358</v>
      </c>
      <c r="K35" s="170"/>
      <c r="L35" s="170"/>
      <c r="M35" s="170"/>
      <c r="N35" s="170"/>
      <c r="O35" s="170"/>
    </row>
    <row r="36" spans="2:15" x14ac:dyDescent="0.2">
      <c r="B36" s="380" t="str">
        <f>NameConv!C34</f>
        <v>HGN</v>
      </c>
      <c r="C36" s="380" t="str">
        <f>NameConv!B34</f>
        <v>Hydrogen</v>
      </c>
      <c r="D36" s="381" t="s">
        <v>240</v>
      </c>
      <c r="E36" s="381" t="s">
        <v>977</v>
      </c>
      <c r="F36" s="380" t="s">
        <v>358</v>
      </c>
      <c r="K36" s="170"/>
      <c r="L36" s="170"/>
      <c r="M36" s="170"/>
      <c r="N36" s="170"/>
      <c r="O36" s="170"/>
    </row>
    <row r="37" spans="2:15" x14ac:dyDescent="0.2">
      <c r="B37" s="380" t="str">
        <f>NameConv!C35</f>
        <v>NUC</v>
      </c>
      <c r="C37" s="380" t="str">
        <f>NameConv!B35</f>
        <v>Nuclear</v>
      </c>
      <c r="D37" s="381" t="s">
        <v>240</v>
      </c>
      <c r="E37" s="381" t="s">
        <v>977</v>
      </c>
      <c r="F37" s="380" t="s">
        <v>358</v>
      </c>
      <c r="K37" s="170"/>
      <c r="L37" s="170"/>
      <c r="M37" s="170"/>
      <c r="N37" s="170"/>
      <c r="O37" s="170"/>
    </row>
    <row r="38" spans="2:15" x14ac:dyDescent="0.2">
      <c r="B38" s="380" t="str">
        <f>NameConv!C36</f>
        <v>OAG</v>
      </c>
      <c r="C38" s="380" t="str">
        <f>NameConv!B36</f>
        <v>Oil Av Gasoline</v>
      </c>
      <c r="D38" s="381" t="s">
        <v>240</v>
      </c>
      <c r="E38" s="381" t="s">
        <v>977</v>
      </c>
      <c r="F38" s="380" t="s">
        <v>358</v>
      </c>
      <c r="K38" s="170"/>
      <c r="L38" s="170"/>
      <c r="M38" s="170"/>
      <c r="N38" s="170"/>
      <c r="O38" s="170"/>
    </row>
    <row r="39" spans="2:15" x14ac:dyDescent="0.2">
      <c r="B39" s="380" t="str">
        <f>NameConv!C37</f>
        <v>OCR</v>
      </c>
      <c r="C39" s="380" t="str">
        <f>NameConv!B37</f>
        <v>Oil Crude</v>
      </c>
      <c r="D39" s="381" t="s">
        <v>240</v>
      </c>
      <c r="E39" s="381" t="s">
        <v>977</v>
      </c>
      <c r="F39" s="380" t="s">
        <v>358</v>
      </c>
      <c r="K39" s="170"/>
      <c r="L39" s="170"/>
      <c r="M39" s="170"/>
      <c r="N39" s="170"/>
      <c r="O39" s="170"/>
    </row>
    <row r="40" spans="2:15" x14ac:dyDescent="0.2">
      <c r="B40" s="380" t="str">
        <f>NameConv!C38</f>
        <v>ODS</v>
      </c>
      <c r="C40" s="380" t="str">
        <f>NameConv!B38</f>
        <v>Oil Diesel</v>
      </c>
      <c r="D40" s="381" t="s">
        <v>240</v>
      </c>
      <c r="E40" s="381" t="s">
        <v>977</v>
      </c>
      <c r="F40" s="380" t="s">
        <v>358</v>
      </c>
      <c r="K40" s="170"/>
      <c r="L40" s="170"/>
      <c r="M40" s="170"/>
      <c r="N40" s="170"/>
      <c r="O40" s="170"/>
    </row>
    <row r="41" spans="2:15" x14ac:dyDescent="0.2">
      <c r="B41" s="380" t="str">
        <f>NameConv!C39</f>
        <v>OGS</v>
      </c>
      <c r="C41" s="380" t="str">
        <f>NameConv!B39</f>
        <v>Oil Gasoline</v>
      </c>
      <c r="D41" s="381" t="s">
        <v>240</v>
      </c>
      <c r="E41" s="381" t="s">
        <v>977</v>
      </c>
      <c r="F41" s="380" t="s">
        <v>358</v>
      </c>
      <c r="K41" s="170"/>
      <c r="L41" s="170"/>
      <c r="M41" s="170"/>
      <c r="N41" s="170"/>
      <c r="O41" s="170"/>
    </row>
    <row r="42" spans="2:15" x14ac:dyDescent="0.2">
      <c r="B42" s="380" t="str">
        <f>NameConv!C40</f>
        <v>OHF</v>
      </c>
      <c r="C42" s="380" t="str">
        <f>NameConv!B40</f>
        <v>Oil HFO</v>
      </c>
      <c r="D42" s="381" t="s">
        <v>240</v>
      </c>
      <c r="E42" s="381" t="s">
        <v>977</v>
      </c>
      <c r="F42" s="380" t="s">
        <v>358</v>
      </c>
      <c r="K42" s="170"/>
      <c r="L42" s="170"/>
      <c r="M42" s="170"/>
      <c r="N42" s="170"/>
      <c r="O42" s="170"/>
    </row>
    <row r="43" spans="2:15" x14ac:dyDescent="0.2">
      <c r="B43" s="380" t="str">
        <f>NameConv!C41</f>
        <v>OKE</v>
      </c>
      <c r="C43" s="380" t="str">
        <f>NameConv!B41</f>
        <v>Oil Kerosene</v>
      </c>
      <c r="D43" s="381" t="s">
        <v>240</v>
      </c>
      <c r="E43" s="381" t="s">
        <v>977</v>
      </c>
      <c r="F43" s="380" t="s">
        <v>358</v>
      </c>
      <c r="K43" s="170"/>
      <c r="L43" s="170"/>
      <c r="M43" s="170"/>
      <c r="N43" s="170"/>
      <c r="O43" s="170"/>
    </row>
    <row r="44" spans="2:15" x14ac:dyDescent="0.2">
      <c r="B44" s="380" t="str">
        <f>NameConv!C42</f>
        <v>OLP</v>
      </c>
      <c r="C44" s="380" t="str">
        <f>NameConv!B42</f>
        <v>Oil LPG</v>
      </c>
      <c r="D44" s="381" t="s">
        <v>240</v>
      </c>
      <c r="E44" s="381" t="s">
        <v>977</v>
      </c>
      <c r="F44" s="380" t="s">
        <v>358</v>
      </c>
      <c r="K44" s="170"/>
      <c r="L44" s="170"/>
      <c r="M44" s="170"/>
      <c r="N44" s="170"/>
      <c r="O44" s="170"/>
    </row>
    <row r="45" spans="2:15" x14ac:dyDescent="0.2">
      <c r="B45" s="380" t="str">
        <f>NameConv!C43</f>
        <v>OTH</v>
      </c>
      <c r="C45" s="380" t="str">
        <f>NameConv!B43</f>
        <v>Oil Other</v>
      </c>
      <c r="D45" s="381" t="s">
        <v>240</v>
      </c>
      <c r="E45" s="381" t="s">
        <v>977</v>
      </c>
      <c r="F45" s="380" t="s">
        <v>358</v>
      </c>
      <c r="K45" s="170"/>
      <c r="L45" s="170"/>
      <c r="M45" s="170"/>
      <c r="N45" s="170"/>
      <c r="O45" s="170"/>
    </row>
    <row r="46" spans="2:15" x14ac:dyDescent="0.2">
      <c r="B46" s="380" t="str">
        <f>NameConv!C44</f>
        <v>SOL</v>
      </c>
      <c r="C46" s="380" t="str">
        <f>NameConv!B44</f>
        <v>Solar</v>
      </c>
      <c r="D46" s="381" t="s">
        <v>240</v>
      </c>
      <c r="E46" s="381" t="s">
        <v>977</v>
      </c>
      <c r="F46" s="380" t="s">
        <v>358</v>
      </c>
      <c r="K46" s="170"/>
      <c r="L46" s="170"/>
      <c r="M46" s="170"/>
      <c r="N46" s="170"/>
      <c r="O46" s="170"/>
    </row>
    <row r="47" spans="2:15" x14ac:dyDescent="0.2">
      <c r="B47" s="380" t="str">
        <f>NameConv!C45</f>
        <v>WND</v>
      </c>
      <c r="C47" s="380" t="str">
        <f>NameConv!B45</f>
        <v>Wind</v>
      </c>
      <c r="D47" s="381" t="s">
        <v>240</v>
      </c>
      <c r="E47" s="381" t="s">
        <v>977</v>
      </c>
      <c r="F47" s="380" t="s">
        <v>358</v>
      </c>
      <c r="K47" s="170"/>
      <c r="L47" s="170"/>
      <c r="M47" s="170"/>
      <c r="N47" s="170"/>
      <c r="O47" s="170"/>
    </row>
    <row r="48" spans="2:15" x14ac:dyDescent="0.2">
      <c r="B48" s="380" t="str">
        <f>NameConv!C46</f>
        <v>WAS</v>
      </c>
      <c r="C48" s="380" t="str">
        <f>NameConv!B46</f>
        <v>Waste</v>
      </c>
      <c r="D48" s="381" t="s">
        <v>240</v>
      </c>
      <c r="E48" s="381" t="s">
        <v>977</v>
      </c>
      <c r="F48" s="380" t="s">
        <v>358</v>
      </c>
      <c r="K48" s="170"/>
      <c r="L48" s="170"/>
      <c r="M48" s="170"/>
      <c r="N48" s="170"/>
      <c r="O48" s="170"/>
    </row>
    <row r="49" spans="2:6" x14ac:dyDescent="0.2">
      <c r="B49" s="380" t="s">
        <v>983</v>
      </c>
      <c r="C49" s="380" t="s">
        <v>982</v>
      </c>
      <c r="D49" s="381" t="s">
        <v>981</v>
      </c>
      <c r="E49" s="381" t="s">
        <v>980</v>
      </c>
      <c r="F49" s="380" t="s">
        <v>358</v>
      </c>
    </row>
    <row r="50" spans="2:6" x14ac:dyDescent="0.2">
      <c r="B50" s="380" t="s">
        <v>979</v>
      </c>
      <c r="C50" s="380" t="s">
        <v>978</v>
      </c>
      <c r="D50" s="381" t="s">
        <v>240</v>
      </c>
      <c r="E50" s="381" t="s">
        <v>977</v>
      </c>
      <c r="F50" s="380" t="s">
        <v>358</v>
      </c>
    </row>
    <row r="51" spans="2:6" x14ac:dyDescent="0.2">
      <c r="B51" s="380" t="s">
        <v>998</v>
      </c>
    </row>
    <row r="52" spans="2:6" x14ac:dyDescent="0.2">
      <c r="B52" s="380" t="s">
        <v>579</v>
      </c>
      <c r="C52" s="380" t="s">
        <v>1003</v>
      </c>
      <c r="D52" s="381" t="s">
        <v>981</v>
      </c>
      <c r="E52" s="381" t="s">
        <v>980</v>
      </c>
      <c r="F52" s="380" t="s">
        <v>358</v>
      </c>
    </row>
    <row r="53" spans="2:6" x14ac:dyDescent="0.2">
      <c r="B53" s="380" t="s">
        <v>1096</v>
      </c>
      <c r="C53" s="380" t="s">
        <v>1098</v>
      </c>
      <c r="D53" s="381" t="s">
        <v>981</v>
      </c>
      <c r="E53" s="381" t="s">
        <v>980</v>
      </c>
      <c r="F53" s="380" t="s">
        <v>358</v>
      </c>
    </row>
    <row r="54" spans="2:6" x14ac:dyDescent="0.2">
      <c r="B54" s="380" t="s">
        <v>136</v>
      </c>
      <c r="C54" s="380" t="s">
        <v>1004</v>
      </c>
      <c r="D54" s="381" t="s">
        <v>981</v>
      </c>
      <c r="E54" s="381" t="s">
        <v>980</v>
      </c>
      <c r="F54" s="380" t="s">
        <v>358</v>
      </c>
    </row>
    <row r="55" spans="2:6" x14ac:dyDescent="0.2">
      <c r="B55" s="380" t="s">
        <v>137</v>
      </c>
      <c r="C55" s="380" t="s">
        <v>1005</v>
      </c>
      <c r="D55" s="381" t="s">
        <v>981</v>
      </c>
      <c r="E55" s="381" t="s">
        <v>980</v>
      </c>
      <c r="F55" s="380" t="s">
        <v>358</v>
      </c>
    </row>
    <row r="56" spans="2:6" x14ac:dyDescent="0.2">
      <c r="B56" s="380" t="s">
        <v>1097</v>
      </c>
      <c r="C56" s="380" t="s">
        <v>1098</v>
      </c>
      <c r="D56" s="381" t="s">
        <v>981</v>
      </c>
      <c r="E56" s="381" t="s">
        <v>980</v>
      </c>
      <c r="F56" s="380" t="s">
        <v>358</v>
      </c>
    </row>
    <row r="57" spans="2:6" x14ac:dyDescent="0.2">
      <c r="B57" s="380" t="s">
        <v>138</v>
      </c>
      <c r="C57" s="380" t="s">
        <v>1006</v>
      </c>
      <c r="D57" s="381" t="s">
        <v>981</v>
      </c>
      <c r="E57" s="381" t="s">
        <v>980</v>
      </c>
      <c r="F57" s="380" t="s">
        <v>358</v>
      </c>
    </row>
    <row r="58" spans="2:6" x14ac:dyDescent="0.2">
      <c r="B58" s="380" t="s">
        <v>139</v>
      </c>
      <c r="C58" s="380" t="s">
        <v>1007</v>
      </c>
      <c r="D58" s="381" t="s">
        <v>981</v>
      </c>
      <c r="E58" s="381" t="s">
        <v>980</v>
      </c>
      <c r="F58" s="380" t="s">
        <v>358</v>
      </c>
    </row>
    <row r="59" spans="2:6" x14ac:dyDescent="0.2">
      <c r="B59" s="380" t="s">
        <v>140</v>
      </c>
      <c r="C59" s="380" t="s">
        <v>1008</v>
      </c>
      <c r="D59" s="381" t="s">
        <v>981</v>
      </c>
      <c r="E59" s="381" t="s">
        <v>980</v>
      </c>
      <c r="F59" s="380" t="s">
        <v>358</v>
      </c>
    </row>
    <row r="60" spans="2:6" x14ac:dyDescent="0.2">
      <c r="B60" s="380" t="s">
        <v>141</v>
      </c>
      <c r="C60" s="380" t="s">
        <v>1009</v>
      </c>
      <c r="D60" s="381" t="s">
        <v>981</v>
      </c>
      <c r="E60" s="381" t="s">
        <v>980</v>
      </c>
      <c r="F60" s="380" t="s">
        <v>358</v>
      </c>
    </row>
    <row r="61" spans="2:6" x14ac:dyDescent="0.2">
      <c r="B61" s="380" t="s">
        <v>142</v>
      </c>
      <c r="C61" s="380" t="s">
        <v>1010</v>
      </c>
      <c r="D61" s="381" t="s">
        <v>981</v>
      </c>
      <c r="E61" s="381" t="s">
        <v>980</v>
      </c>
      <c r="F61" s="380" t="s">
        <v>358</v>
      </c>
    </row>
    <row r="62" spans="2:6" x14ac:dyDescent="0.2">
      <c r="B62" s="380" t="s">
        <v>143</v>
      </c>
      <c r="C62" s="380" t="s">
        <v>1099</v>
      </c>
      <c r="D62" s="381" t="s">
        <v>981</v>
      </c>
      <c r="E62" s="381" t="s">
        <v>980</v>
      </c>
      <c r="F62" s="380" t="s">
        <v>358</v>
      </c>
    </row>
    <row r="63" spans="2:6" x14ac:dyDescent="0.2">
      <c r="B63" s="380" t="s">
        <v>1011</v>
      </c>
    </row>
    <row r="64" spans="2:6" x14ac:dyDescent="0.2">
      <c r="B64" s="380" t="s">
        <v>588</v>
      </c>
      <c r="C64" s="380" t="s">
        <v>993</v>
      </c>
      <c r="D64" s="381" t="s">
        <v>981</v>
      </c>
      <c r="E64" s="381" t="s">
        <v>980</v>
      </c>
      <c r="F64" s="380" t="s">
        <v>358</v>
      </c>
    </row>
    <row r="65" spans="2:6" x14ac:dyDescent="0.2">
      <c r="B65" s="380" t="s">
        <v>583</v>
      </c>
      <c r="C65" s="380" t="s">
        <v>993</v>
      </c>
      <c r="D65" s="381" t="s">
        <v>981</v>
      </c>
      <c r="E65" s="381" t="s">
        <v>980</v>
      </c>
      <c r="F65" s="380" t="s">
        <v>358</v>
      </c>
    </row>
    <row r="66" spans="2:6" x14ac:dyDescent="0.2">
      <c r="B66" s="380" t="s">
        <v>999</v>
      </c>
      <c r="D66" s="381"/>
      <c r="E66" s="381"/>
    </row>
    <row r="67" spans="2:6" x14ac:dyDescent="0.2">
      <c r="B67" s="380" t="s">
        <v>584</v>
      </c>
      <c r="C67" s="380" t="s">
        <v>994</v>
      </c>
      <c r="D67" s="381" t="s">
        <v>981</v>
      </c>
      <c r="E67" s="381" t="s">
        <v>980</v>
      </c>
      <c r="F67" s="380" t="s">
        <v>358</v>
      </c>
    </row>
    <row r="68" spans="2:6" x14ac:dyDescent="0.2">
      <c r="B68" s="380" t="s">
        <v>585</v>
      </c>
      <c r="C68" s="380" t="s">
        <v>995</v>
      </c>
      <c r="D68" s="381" t="s">
        <v>981</v>
      </c>
      <c r="E68" s="381" t="s">
        <v>980</v>
      </c>
      <c r="F68" s="380" t="s">
        <v>358</v>
      </c>
    </row>
    <row r="69" spans="2:6" x14ac:dyDescent="0.2">
      <c r="B69" s="380" t="s">
        <v>586</v>
      </c>
      <c r="C69" s="380" t="s">
        <v>996</v>
      </c>
      <c r="D69" s="381" t="s">
        <v>981</v>
      </c>
      <c r="E69" s="381" t="s">
        <v>980</v>
      </c>
      <c r="F69" s="380" t="s">
        <v>358</v>
      </c>
    </row>
    <row r="70" spans="2:6" x14ac:dyDescent="0.2">
      <c r="B70" s="380" t="s">
        <v>587</v>
      </c>
      <c r="C70" s="380" t="s">
        <v>997</v>
      </c>
      <c r="D70" s="381" t="s">
        <v>981</v>
      </c>
      <c r="E70" s="381" t="s">
        <v>980</v>
      </c>
      <c r="F70" s="380" t="s">
        <v>358</v>
      </c>
    </row>
  </sheetData>
  <pageMargins left="0.75" right="0.75" top="1" bottom="1" header="0.5" footer="0.5"/>
  <pageSetup paperSize="9" orientation="portrait" r:id="rId1"/>
  <headerFooter alignWithMargins="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BBE103-AADE-4E6A-AADC-A6AAC21BD16D}">
  <sheetPr codeName="Sheet7">
    <tabColor theme="8"/>
  </sheetPr>
  <dimension ref="A1:BA149"/>
  <sheetViews>
    <sheetView topLeftCell="A48" workbookViewId="0">
      <selection activeCell="L97" sqref="L97"/>
    </sheetView>
  </sheetViews>
  <sheetFormatPr defaultColWidth="11.42578125" defaultRowHeight="12.75" x14ac:dyDescent="0.2"/>
  <cols>
    <col min="1" max="1" width="43" style="28" customWidth="1"/>
    <col min="2" max="2" width="11" style="28" customWidth="1"/>
    <col min="3" max="3" width="12" style="28" customWidth="1"/>
    <col min="4" max="5" width="10" style="28" customWidth="1"/>
    <col min="6" max="6" width="19.28515625" style="28" customWidth="1"/>
    <col min="7" max="7" width="11.28515625" style="28" customWidth="1"/>
    <col min="8" max="8" width="11.5703125" style="28" customWidth="1"/>
    <col min="9" max="9" width="13.42578125" style="28" customWidth="1"/>
    <col min="10" max="10" width="11.140625" style="28" customWidth="1"/>
    <col min="11" max="11" width="12.42578125" style="28" customWidth="1"/>
    <col min="12" max="12" width="10.28515625" style="28" customWidth="1"/>
    <col min="13" max="13" width="10" style="28" customWidth="1"/>
    <col min="14" max="14" width="7.28515625" style="28" customWidth="1"/>
    <col min="15" max="15" width="9.42578125" style="28" customWidth="1"/>
    <col min="16" max="17" width="10.28515625" style="28" customWidth="1"/>
    <col min="18" max="20" width="9" style="28" customWidth="1"/>
    <col min="21" max="21" width="14.7109375" style="28" customWidth="1"/>
    <col min="22" max="22" width="14.140625" style="28" customWidth="1"/>
    <col min="23" max="25" width="9.7109375" style="28" customWidth="1"/>
    <col min="26" max="43" width="7.28515625" style="28" customWidth="1"/>
    <col min="44" max="16384" width="11.42578125" style="28"/>
  </cols>
  <sheetData>
    <row r="1" spans="1:53" ht="18" thickBot="1" x14ac:dyDescent="0.35">
      <c r="B1" s="169" t="s">
        <v>1013</v>
      </c>
      <c r="C1" s="169"/>
      <c r="D1" s="169"/>
      <c r="E1" s="169"/>
    </row>
    <row r="2" spans="1:53" ht="13.5" thickTop="1" x14ac:dyDescent="0.2"/>
    <row r="3" spans="1:53" ht="15.75" x14ac:dyDescent="0.25">
      <c r="A3" s="36" t="s">
        <v>231</v>
      </c>
      <c r="B3" s="412" t="s">
        <v>232</v>
      </c>
      <c r="C3" s="412"/>
      <c r="D3" s="412"/>
      <c r="E3" s="37" t="s">
        <v>233</v>
      </c>
      <c r="F3" s="37"/>
      <c r="G3" s="29"/>
      <c r="H3" s="36"/>
      <c r="I3" s="29"/>
      <c r="J3" s="36"/>
    </row>
    <row r="4" spans="1:53" x14ac:dyDescent="0.2">
      <c r="A4" s="30"/>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38"/>
      <c r="AH4" s="38"/>
      <c r="AI4" s="38"/>
      <c r="AJ4" s="38"/>
      <c r="AK4" s="38"/>
      <c r="AL4" s="38"/>
      <c r="AM4" s="38"/>
      <c r="AN4" s="38"/>
      <c r="AO4" s="38"/>
      <c r="AP4" s="38"/>
      <c r="AQ4" s="38"/>
      <c r="AR4" s="38"/>
      <c r="AS4" s="38"/>
      <c r="AT4" s="38"/>
      <c r="AU4" s="38"/>
      <c r="AV4" s="38"/>
      <c r="AW4" s="38"/>
      <c r="AX4" s="38"/>
      <c r="AY4" s="38"/>
      <c r="AZ4" s="38"/>
      <c r="BA4" s="38"/>
    </row>
    <row r="5" spans="1:53" x14ac:dyDescent="0.2">
      <c r="A5" s="30"/>
      <c r="B5" s="30"/>
      <c r="C5" s="39" t="s">
        <v>234</v>
      </c>
      <c r="D5" s="39"/>
    </row>
    <row r="6" spans="1:53" x14ac:dyDescent="0.2">
      <c r="A6" s="29" t="s">
        <v>235</v>
      </c>
      <c r="B6" s="30">
        <f>COUNT(C6:BA6)</f>
        <v>48</v>
      </c>
      <c r="C6" s="30">
        <v>1</v>
      </c>
      <c r="D6" s="30">
        <f>C6+1</f>
        <v>2</v>
      </c>
      <c r="E6" s="30">
        <f>D6+1</f>
        <v>3</v>
      </c>
      <c r="F6" s="30">
        <f>E6+1</f>
        <v>4</v>
      </c>
      <c r="G6" s="30">
        <f>F6+1</f>
        <v>5</v>
      </c>
      <c r="H6" s="30">
        <f>G6+1</f>
        <v>6</v>
      </c>
      <c r="I6" s="30">
        <f t="shared" ref="I6:AF6" si="0">H6+1</f>
        <v>7</v>
      </c>
      <c r="J6" s="30">
        <f t="shared" si="0"/>
        <v>8</v>
      </c>
      <c r="K6" s="30">
        <f t="shared" si="0"/>
        <v>9</v>
      </c>
      <c r="L6" s="30">
        <f t="shared" si="0"/>
        <v>10</v>
      </c>
      <c r="M6" s="30">
        <f t="shared" si="0"/>
        <v>11</v>
      </c>
      <c r="N6" s="30">
        <f t="shared" si="0"/>
        <v>12</v>
      </c>
      <c r="O6" s="30">
        <f t="shared" si="0"/>
        <v>13</v>
      </c>
      <c r="P6" s="30">
        <f t="shared" si="0"/>
        <v>14</v>
      </c>
      <c r="Q6" s="30">
        <f t="shared" si="0"/>
        <v>15</v>
      </c>
      <c r="R6" s="30">
        <f t="shared" si="0"/>
        <v>16</v>
      </c>
      <c r="S6" s="30">
        <f t="shared" si="0"/>
        <v>17</v>
      </c>
      <c r="T6" s="30">
        <f t="shared" si="0"/>
        <v>18</v>
      </c>
      <c r="U6" s="30">
        <f t="shared" si="0"/>
        <v>19</v>
      </c>
      <c r="V6" s="30">
        <f t="shared" si="0"/>
        <v>20</v>
      </c>
      <c r="W6" s="30">
        <f t="shared" si="0"/>
        <v>21</v>
      </c>
      <c r="X6" s="30">
        <f t="shared" si="0"/>
        <v>22</v>
      </c>
      <c r="Y6" s="30">
        <f t="shared" si="0"/>
        <v>23</v>
      </c>
      <c r="Z6" s="30">
        <f t="shared" si="0"/>
        <v>24</v>
      </c>
      <c r="AA6" s="30">
        <f t="shared" si="0"/>
        <v>25</v>
      </c>
      <c r="AB6" s="30">
        <f t="shared" si="0"/>
        <v>26</v>
      </c>
      <c r="AC6" s="30">
        <f t="shared" si="0"/>
        <v>27</v>
      </c>
      <c r="AD6" s="30">
        <f t="shared" si="0"/>
        <v>28</v>
      </c>
      <c r="AE6" s="30">
        <f t="shared" si="0"/>
        <v>29</v>
      </c>
      <c r="AF6" s="30">
        <f t="shared" si="0"/>
        <v>30</v>
      </c>
      <c r="AG6" s="30"/>
      <c r="AH6" s="30">
        <f>AF6+1</f>
        <v>31</v>
      </c>
      <c r="AI6" s="30">
        <f t="shared" ref="AI6:AY6" si="1">AH6+1</f>
        <v>32</v>
      </c>
      <c r="AJ6" s="30">
        <f t="shared" si="1"/>
        <v>33</v>
      </c>
      <c r="AK6" s="30">
        <f t="shared" si="1"/>
        <v>34</v>
      </c>
      <c r="AL6" s="30">
        <f t="shared" si="1"/>
        <v>35</v>
      </c>
      <c r="AM6" s="30">
        <f t="shared" si="1"/>
        <v>36</v>
      </c>
      <c r="AN6" s="30">
        <f t="shared" si="1"/>
        <v>37</v>
      </c>
      <c r="AO6" s="30">
        <f t="shared" si="1"/>
        <v>38</v>
      </c>
      <c r="AP6" s="30">
        <f t="shared" si="1"/>
        <v>39</v>
      </c>
      <c r="AQ6" s="30">
        <f t="shared" si="1"/>
        <v>40</v>
      </c>
      <c r="AR6" s="30">
        <f t="shared" si="1"/>
        <v>41</v>
      </c>
      <c r="AS6" s="30">
        <f t="shared" si="1"/>
        <v>42</v>
      </c>
      <c r="AT6" s="30">
        <f t="shared" si="1"/>
        <v>43</v>
      </c>
      <c r="AU6" s="30">
        <f t="shared" si="1"/>
        <v>44</v>
      </c>
      <c r="AV6" s="30">
        <f t="shared" si="1"/>
        <v>45</v>
      </c>
      <c r="AW6" s="30">
        <f t="shared" si="1"/>
        <v>46</v>
      </c>
      <c r="AX6" s="30">
        <f t="shared" si="1"/>
        <v>47</v>
      </c>
      <c r="AY6" s="30">
        <f t="shared" si="1"/>
        <v>48</v>
      </c>
      <c r="AZ6" s="30"/>
      <c r="BA6" s="30"/>
    </row>
    <row r="7" spans="1:53" s="42" customFormat="1" ht="63.75" x14ac:dyDescent="0.2">
      <c r="A7" s="40" t="s">
        <v>236</v>
      </c>
      <c r="B7" s="41"/>
      <c r="C7" s="42" t="str">
        <f>NameConv!$B$5</f>
        <v>Biogas</v>
      </c>
      <c r="D7" s="42" t="str">
        <f>NameConv!$B$6</f>
        <v>Bioethanol</v>
      </c>
      <c r="E7" s="42" t="str">
        <f>NameConv!$B$7</f>
        <v>Biodiesel</v>
      </c>
      <c r="F7" s="42" t="str">
        <f>NameConv!$B$8</f>
        <v>Biomass bagasse</v>
      </c>
      <c r="G7" s="42" t="str">
        <f>NameConv!$B$9</f>
        <v>Biomass Other</v>
      </c>
      <c r="H7" s="42" t="str">
        <f>NameConv!$B$10</f>
        <v>Biomass Wood</v>
      </c>
      <c r="I7" s="42" t="str">
        <f>NameConv!$B$11</f>
        <v>Coal</v>
      </c>
      <c r="J7" s="42" t="str">
        <f>NameConv!$B$12</f>
        <v>Coal Coking</v>
      </c>
      <c r="K7" s="42" t="str">
        <f>NameConv!$B$13</f>
        <v>Coal Discard</v>
      </c>
      <c r="L7" s="42" t="str">
        <f>NameConv!$B$14</f>
        <v>Coal low grade</v>
      </c>
      <c r="M7" s="42" t="str">
        <f>NameConv!$B$15</f>
        <v>Coal for plants in Botswana</v>
      </c>
      <c r="O7" s="41"/>
      <c r="P7" s="41"/>
      <c r="Q7" s="41" t="str">
        <f>NameConv!$B$17</f>
        <v>Electricity</v>
      </c>
      <c r="R7" s="41" t="str">
        <f>NameConv!$B$18</f>
        <v>Electricity Upstream Transmission</v>
      </c>
      <c r="U7" s="41" t="str">
        <f>NameConv!B27</f>
        <v>Coastal Gas</v>
      </c>
      <c r="V7" s="41" t="str">
        <f>NameConv!$B$20</f>
        <v>Gas Southern Mozambique</v>
      </c>
      <c r="W7" s="42" t="str">
        <f>NameConv!$B$21</f>
        <v>Gas Namibia</v>
      </c>
      <c r="X7" s="43" t="str">
        <f>NameConv!$B$22</f>
        <v>Gas Regional LNG</v>
      </c>
      <c r="Y7" s="43" t="str">
        <f>NameConv!$B$23</f>
        <v>Gas International LNG</v>
      </c>
      <c r="AA7" s="43" t="str">
        <f>NameConv!$B$24</f>
        <v>Gas Northern Mozambique</v>
      </c>
      <c r="AC7" s="44" t="str">
        <f>NameConv!$B$25</f>
        <v>Gas Indigenous Ibhubezi</v>
      </c>
      <c r="AE7" s="44" t="str">
        <f>NameConv!$B$26</f>
        <v>Gas Indigenous Shale</v>
      </c>
      <c r="AH7" s="42" t="str">
        <f>NameConv!$B$29</f>
        <v>Gas Methane Rich</v>
      </c>
      <c r="AJ7" s="42" t="str">
        <f>NameConv!$B$30</f>
        <v>Heat-Steam</v>
      </c>
      <c r="AK7" s="42" t="str">
        <f>NameConv!$B$31</f>
        <v>Heat-Steam Existing</v>
      </c>
      <c r="AL7" s="42" t="str">
        <f>NameConv!$B$32</f>
        <v>Heat-Steam New</v>
      </c>
      <c r="AM7" s="42" t="str">
        <f>NameConv!$B$33</f>
        <v>Hydro</v>
      </c>
      <c r="AN7" s="42" t="str">
        <f>NameConv!$B$34</f>
        <v>Hydrogen</v>
      </c>
      <c r="AO7" s="42" t="str">
        <f>NameConv!$B$35</f>
        <v>Nuclear</v>
      </c>
      <c r="AP7" s="42" t="str">
        <f>NameConv!$B$36</f>
        <v>Oil Av Gasoline</v>
      </c>
      <c r="AQ7" s="42" t="str">
        <f>NameConv!$B$37</f>
        <v>Oil Crude</v>
      </c>
      <c r="AR7" s="42" t="str">
        <f>NameConv!$B$38</f>
        <v>Oil Diesel</v>
      </c>
      <c r="AS7" s="42" t="str">
        <f>NameConv!$B$39</f>
        <v>Oil Gasoline</v>
      </c>
      <c r="AT7" s="42" t="str">
        <f>NameConv!$B$40</f>
        <v>Oil HFO</v>
      </c>
      <c r="AU7" s="42" t="str">
        <f>NameConv!$B$41</f>
        <v>Oil Kerosene</v>
      </c>
      <c r="AV7" s="42" t="str">
        <f>NameConv!$B$42</f>
        <v>Oil LPG</v>
      </c>
      <c r="AW7" s="42" t="str">
        <f>NameConv!$B$43</f>
        <v>Oil Other</v>
      </c>
      <c r="AX7" s="42" t="str">
        <f>NameConv!$B$44</f>
        <v>Solar</v>
      </c>
      <c r="AY7" s="42" t="str">
        <f>NameConv!$B$45</f>
        <v>Wind</v>
      </c>
    </row>
    <row r="8" spans="1:53" x14ac:dyDescent="0.2">
      <c r="A8" s="29" t="s">
        <v>237</v>
      </c>
      <c r="B8" s="30"/>
      <c r="C8" s="38" t="str">
        <f t="shared" ref="C8:L8" si="2">$B$8&amp;VLOOKUP(C7,FuelNames,2,FALSE)</f>
        <v>BIG</v>
      </c>
      <c r="D8" s="38" t="str">
        <f t="shared" si="2"/>
        <v>BIE</v>
      </c>
      <c r="E8" s="38" t="str">
        <f t="shared" si="2"/>
        <v>BID</v>
      </c>
      <c r="F8" s="38" t="str">
        <f t="shared" si="2"/>
        <v>BIB</v>
      </c>
      <c r="G8" s="38" t="str">
        <f t="shared" si="2"/>
        <v>BIO</v>
      </c>
      <c r="H8" s="38" t="str">
        <f t="shared" si="2"/>
        <v>BIW</v>
      </c>
      <c r="I8" s="38" t="str">
        <f t="shared" si="2"/>
        <v>COA</v>
      </c>
      <c r="J8" s="38" t="str">
        <f t="shared" si="2"/>
        <v>COK</v>
      </c>
      <c r="K8" s="38" t="str">
        <f t="shared" si="2"/>
        <v>CLD</v>
      </c>
      <c r="L8" s="38" t="str">
        <f t="shared" si="2"/>
        <v>CLE</v>
      </c>
      <c r="M8" s="38" t="str">
        <f t="shared" ref="M8:AH8" si="3">$B$8&amp;VLOOKUP(M7,FuelNames,2,FALSE)</f>
        <v>CRB</v>
      </c>
      <c r="N8" s="38"/>
      <c r="O8" s="38"/>
      <c r="P8" s="38"/>
      <c r="Q8" s="38" t="str">
        <f t="shared" si="3"/>
        <v>ELC</v>
      </c>
      <c r="R8" s="38" t="str">
        <f t="shared" si="3"/>
        <v>ELCC</v>
      </c>
      <c r="S8" s="38"/>
      <c r="T8" s="38"/>
      <c r="U8" s="38" t="str">
        <f t="shared" si="3"/>
        <v>GIC</v>
      </c>
      <c r="V8" s="38" t="str">
        <f t="shared" si="3"/>
        <v>GRS</v>
      </c>
      <c r="W8" s="38" t="str">
        <f t="shared" si="3"/>
        <v>GRN</v>
      </c>
      <c r="X8" s="38" t="str">
        <f t="shared" si="3"/>
        <v>GRL</v>
      </c>
      <c r="Y8" s="38" t="str">
        <f t="shared" si="3"/>
        <v>GWL</v>
      </c>
      <c r="Z8" s="38"/>
      <c r="AA8" s="38" t="str">
        <f t="shared" si="3"/>
        <v>GRM</v>
      </c>
      <c r="AB8" s="38"/>
      <c r="AC8" s="38" t="str">
        <f t="shared" si="3"/>
        <v>GIB</v>
      </c>
      <c r="AD8" s="38"/>
      <c r="AE8" s="38" t="str">
        <f t="shared" si="3"/>
        <v>GIH</v>
      </c>
      <c r="AF8" s="38"/>
      <c r="AG8" s="38"/>
      <c r="AH8" s="38" t="str">
        <f t="shared" si="3"/>
        <v>GIM</v>
      </c>
      <c r="AI8" s="38"/>
      <c r="AJ8" s="38" t="str">
        <f t="shared" ref="AJ8:AY8" si="4">$B$8&amp;VLOOKUP(AJ7,FuelNames,2,FALSE)</f>
        <v>HET</v>
      </c>
      <c r="AK8" s="38" t="str">
        <f t="shared" si="4"/>
        <v>HEE</v>
      </c>
      <c r="AL8" s="38" t="str">
        <f t="shared" si="4"/>
        <v>HEN</v>
      </c>
      <c r="AM8" s="38" t="str">
        <f t="shared" si="4"/>
        <v>HYD</v>
      </c>
      <c r="AN8" s="38" t="str">
        <f t="shared" si="4"/>
        <v>HGN</v>
      </c>
      <c r="AO8" s="38" t="str">
        <f t="shared" si="4"/>
        <v>NUC</v>
      </c>
      <c r="AP8" s="38" t="str">
        <f t="shared" si="4"/>
        <v>OAG</v>
      </c>
      <c r="AQ8" s="38" t="str">
        <f t="shared" si="4"/>
        <v>OCR</v>
      </c>
      <c r="AR8" s="38" t="str">
        <f t="shared" si="4"/>
        <v>ODS</v>
      </c>
      <c r="AS8" s="38" t="str">
        <f t="shared" si="4"/>
        <v>OGS</v>
      </c>
      <c r="AT8" s="38" t="str">
        <f t="shared" si="4"/>
        <v>OHF</v>
      </c>
      <c r="AU8" s="38" t="str">
        <f t="shared" si="4"/>
        <v>OKE</v>
      </c>
      <c r="AV8" s="38" t="str">
        <f t="shared" si="4"/>
        <v>OLP</v>
      </c>
      <c r="AW8" s="38" t="str">
        <f t="shared" si="4"/>
        <v>OTH</v>
      </c>
      <c r="AX8" s="38" t="str">
        <f t="shared" si="4"/>
        <v>SOL</v>
      </c>
      <c r="AY8" s="38" t="str">
        <f t="shared" si="4"/>
        <v>WND</v>
      </c>
      <c r="AZ8" s="38"/>
      <c r="BA8" s="38"/>
    </row>
    <row r="9" spans="1:53" x14ac:dyDescent="0.2">
      <c r="A9" s="29" t="s">
        <v>238</v>
      </c>
      <c r="B9" s="30"/>
      <c r="C9" s="38"/>
      <c r="D9" s="38"/>
      <c r="E9" s="38"/>
      <c r="F9" s="38"/>
      <c r="G9" s="38"/>
      <c r="H9" s="38"/>
      <c r="I9" s="38"/>
      <c r="J9" s="38"/>
      <c r="K9" s="38"/>
      <c r="L9" s="38"/>
      <c r="M9" s="38"/>
      <c r="N9" s="38"/>
      <c r="O9" s="38"/>
      <c r="P9" s="38"/>
      <c r="Q9" s="38"/>
      <c r="R9" s="38"/>
      <c r="S9" s="38"/>
      <c r="T9" s="38"/>
      <c r="U9" s="38"/>
      <c r="V9" s="38"/>
      <c r="W9" s="38"/>
      <c r="Y9" s="38"/>
      <c r="Z9" s="38"/>
      <c r="AA9" s="38"/>
      <c r="AB9" s="38"/>
      <c r="AC9" s="38"/>
      <c r="AD9" s="38"/>
      <c r="AE9" s="38"/>
      <c r="AF9" s="38"/>
      <c r="AG9" s="38"/>
      <c r="AH9" s="38"/>
      <c r="AI9" s="38"/>
      <c r="AJ9" s="38"/>
      <c r="AK9" s="38"/>
      <c r="AM9" s="38"/>
      <c r="AN9" s="38"/>
    </row>
    <row r="10" spans="1:53" x14ac:dyDescent="0.2">
      <c r="A10" s="28" t="s">
        <v>239</v>
      </c>
      <c r="B10" s="45" t="s">
        <v>240</v>
      </c>
      <c r="C10" s="46">
        <v>0</v>
      </c>
      <c r="D10" s="46">
        <v>0</v>
      </c>
      <c r="E10" s="46">
        <v>0</v>
      </c>
      <c r="F10" s="46">
        <v>0</v>
      </c>
      <c r="G10" s="46">
        <v>0</v>
      </c>
      <c r="H10" s="46">
        <v>0</v>
      </c>
      <c r="I10" s="46">
        <v>6136.3929900000003</v>
      </c>
      <c r="J10" s="46">
        <v>49.117144000000003</v>
      </c>
      <c r="K10" s="46">
        <v>0</v>
      </c>
      <c r="L10" s="46">
        <v>0</v>
      </c>
      <c r="M10" s="46">
        <v>0</v>
      </c>
      <c r="N10" s="46"/>
      <c r="O10" s="46"/>
      <c r="P10" s="46"/>
      <c r="Q10" s="46">
        <v>830.00738649024674</v>
      </c>
      <c r="R10" s="46">
        <v>0</v>
      </c>
      <c r="S10" s="46"/>
      <c r="T10" s="46"/>
      <c r="U10" s="46">
        <v>42.534198286413705</v>
      </c>
      <c r="V10" s="46">
        <v>0</v>
      </c>
      <c r="W10" s="46">
        <v>0</v>
      </c>
      <c r="X10" s="46">
        <v>0</v>
      </c>
      <c r="Y10" s="46">
        <v>0</v>
      </c>
      <c r="Z10" s="46"/>
      <c r="AA10" s="46">
        <v>0</v>
      </c>
      <c r="AB10" s="46"/>
      <c r="AC10" s="46">
        <v>0</v>
      </c>
      <c r="AD10" s="46"/>
      <c r="AE10" s="46">
        <v>0</v>
      </c>
      <c r="AF10" s="46">
        <v>0</v>
      </c>
      <c r="AG10" s="46"/>
      <c r="AH10" s="46">
        <v>0</v>
      </c>
      <c r="AI10" s="46"/>
      <c r="AJ10" s="46">
        <v>0</v>
      </c>
      <c r="AK10" s="46">
        <v>0</v>
      </c>
      <c r="AL10" s="46">
        <v>0</v>
      </c>
      <c r="AM10" s="46">
        <v>0</v>
      </c>
      <c r="AN10" s="46">
        <v>0</v>
      </c>
      <c r="AO10" s="46">
        <v>0</v>
      </c>
      <c r="AP10" s="46">
        <v>0</v>
      </c>
      <c r="AQ10" s="46">
        <v>0</v>
      </c>
      <c r="AR10" s="46">
        <v>0</v>
      </c>
      <c r="AS10" s="46">
        <v>0</v>
      </c>
      <c r="AT10" s="46">
        <v>0</v>
      </c>
      <c r="AU10" s="46">
        <v>0</v>
      </c>
      <c r="AV10" s="46">
        <v>0</v>
      </c>
      <c r="AW10" s="46">
        <v>0</v>
      </c>
      <c r="AX10" s="46">
        <v>0</v>
      </c>
      <c r="AY10" s="46">
        <v>0</v>
      </c>
      <c r="AZ10" s="46"/>
      <c r="BA10" s="46"/>
    </row>
    <row r="11" spans="1:53" x14ac:dyDescent="0.2">
      <c r="A11" s="28" t="s">
        <v>241</v>
      </c>
      <c r="B11" s="45" t="s">
        <v>240</v>
      </c>
      <c r="C11" s="46">
        <v>0</v>
      </c>
      <c r="D11" s="46">
        <v>0</v>
      </c>
      <c r="E11" s="46">
        <v>0</v>
      </c>
      <c r="F11" s="46">
        <v>0</v>
      </c>
      <c r="G11" s="46">
        <v>0</v>
      </c>
      <c r="H11" s="46">
        <v>0</v>
      </c>
      <c r="I11" s="46">
        <v>3.1614299999999997</v>
      </c>
      <c r="J11" s="46">
        <v>57.42812</v>
      </c>
      <c r="K11" s="46">
        <v>0</v>
      </c>
      <c r="L11" s="46">
        <v>0</v>
      </c>
      <c r="M11" s="46">
        <v>0</v>
      </c>
      <c r="N11" s="46"/>
      <c r="O11" s="46"/>
      <c r="P11" s="46"/>
      <c r="Q11" s="46">
        <v>36.021597656250002</v>
      </c>
      <c r="R11" s="46">
        <v>0</v>
      </c>
      <c r="S11" s="46"/>
      <c r="T11" s="46"/>
      <c r="U11" s="46">
        <v>121.2211171875</v>
      </c>
      <c r="V11" s="46">
        <v>0</v>
      </c>
      <c r="W11" s="46">
        <v>0</v>
      </c>
      <c r="X11" s="46">
        <v>0</v>
      </c>
      <c r="Y11" s="46">
        <v>0</v>
      </c>
      <c r="Z11" s="46"/>
      <c r="AA11" s="46">
        <v>0</v>
      </c>
      <c r="AB11" s="46"/>
      <c r="AC11" s="46">
        <v>0</v>
      </c>
      <c r="AD11" s="46"/>
      <c r="AE11" s="46">
        <v>0</v>
      </c>
      <c r="AF11" s="46">
        <v>0</v>
      </c>
      <c r="AG11" s="46"/>
      <c r="AH11" s="46">
        <v>0</v>
      </c>
      <c r="AI11" s="46"/>
      <c r="AJ11" s="46">
        <v>0</v>
      </c>
      <c r="AK11" s="46">
        <v>0</v>
      </c>
      <c r="AL11" s="46">
        <v>0</v>
      </c>
      <c r="AM11" s="46">
        <v>0</v>
      </c>
      <c r="AN11" s="46">
        <v>0</v>
      </c>
      <c r="AO11" s="46">
        <v>170.374545454545</v>
      </c>
      <c r="AP11" s="46">
        <v>1.394321535205479</v>
      </c>
      <c r="AQ11" s="46">
        <v>941.22622485351599</v>
      </c>
      <c r="AR11" s="46">
        <v>140.06492</v>
      </c>
      <c r="AS11" s="46">
        <v>63.331960000000002</v>
      </c>
      <c r="AT11" s="46">
        <v>4.206396917894736</v>
      </c>
      <c r="AU11" s="46">
        <v>9.3231960462962959</v>
      </c>
      <c r="AV11" s="46">
        <v>0.405131744444444</v>
      </c>
      <c r="AW11" s="46">
        <v>0</v>
      </c>
      <c r="AX11" s="46">
        <v>0</v>
      </c>
      <c r="AY11" s="46">
        <v>0</v>
      </c>
      <c r="AZ11" s="46"/>
      <c r="BA11" s="46"/>
    </row>
    <row r="12" spans="1:53" ht="13.5" thickBot="1" x14ac:dyDescent="0.25">
      <c r="A12" s="28" t="s">
        <v>242</v>
      </c>
      <c r="B12" s="45" t="s">
        <v>240</v>
      </c>
      <c r="C12" s="46">
        <v>0</v>
      </c>
      <c r="D12" s="46">
        <v>0</v>
      </c>
      <c r="E12" s="46">
        <v>0</v>
      </c>
      <c r="F12" s="46">
        <v>0</v>
      </c>
      <c r="G12" s="46">
        <v>0</v>
      </c>
      <c r="H12" s="46">
        <v>0</v>
      </c>
      <c r="I12" s="46">
        <v>2129.9962500000001</v>
      </c>
      <c r="J12" s="46">
        <v>20.834015000000001</v>
      </c>
      <c r="K12" s="46">
        <v>0</v>
      </c>
      <c r="L12" s="46">
        <v>0</v>
      </c>
      <c r="M12" s="46">
        <v>0</v>
      </c>
      <c r="N12" s="46"/>
      <c r="O12" s="46"/>
      <c r="P12" s="46"/>
      <c r="Q12" s="46">
        <v>54.125999999999998</v>
      </c>
      <c r="R12" s="46">
        <v>0</v>
      </c>
      <c r="S12" s="46"/>
      <c r="T12" s="46"/>
      <c r="U12" s="46">
        <v>0</v>
      </c>
      <c r="V12" s="46">
        <v>0</v>
      </c>
      <c r="W12" s="46">
        <v>0</v>
      </c>
      <c r="X12" s="46">
        <v>0</v>
      </c>
      <c r="Y12" s="46">
        <v>0</v>
      </c>
      <c r="Z12" s="46"/>
      <c r="AA12" s="46">
        <v>0</v>
      </c>
      <c r="AB12" s="46"/>
      <c r="AC12" s="46">
        <v>0</v>
      </c>
      <c r="AD12" s="46"/>
      <c r="AE12" s="46">
        <v>0</v>
      </c>
      <c r="AF12" s="46">
        <v>0</v>
      </c>
      <c r="AG12" s="46"/>
      <c r="AH12" s="46">
        <v>0</v>
      </c>
      <c r="AI12" s="46"/>
      <c r="AJ12" s="46">
        <v>0</v>
      </c>
      <c r="AK12" s="46">
        <v>0</v>
      </c>
      <c r="AL12" s="46">
        <v>0</v>
      </c>
      <c r="AM12" s="46">
        <v>0</v>
      </c>
      <c r="AN12" s="46">
        <v>0</v>
      </c>
      <c r="AO12" s="46">
        <v>0</v>
      </c>
      <c r="AP12" s="46">
        <v>0.22564281164383562</v>
      </c>
      <c r="AQ12" s="46">
        <v>20.83803412968</v>
      </c>
      <c r="AR12" s="46">
        <v>28.73659252275862</v>
      </c>
      <c r="AS12" s="46">
        <v>3.5488458656756761</v>
      </c>
      <c r="AT12" s="46">
        <v>61.88735509894736</v>
      </c>
      <c r="AU12" s="46">
        <v>5.0273560461728382</v>
      </c>
      <c r="AV12" s="46">
        <v>0.54993525222222217</v>
      </c>
      <c r="AW12" s="46">
        <v>0</v>
      </c>
      <c r="AX12" s="46">
        <v>0</v>
      </c>
      <c r="AY12" s="46">
        <v>0</v>
      </c>
      <c r="AZ12" s="46"/>
      <c r="BA12" s="46"/>
    </row>
    <row r="13" spans="1:53" ht="15.75" thickBot="1" x14ac:dyDescent="0.3">
      <c r="A13" s="29"/>
      <c r="B13" s="45"/>
      <c r="C13" s="47"/>
      <c r="D13" s="47"/>
      <c r="M13" s="404" t="s">
        <v>1052</v>
      </c>
      <c r="N13" s="48"/>
      <c r="O13" s="48"/>
      <c r="P13" s="49"/>
      <c r="Q13" s="405"/>
      <c r="R13" s="47"/>
      <c r="S13" s="47"/>
      <c r="T13" s="47"/>
      <c r="U13" s="47"/>
      <c r="V13" s="47"/>
      <c r="W13" s="47"/>
      <c r="X13" s="47"/>
      <c r="Y13" s="47"/>
      <c r="Z13" s="47"/>
      <c r="AA13" s="47"/>
      <c r="AB13" s="50"/>
    </row>
    <row r="14" spans="1:53" x14ac:dyDescent="0.2">
      <c r="A14" s="51" t="s">
        <v>243</v>
      </c>
      <c r="B14" s="52"/>
      <c r="C14" s="52"/>
      <c r="D14" s="52"/>
      <c r="E14" s="52"/>
      <c r="F14" s="53">
        <v>2017</v>
      </c>
      <c r="G14" s="53">
        <v>2021</v>
      </c>
      <c r="H14" s="53">
        <v>2030</v>
      </c>
      <c r="I14" s="53">
        <v>2050</v>
      </c>
      <c r="M14" s="54"/>
      <c r="O14" s="38">
        <v>2021</v>
      </c>
      <c r="P14" s="38">
        <v>2030</v>
      </c>
      <c r="Q14" s="55">
        <f>I14</f>
        <v>2050</v>
      </c>
      <c r="S14" s="47" t="s">
        <v>1055</v>
      </c>
      <c r="T14" s="47"/>
      <c r="U14" s="47"/>
      <c r="V14" s="47"/>
    </row>
    <row r="15" spans="1:53" ht="15" x14ac:dyDescent="0.25">
      <c r="A15" s="56" t="s">
        <v>244</v>
      </c>
      <c r="B15" s="28" t="s">
        <v>1050</v>
      </c>
      <c r="F15" s="57">
        <v>16.45</v>
      </c>
      <c r="G15" s="57">
        <f>F15</f>
        <v>16.45</v>
      </c>
      <c r="H15" s="57">
        <f>G15</f>
        <v>16.45</v>
      </c>
      <c r="I15" s="57">
        <f>H15</f>
        <v>16.45</v>
      </c>
      <c r="M15" s="56"/>
      <c r="O15" s="406"/>
      <c r="P15" s="406"/>
      <c r="Q15" s="58"/>
      <c r="S15" s="402">
        <v>0.08</v>
      </c>
      <c r="T15" s="47"/>
      <c r="U15" s="47"/>
      <c r="V15" s="47"/>
    </row>
    <row r="16" spans="1:53" ht="15" x14ac:dyDescent="0.25">
      <c r="A16" s="56" t="s">
        <v>246</v>
      </c>
      <c r="B16" s="28" t="s">
        <v>1054</v>
      </c>
      <c r="C16" s="59" t="s">
        <v>247</v>
      </c>
      <c r="D16" s="60" t="s">
        <v>762</v>
      </c>
      <c r="F16" s="62">
        <f>IEA_WEO!BZ94*1.165</f>
        <v>72.23</v>
      </c>
      <c r="G16" s="63">
        <f>SUMIF($M$15:$M$24,$D$16,O$15:O$24)*(1+$S$15)</f>
        <v>74.52000000000001</v>
      </c>
      <c r="H16" s="63">
        <f>SUMIF($M$15:$M$24,$D$16,P$15:P$24)*(1+$S$15)</f>
        <v>68.400000000000006</v>
      </c>
      <c r="I16" s="63">
        <f>SUMIF($M$15:$M$24,$D$16,Q$15:Q$24)*(1+$S$15)</f>
        <v>87.11999999999999</v>
      </c>
      <c r="M16" s="64" t="s">
        <v>1053</v>
      </c>
      <c r="O16" s="407">
        <f>IEA_WEO!DK96</f>
        <v>69</v>
      </c>
      <c r="P16" s="407">
        <f>IEA_WEO!DL96</f>
        <v>35</v>
      </c>
      <c r="Q16" s="408">
        <f>IEA_WEO!DM96</f>
        <v>24</v>
      </c>
      <c r="S16" s="47"/>
      <c r="T16" s="47"/>
      <c r="U16" s="47"/>
      <c r="V16" s="47"/>
    </row>
    <row r="17" spans="1:36" ht="15" x14ac:dyDescent="0.25">
      <c r="A17" s="56" t="s">
        <v>248</v>
      </c>
      <c r="B17" s="28" t="s">
        <v>249</v>
      </c>
      <c r="F17" s="30"/>
      <c r="G17" s="30"/>
      <c r="H17" s="30"/>
      <c r="I17" s="30"/>
      <c r="M17" s="56" t="s">
        <v>764</v>
      </c>
      <c r="O17" s="407">
        <f>O16</f>
        <v>69</v>
      </c>
      <c r="P17" s="407">
        <f>IEA_WEO!CL101</f>
        <v>55.666666666666664</v>
      </c>
      <c r="Q17" s="408">
        <f>IEA_WEO!CM101</f>
        <v>50.333333333333329</v>
      </c>
      <c r="S17" s="47"/>
      <c r="T17" s="47"/>
      <c r="U17" s="47"/>
      <c r="V17" s="47"/>
      <c r="W17"/>
      <c r="X17"/>
    </row>
    <row r="18" spans="1:36" ht="15.75" thickBot="1" x14ac:dyDescent="0.3">
      <c r="A18" s="65" t="s">
        <v>156</v>
      </c>
      <c r="B18" s="66" t="s">
        <v>250</v>
      </c>
      <c r="C18" s="66"/>
      <c r="D18" s="66"/>
      <c r="E18" s="66"/>
      <c r="F18" s="67"/>
      <c r="G18" s="67"/>
      <c r="H18" s="66"/>
      <c r="I18" s="66"/>
      <c r="M18" s="68" t="s">
        <v>762</v>
      </c>
      <c r="N18" s="66"/>
      <c r="O18" s="409">
        <f>O17</f>
        <v>69</v>
      </c>
      <c r="P18" s="409">
        <f>IEA_WEO!CL102</f>
        <v>63.333333333333336</v>
      </c>
      <c r="Q18" s="410">
        <f>IEA_WEO!CM102</f>
        <v>80.666666666666657</v>
      </c>
      <c r="S18" s="47"/>
      <c r="T18" s="47"/>
      <c r="U18" s="47"/>
      <c r="V18" s="47"/>
      <c r="W18"/>
      <c r="X18"/>
      <c r="Z18" s="29" t="s">
        <v>251</v>
      </c>
      <c r="AA18"/>
      <c r="AB18"/>
      <c r="AH18" s="30"/>
      <c r="AI18" s="30"/>
    </row>
    <row r="19" spans="1:36" ht="15" x14ac:dyDescent="0.25">
      <c r="A19" s="69" t="s">
        <v>252</v>
      </c>
      <c r="B19" s="52"/>
      <c r="C19" s="52"/>
      <c r="D19" s="52"/>
      <c r="E19" s="52"/>
      <c r="F19" s="70"/>
      <c r="G19" s="70"/>
      <c r="H19" s="52"/>
      <c r="I19" s="52"/>
      <c r="S19" s="47"/>
      <c r="T19" s="47"/>
      <c r="U19" s="47"/>
      <c r="V19" s="47"/>
      <c r="W19"/>
      <c r="X19"/>
      <c r="AA19" s="28" t="str">
        <f>[8]Export!D5</f>
        <v>Oil Price (2015$/bbl)</v>
      </c>
      <c r="AH19" s="30"/>
      <c r="AI19" s="30"/>
    </row>
    <row r="20" spans="1:36" ht="15" x14ac:dyDescent="0.25">
      <c r="A20" s="71"/>
      <c r="C20" s="72"/>
      <c r="F20" s="30" t="s">
        <v>253</v>
      </c>
      <c r="G20" s="30" t="s">
        <v>253</v>
      </c>
      <c r="I20" s="74"/>
      <c r="O20" s="75"/>
      <c r="P20" s="75"/>
      <c r="Q20" s="75"/>
      <c r="R20"/>
      <c r="S20"/>
      <c r="T20"/>
      <c r="U20"/>
      <c r="V20"/>
      <c r="W20"/>
      <c r="X20"/>
      <c r="AA20" s="28">
        <f>[8]Export!D6</f>
        <v>2010</v>
      </c>
      <c r="AB20" s="28">
        <f>[8]Export!E6</f>
        <v>2015</v>
      </c>
      <c r="AC20" s="28">
        <f>[8]Export!F6</f>
        <v>2020</v>
      </c>
      <c r="AD20" s="28">
        <f>[8]Export!G6</f>
        <v>2030</v>
      </c>
      <c r="AE20" s="28">
        <f>[8]Export!H6</f>
        <v>2050</v>
      </c>
      <c r="AH20" s="30"/>
      <c r="AI20" s="30"/>
    </row>
    <row r="21" spans="1:36" ht="15" x14ac:dyDescent="0.25">
      <c r="A21" s="71" t="s">
        <v>1056</v>
      </c>
      <c r="B21" s="76" t="s">
        <v>1051</v>
      </c>
      <c r="F21" s="77">
        <f>F15*F16</f>
        <v>1188.1835000000001</v>
      </c>
      <c r="G21" s="77">
        <f>G15*G16</f>
        <v>1225.854</v>
      </c>
      <c r="H21" s="77">
        <f>H15*H16</f>
        <v>1125.18</v>
      </c>
      <c r="I21" s="78">
        <f>I15*I16</f>
        <v>1433.1239999999998</v>
      </c>
      <c r="O21" s="75"/>
      <c r="P21" s="75"/>
      <c r="Q21" s="75"/>
      <c r="R21"/>
      <c r="S21"/>
      <c r="T21"/>
      <c r="U21"/>
      <c r="V21"/>
      <c r="W21"/>
      <c r="X21"/>
      <c r="Z21" s="79">
        <f>[8]Export!C7</f>
        <v>0.05</v>
      </c>
      <c r="AA21" s="75">
        <f>[8]Export!D7</f>
        <v>84.76347793442072</v>
      </c>
      <c r="AB21" s="75">
        <f>[8]Export!E7</f>
        <v>51</v>
      </c>
      <c r="AC21" s="75">
        <f>[8]Export!F7</f>
        <v>73.317017874156548</v>
      </c>
      <c r="AD21" s="75">
        <f>[8]Export!G7</f>
        <v>98.605353881111654</v>
      </c>
      <c r="AE21" s="75">
        <f>[8]Export!H7</f>
        <v>107.66021241145609</v>
      </c>
      <c r="AH21" s="30"/>
      <c r="AI21" s="30"/>
    </row>
    <row r="22" spans="1:36" ht="15" x14ac:dyDescent="0.25">
      <c r="A22" s="56" t="s">
        <v>204</v>
      </c>
      <c r="B22" s="57" t="s">
        <v>254</v>
      </c>
      <c r="C22" s="57"/>
      <c r="D22"/>
      <c r="E22" s="30" t="str">
        <f>VLOOKUP(A22,FuelNames,2,FALSE)</f>
        <v>OCR</v>
      </c>
      <c r="F22" s="77">
        <f>F21*'Liq Fuel Prices'!$V$7</f>
        <v>196.45298120195667</v>
      </c>
      <c r="G22" s="77">
        <f>G21*'Liq Fuel Prices'!$V$7</f>
        <v>202.68138113207547</v>
      </c>
      <c r="H22" s="77">
        <f>H21*'Liq Fuel Prices'!$V$7</f>
        <v>186.03605031446543</v>
      </c>
      <c r="I22" s="78">
        <f>I21*'Liq Fuel Prices'!$V$7</f>
        <v>236.95117987421381</v>
      </c>
      <c r="N22"/>
      <c r="O22" s="75"/>
      <c r="P22" s="75"/>
      <c r="Q22" s="75"/>
      <c r="R22"/>
      <c r="S22"/>
      <c r="T22"/>
      <c r="U22"/>
      <c r="V22"/>
      <c r="W22"/>
      <c r="X22"/>
      <c r="Z22" s="79">
        <f>[8]Export!C8</f>
        <v>0.25</v>
      </c>
      <c r="AA22" s="75">
        <f>[8]Export!D8</f>
        <v>84.76347793442072</v>
      </c>
      <c r="AB22" s="75">
        <f>[8]Export!E8</f>
        <v>51</v>
      </c>
      <c r="AC22" s="75">
        <f>[8]Export!F8</f>
        <v>75.881960716452127</v>
      </c>
      <c r="AD22" s="75">
        <f>[8]Export!G8</f>
        <v>103.77027513658234</v>
      </c>
      <c r="AE22" s="75">
        <f>[8]Export!H8</f>
        <v>116.71930911569734</v>
      </c>
      <c r="AH22" s="30"/>
      <c r="AI22" s="30"/>
    </row>
    <row r="23" spans="1:36" ht="14.65" customHeight="1" x14ac:dyDescent="0.25">
      <c r="A23" s="80" t="s">
        <v>255</v>
      </c>
      <c r="B23" s="57" t="s">
        <v>1057</v>
      </c>
      <c r="C23" s="81"/>
      <c r="D23" s="81"/>
      <c r="F23" s="82"/>
      <c r="G23" s="57">
        <f>G24*'Liq Fuel Prices'!$AC$9/1000</f>
        <v>9.3213201007950115</v>
      </c>
      <c r="H23" s="82"/>
      <c r="I23" s="83"/>
      <c r="O23" s="75"/>
      <c r="P23" s="75"/>
      <c r="Q23" s="75"/>
      <c r="R23"/>
      <c r="S23"/>
      <c r="T23"/>
      <c r="U23"/>
      <c r="V23"/>
      <c r="W23"/>
      <c r="X23"/>
      <c r="Y23"/>
      <c r="Z23" s="79">
        <f>[8]Export!C9</f>
        <v>0.5</v>
      </c>
      <c r="AA23" s="75">
        <f>[8]Export!D9</f>
        <v>84.76347793442072</v>
      </c>
      <c r="AB23" s="75">
        <f>[8]Export!E9</f>
        <v>51</v>
      </c>
      <c r="AC23" s="75">
        <f>[8]Export!F9</f>
        <v>78.619821053733901</v>
      </c>
      <c r="AD23" s="75">
        <f>[8]Export!G9</f>
        <v>107.433752652908</v>
      </c>
      <c r="AE23" s="75">
        <f>[8]Export!H9</f>
        <v>125.49232908190987</v>
      </c>
      <c r="AH23" s="30"/>
      <c r="AI23" s="30"/>
    </row>
    <row r="24" spans="1:36" ht="15" x14ac:dyDescent="0.25">
      <c r="A24" s="56" t="s">
        <v>206</v>
      </c>
      <c r="B24" s="57" t="s">
        <v>254</v>
      </c>
      <c r="C24" s="81"/>
      <c r="D24" s="81"/>
      <c r="E24" s="30" t="str">
        <f>VLOOKUP(A24,FuelNames,2,FALSE)</f>
        <v>ODS</v>
      </c>
      <c r="F24" s="77">
        <f>(F21*'Liq Fuel Prices'!$X$7)+('Liq Fuel Prices'!$X$8*1.3)</f>
        <v>236.56389169057414</v>
      </c>
      <c r="G24" s="77">
        <f>G21*'Liq Fuel Prices'!$X$7+'Liq Fuel Prices'!$X$8</f>
        <v>244.65407088700817</v>
      </c>
      <c r="H24" s="77">
        <f>H21*'Liq Fuel Prices'!$X$7+'Liq Fuel Prices'!$X$8</f>
        <v>224.41968109431471</v>
      </c>
      <c r="I24" s="78">
        <f>I21*'Liq Fuel Prices'!$X$7+'Liq Fuel Prices'!$X$8</f>
        <v>286.31310869549469</v>
      </c>
      <c r="N24"/>
      <c r="O24" s="75"/>
      <c r="P24" s="75"/>
      <c r="Q24" s="75"/>
      <c r="Y24" s="26"/>
      <c r="Z24" s="79">
        <f>[8]Export!C10</f>
        <v>0.75</v>
      </c>
      <c r="AA24" s="75">
        <f>[8]Export!D10</f>
        <v>84.76347793442072</v>
      </c>
      <c r="AB24" s="75">
        <f>[8]Export!E10</f>
        <v>51</v>
      </c>
      <c r="AC24" s="75">
        <f>[8]Export!F10</f>
        <v>81.098305148536369</v>
      </c>
      <c r="AD24" s="75">
        <f>[8]Export!G10</f>
        <v>114.76296804497092</v>
      </c>
      <c r="AE24" s="75">
        <f>[8]Export!H10</f>
        <v>132.35817079459795</v>
      </c>
      <c r="AH24" s="30"/>
      <c r="AI24" s="30"/>
    </row>
    <row r="25" spans="1:36" ht="15" x14ac:dyDescent="0.25">
      <c r="A25" s="56" t="s">
        <v>212</v>
      </c>
      <c r="B25" s="57" t="s">
        <v>254</v>
      </c>
      <c r="C25" s="81"/>
      <c r="D25" s="81"/>
      <c r="E25" s="30" t="str">
        <f>VLOOKUP(A25,FuelNames,2,FALSE)</f>
        <v>OKE</v>
      </c>
      <c r="F25" s="77">
        <f>F21*'Liq Fuel Prices'!$Y$7+'Liq Fuel Prices'!$Y$8</f>
        <v>243.45484454706207</v>
      </c>
      <c r="G25" s="77">
        <f>G21*'Liq Fuel Prices'!$Y$7+'Liq Fuel Prices'!$Y$8</f>
        <v>250.76740309449676</v>
      </c>
      <c r="H25" s="77">
        <f>H21*'Liq Fuel Prices'!$Y$7+'Liq Fuel Prices'!$Y$8</f>
        <v>231.22467020790273</v>
      </c>
      <c r="I25" s="78">
        <f>I21*'Liq Fuel Prices'!$Y$7+'Liq Fuel Prices'!$Y$8</f>
        <v>291.00244139042559</v>
      </c>
      <c r="N25"/>
      <c r="O25" s="77"/>
      <c r="Z25" s="79">
        <f>[8]Export!C11</f>
        <v>0.95</v>
      </c>
      <c r="AA25" s="75">
        <f>[8]Export!D11</f>
        <v>84.76347793442072</v>
      </c>
      <c r="AB25" s="75">
        <f>[8]Export!E11</f>
        <v>51</v>
      </c>
      <c r="AC25" s="75">
        <f>[8]Export!F11</f>
        <v>84.210820058288292</v>
      </c>
      <c r="AD25" s="75">
        <f>[8]Export!G11</f>
        <v>126.81972514636294</v>
      </c>
      <c r="AE25" s="75">
        <f>[8]Export!H11</f>
        <v>141.25833597771214</v>
      </c>
      <c r="AH25" s="30"/>
      <c r="AI25" s="30"/>
    </row>
    <row r="26" spans="1:36" ht="15" x14ac:dyDescent="0.25">
      <c r="A26" s="56" t="s">
        <v>208</v>
      </c>
      <c r="B26" s="57" t="s">
        <v>254</v>
      </c>
      <c r="C26" s="81"/>
      <c r="D26" s="81"/>
      <c r="E26" s="30" t="str">
        <f>VLOOKUP(A26,FuelNames,2,FALSE)</f>
        <v>OGS</v>
      </c>
      <c r="F26" s="77">
        <f>F21*'Liq Fuel Prices'!$W$7+'Liq Fuel Prices'!$W$8*1.3</f>
        <v>247.03405739193275</v>
      </c>
      <c r="G26" s="77">
        <f>G21*'Liq Fuel Prices'!$W$7+'Liq Fuel Prices'!$W$8</f>
        <v>253.06623635843414</v>
      </c>
      <c r="H26" s="77">
        <f>H21*'Liq Fuel Prices'!$W$7+'Liq Fuel Prices'!$W$8</f>
        <v>232.71621829347131</v>
      </c>
      <c r="I26" s="78">
        <f>I21*'Liq Fuel Prices'!$W$7+'Liq Fuel Prices'!$W$8</f>
        <v>294.96333237453405</v>
      </c>
      <c r="N26"/>
      <c r="O26" s="77"/>
      <c r="Z26" s="79"/>
      <c r="AA26" s="28" t="str">
        <f>[8]Export!D12</f>
        <v>LNG (2015$/MMBTU)</v>
      </c>
      <c r="AH26" s="30"/>
      <c r="AI26" s="30"/>
    </row>
    <row r="27" spans="1:36" ht="15.75" thickBot="1" x14ac:dyDescent="0.3">
      <c r="A27" s="56" t="s">
        <v>214</v>
      </c>
      <c r="B27" s="57" t="s">
        <v>254</v>
      </c>
      <c r="C27" s="81"/>
      <c r="D27" s="81"/>
      <c r="E27" s="30" t="str">
        <f>VLOOKUP(A27,FuelNames,2,FALSE)</f>
        <v>OLP</v>
      </c>
      <c r="F27" s="77">
        <f>F21*'Liq Fuel Prices'!$Z$7+'Liq Fuel Prices'!$Z$8</f>
        <v>376.62224144497708</v>
      </c>
      <c r="G27" s="77">
        <f>G21*'Liq Fuel Prices'!$Z$7+'Liq Fuel Prices'!$Z$8</f>
        <v>382.94989907290471</v>
      </c>
      <c r="H27" s="77">
        <f>H21*'Liq Fuel Prices'!$Z$7+'Liq Fuel Prices'!$Z$8</f>
        <v>366.03930314149977</v>
      </c>
      <c r="I27" s="78">
        <f>I21*'Liq Fuel Prices'!$Z$7+'Liq Fuel Prices'!$Z$8</f>
        <v>417.76583187285604</v>
      </c>
      <c r="N27"/>
      <c r="O27" s="28" t="s">
        <v>256</v>
      </c>
      <c r="Z27" s="79"/>
      <c r="AA27" s="28">
        <f>[8]Export!D13</f>
        <v>2010</v>
      </c>
      <c r="AB27" s="28">
        <f>[8]Export!E13</f>
        <v>2015</v>
      </c>
      <c r="AC27" s="28">
        <f>[8]Export!F13</f>
        <v>2020</v>
      </c>
      <c r="AD27" s="28">
        <f>[8]Export!G13</f>
        <v>2030</v>
      </c>
      <c r="AE27" s="28">
        <f>[8]Export!H13</f>
        <v>2050</v>
      </c>
      <c r="AF27" s="28">
        <f>AA27</f>
        <v>2010</v>
      </c>
      <c r="AG27" s="28">
        <f>AB27</f>
        <v>2015</v>
      </c>
      <c r="AH27" s="28">
        <f>AC27</f>
        <v>2020</v>
      </c>
      <c r="AI27" s="28">
        <f>AD27</f>
        <v>2030</v>
      </c>
      <c r="AJ27" s="28">
        <f>AE27</f>
        <v>2050</v>
      </c>
    </row>
    <row r="28" spans="1:36" ht="16.5" thickBot="1" x14ac:dyDescent="0.3">
      <c r="A28" s="56" t="s">
        <v>210</v>
      </c>
      <c r="B28" s="57" t="s">
        <v>254</v>
      </c>
      <c r="C28" s="81"/>
      <c r="D28" s="81"/>
      <c r="E28" s="30" t="str">
        <f>VLOOKUP(A28,FuelNames,2,FALSE)</f>
        <v>OHF</v>
      </c>
      <c r="F28" s="77">
        <f>F22</f>
        <v>196.45298120195667</v>
      </c>
      <c r="G28" s="77">
        <f>G22</f>
        <v>202.68138113207547</v>
      </c>
      <c r="H28" s="77">
        <f>H22</f>
        <v>186.03605031446543</v>
      </c>
      <c r="I28" s="78">
        <f>I22</f>
        <v>236.95117987421381</v>
      </c>
      <c r="N28"/>
      <c r="O28" s="84"/>
      <c r="P28" s="85" t="s">
        <v>257</v>
      </c>
      <c r="Q28" s="86"/>
      <c r="S28" s="87" t="s">
        <v>258</v>
      </c>
      <c r="T28" s="88"/>
      <c r="U28" s="86"/>
      <c r="V28" s="85" t="s">
        <v>259</v>
      </c>
      <c r="W28" s="86"/>
      <c r="Z28" s="79">
        <f>[8]Export!C14</f>
        <v>0.05</v>
      </c>
      <c r="AA28" s="75">
        <f>[8]Export!D14</f>
        <v>8.1503344167712228</v>
      </c>
      <c r="AB28" s="75">
        <f>[8]Export!E14</f>
        <v>8.1503344167712228</v>
      </c>
      <c r="AC28" s="75">
        <f>[8]Export!F14</f>
        <v>8.3428147519412956</v>
      </c>
      <c r="AD28" s="75">
        <f>[8]Export!G14</f>
        <v>9.8008280757574973</v>
      </c>
      <c r="AE28" s="75">
        <f>[8]Export!H14</f>
        <v>10.64026158109483</v>
      </c>
      <c r="AF28" s="89">
        <f t="shared" ref="AF28:AJ32" si="5">AA28/AA21</f>
        <v>9.6153846153846145E-2</v>
      </c>
      <c r="AG28" s="89">
        <f t="shared" si="5"/>
        <v>0.15981047876022006</v>
      </c>
      <c r="AH28" s="89">
        <f t="shared" si="5"/>
        <v>0.11379097232597682</v>
      </c>
      <c r="AI28" s="89">
        <f t="shared" si="5"/>
        <v>9.9394482043787827E-2</v>
      </c>
      <c r="AJ28" s="89">
        <f t="shared" si="5"/>
        <v>9.883188359716262E-2</v>
      </c>
    </row>
    <row r="29" spans="1:36" ht="15.75" thickBot="1" x14ac:dyDescent="0.3">
      <c r="A29" s="80" t="s">
        <v>260</v>
      </c>
      <c r="B29" s="57" t="s">
        <v>1057</v>
      </c>
      <c r="C29" s="57"/>
      <c r="D29"/>
      <c r="E29" s="30"/>
      <c r="F29" s="77"/>
      <c r="G29" s="403">
        <f>G30*'Liq Fuel Prices'!$AC$9/1000</f>
        <v>18.277098236852964</v>
      </c>
      <c r="H29" s="77"/>
      <c r="I29" s="78"/>
      <c r="N29"/>
      <c r="O29" s="90" t="s">
        <v>253</v>
      </c>
      <c r="P29" s="91" t="s">
        <v>261</v>
      </c>
      <c r="Q29" s="92" t="s">
        <v>262</v>
      </c>
      <c r="R29" s="92" t="s">
        <v>263</v>
      </c>
      <c r="S29" s="92" t="s">
        <v>264</v>
      </c>
      <c r="T29" s="92" t="s">
        <v>265</v>
      </c>
      <c r="U29" s="92" t="s">
        <v>266</v>
      </c>
      <c r="V29" s="92" t="s">
        <v>265</v>
      </c>
      <c r="W29" s="92" t="s">
        <v>266</v>
      </c>
      <c r="Z29" s="79">
        <f>[8]Export!C15</f>
        <v>0.25</v>
      </c>
      <c r="AA29" s="75">
        <f>[8]Export!D15</f>
        <v>8.1503344167712228</v>
      </c>
      <c r="AB29" s="75">
        <f>[8]Export!E15</f>
        <v>8.1503344167712228</v>
      </c>
      <c r="AC29" s="75">
        <f>[8]Export!F15</f>
        <v>8.6297778388377875</v>
      </c>
      <c r="AD29" s="75">
        <f>[8]Export!G15</f>
        <v>10.297404179962657</v>
      </c>
      <c r="AE29" s="75">
        <f>[8]Export!H15</f>
        <v>11.434919186730026</v>
      </c>
      <c r="AF29" s="89">
        <f t="shared" si="5"/>
        <v>9.6153846153846145E-2</v>
      </c>
      <c r="AG29" s="89">
        <f t="shared" si="5"/>
        <v>0.15981047876022006</v>
      </c>
      <c r="AH29" s="89">
        <f t="shared" si="5"/>
        <v>0.1137263423000448</v>
      </c>
      <c r="AI29" s="89">
        <f t="shared" si="5"/>
        <v>9.9232696130074072E-2</v>
      </c>
      <c r="AJ29" s="89">
        <f t="shared" si="5"/>
        <v>9.7969387185073448E-2</v>
      </c>
    </row>
    <row r="30" spans="1:36" ht="15.75" thickBot="1" x14ac:dyDescent="0.3">
      <c r="A30" s="56" t="str">
        <f>A24</f>
        <v>Oil Diesel</v>
      </c>
      <c r="B30" t="s">
        <v>254</v>
      </c>
      <c r="C30" s="57"/>
      <c r="D30"/>
      <c r="E30" s="30" t="str">
        <f>"xxx"&amp;E24</f>
        <v>xxxODS</v>
      </c>
      <c r="F30" s="77">
        <f>F24/0.51</f>
        <v>463.8507680207336</v>
      </c>
      <c r="G30" s="77">
        <f>G24/0.51</f>
        <v>479.71386448432975</v>
      </c>
      <c r="H30" s="77">
        <f t="shared" ref="H30:I32" si="6">H24/0.51</f>
        <v>440.03859038100921</v>
      </c>
      <c r="I30" s="77">
        <f t="shared" si="6"/>
        <v>561.39825234410728</v>
      </c>
      <c r="N30"/>
      <c r="O30" s="90" t="s">
        <v>267</v>
      </c>
      <c r="P30" s="93" t="s">
        <v>268</v>
      </c>
      <c r="Q30" s="94" t="s">
        <v>269</v>
      </c>
      <c r="R30" s="94" t="s">
        <v>270</v>
      </c>
      <c r="S30" s="94" t="s">
        <v>271</v>
      </c>
      <c r="T30" s="94" t="s">
        <v>272</v>
      </c>
      <c r="U30" s="94" t="s">
        <v>272</v>
      </c>
      <c r="V30" s="94" t="s">
        <v>273</v>
      </c>
      <c r="W30" s="94" t="s">
        <v>273</v>
      </c>
      <c r="Z30" s="79">
        <f>[8]Export!C16</f>
        <v>0.5</v>
      </c>
      <c r="AA30" s="75">
        <f>[8]Export!D16</f>
        <v>8.1503344167712228</v>
      </c>
      <c r="AB30" s="75">
        <f>[8]Export!E16</f>
        <v>8.1503344167712228</v>
      </c>
      <c r="AC30" s="75">
        <f>[8]Export!F16</f>
        <v>9.0140661065885528</v>
      </c>
      <c r="AD30" s="75">
        <f>[8]Export!G16</f>
        <v>10.959143415150999</v>
      </c>
      <c r="AE30" s="75">
        <f>[8]Export!H16</f>
        <v>12.559665336244453</v>
      </c>
      <c r="AF30" s="89">
        <f t="shared" si="5"/>
        <v>9.6153846153846145E-2</v>
      </c>
      <c r="AG30" s="89">
        <f t="shared" si="5"/>
        <v>0.15981047876022006</v>
      </c>
      <c r="AH30" s="89">
        <f t="shared" si="5"/>
        <v>0.11465386191133345</v>
      </c>
      <c r="AI30" s="89">
        <f t="shared" si="5"/>
        <v>0.10200838325509576</v>
      </c>
      <c r="AJ30" s="89">
        <f t="shared" si="5"/>
        <v>0.10008313199802561</v>
      </c>
    </row>
    <row r="31" spans="1:36" ht="15.75" thickBot="1" x14ac:dyDescent="0.3">
      <c r="A31" s="56" t="str">
        <f>A25</f>
        <v>Oil Kerosene</v>
      </c>
      <c r="B31" t="s">
        <v>254</v>
      </c>
      <c r="C31" s="57"/>
      <c r="D31"/>
      <c r="E31" s="30" t="str">
        <f>"xxx"&amp;E25</f>
        <v>xxxOKE</v>
      </c>
      <c r="F31" s="77">
        <f>F25*'Liq Fuel Prices'!$Y$15+'Liq Fuel Prices'!$Y$16</f>
        <v>274.98999134210584</v>
      </c>
      <c r="G31" s="77">
        <f>G25*'Liq Fuel Prices'!$Y$15+'Liq Fuel Prices'!$Y$16</f>
        <v>282.80673850172928</v>
      </c>
      <c r="H31" s="77">
        <f>H25*'Liq Fuel Prices'!$Y$15+'Liq Fuel Prices'!$Y$16</f>
        <v>261.91656705330325</v>
      </c>
      <c r="I31" s="78">
        <f>I25*'Liq Fuel Prices'!$Y$15+'Liq Fuel Prices'!$Y$16</f>
        <v>325.81591501319468</v>
      </c>
      <c r="N31"/>
      <c r="O31" s="90" t="s">
        <v>274</v>
      </c>
      <c r="P31" s="93" t="s">
        <v>275</v>
      </c>
      <c r="Q31" s="94" t="s">
        <v>275</v>
      </c>
      <c r="R31" s="94" t="s">
        <v>275</v>
      </c>
      <c r="S31" s="94" t="s">
        <v>275</v>
      </c>
      <c r="T31" s="94" t="s">
        <v>276</v>
      </c>
      <c r="U31" s="94" t="s">
        <v>276</v>
      </c>
      <c r="V31" s="94" t="s">
        <v>277</v>
      </c>
      <c r="W31" s="94" t="s">
        <v>277</v>
      </c>
      <c r="Z31" s="79">
        <f>[8]Export!C17</f>
        <v>0.75</v>
      </c>
      <c r="AA31" s="75">
        <f>[8]Export!D17</f>
        <v>8.1503344167712228</v>
      </c>
      <c r="AB31" s="75">
        <f>[8]Export!E17</f>
        <v>8.1503344167712228</v>
      </c>
      <c r="AC31" s="75">
        <f>[8]Export!F17</f>
        <v>9.7554918405642095</v>
      </c>
      <c r="AD31" s="75">
        <f>[8]Export!G17</f>
        <v>11.953450254270349</v>
      </c>
      <c r="AE31" s="75">
        <f>[8]Export!H17</f>
        <v>14.283461065391567</v>
      </c>
      <c r="AF31" s="89">
        <f t="shared" si="5"/>
        <v>9.6153846153846145E-2</v>
      </c>
      <c r="AG31" s="89">
        <f t="shared" si="5"/>
        <v>0.15981047876022006</v>
      </c>
      <c r="AH31" s="89">
        <f t="shared" si="5"/>
        <v>0.1202921790128221</v>
      </c>
      <c r="AI31" s="89">
        <f t="shared" si="5"/>
        <v>0.104157730127599</v>
      </c>
      <c r="AJ31" s="89">
        <f t="shared" si="5"/>
        <v>0.10791521958668931</v>
      </c>
    </row>
    <row r="32" spans="1:36" ht="15.75" thickBot="1" x14ac:dyDescent="0.3">
      <c r="A32" s="56" t="str">
        <f>A26</f>
        <v>Oil Gasoline</v>
      </c>
      <c r="B32" t="s">
        <v>254</v>
      </c>
      <c r="C32" s="57"/>
      <c r="D32"/>
      <c r="E32" s="30" t="str">
        <f>"xxx"&amp;E26</f>
        <v>xxxOGS</v>
      </c>
      <c r="F32" s="77">
        <f>F26/0.51</f>
        <v>484.38050469006419</v>
      </c>
      <c r="G32" s="77">
        <f>G26/0.51</f>
        <v>496.20830658516496</v>
      </c>
      <c r="H32" s="77">
        <f t="shared" si="6"/>
        <v>456.30631037935552</v>
      </c>
      <c r="I32" s="77">
        <f t="shared" si="6"/>
        <v>578.35947524418441</v>
      </c>
      <c r="N32"/>
      <c r="O32" s="90" t="s">
        <v>278</v>
      </c>
      <c r="P32" s="93" t="s">
        <v>279</v>
      </c>
      <c r="Q32" s="94" t="s">
        <v>280</v>
      </c>
      <c r="R32" s="94" t="s">
        <v>281</v>
      </c>
      <c r="S32" s="94" t="s">
        <v>271</v>
      </c>
      <c r="T32" s="94" t="s">
        <v>282</v>
      </c>
      <c r="U32" s="94" t="s">
        <v>283</v>
      </c>
      <c r="V32" s="94" t="s">
        <v>282</v>
      </c>
      <c r="W32" s="94" t="s">
        <v>283</v>
      </c>
      <c r="Z32" s="79">
        <f>[8]Export!C18</f>
        <v>0.95</v>
      </c>
      <c r="AA32" s="75">
        <f>[8]Export!D18</f>
        <v>8.1503344167712228</v>
      </c>
      <c r="AB32" s="75">
        <f>[8]Export!E18</f>
        <v>8.1503344167712228</v>
      </c>
      <c r="AC32" s="75">
        <f>[8]Export!F18</f>
        <v>10.091744074846128</v>
      </c>
      <c r="AD32" s="75">
        <f>[8]Export!G18</f>
        <v>12.855473233969482</v>
      </c>
      <c r="AE32" s="75">
        <f>[8]Export!H18</f>
        <v>15.974655456871597</v>
      </c>
      <c r="AF32" s="89">
        <f t="shared" si="5"/>
        <v>9.6153846153846145E-2</v>
      </c>
      <c r="AG32" s="89">
        <f t="shared" si="5"/>
        <v>0.15981047876022006</v>
      </c>
      <c r="AH32" s="89">
        <f t="shared" si="5"/>
        <v>0.11983904286718636</v>
      </c>
      <c r="AI32" s="89">
        <f t="shared" si="5"/>
        <v>0.10136808938146609</v>
      </c>
      <c r="AJ32" s="89">
        <f t="shared" si="5"/>
        <v>0.11308823190011308</v>
      </c>
    </row>
    <row r="33" spans="1:43" ht="15.75" thickBot="1" x14ac:dyDescent="0.3">
      <c r="A33" s="56" t="str">
        <f>A27</f>
        <v>Oil LPG</v>
      </c>
      <c r="B33" t="s">
        <v>254</v>
      </c>
      <c r="C33" s="57"/>
      <c r="D33"/>
      <c r="E33" s="30" t="str">
        <f>"xxx"&amp;E27</f>
        <v>xxxOLP</v>
      </c>
      <c r="F33" s="77">
        <f>F27*'Liq Fuel Prices'!$Z$15+'Liq Fuel Prices'!$Z$16</f>
        <v>543.84647647769111</v>
      </c>
      <c r="G33" s="77">
        <f>G27*'Liq Fuel Prices'!$Z$15+'Liq Fuel Prices'!$Z$16</f>
        <v>552.13883380512175</v>
      </c>
      <c r="H33" s="77">
        <f>H27*'Liq Fuel Prices'!$Z$15+'Liq Fuel Prices'!$Z$16</f>
        <v>529.97759937548165</v>
      </c>
      <c r="I33" s="78">
        <f>I27*'Liq Fuel Prices'!$Z$15+'Liq Fuel Prices'!$Z$16</f>
        <v>597.76490468967506</v>
      </c>
      <c r="N33"/>
      <c r="O33" s="90" t="s">
        <v>284</v>
      </c>
      <c r="P33" s="93" t="s">
        <v>285</v>
      </c>
      <c r="Q33" s="94" t="s">
        <v>286</v>
      </c>
      <c r="R33" s="94" t="s">
        <v>287</v>
      </c>
      <c r="S33" s="94" t="s">
        <v>288</v>
      </c>
      <c r="T33" s="94" t="s">
        <v>289</v>
      </c>
      <c r="U33" s="94" t="s">
        <v>290</v>
      </c>
      <c r="V33" s="94" t="s">
        <v>291</v>
      </c>
      <c r="W33" s="94" t="s">
        <v>292</v>
      </c>
      <c r="Z33" s="79"/>
      <c r="AA33" s="28" t="str">
        <f>[8]Export!D19</f>
        <v>Shale(2015$/MMBTU)</v>
      </c>
      <c r="AH33" s="30"/>
      <c r="AI33" s="30"/>
    </row>
    <row r="34" spans="1:43" ht="13.5" customHeight="1" thickBot="1" x14ac:dyDescent="0.3">
      <c r="A34" s="65" t="str">
        <f>A28</f>
        <v>Oil HFO</v>
      </c>
      <c r="B34" s="95" t="s">
        <v>254</v>
      </c>
      <c r="C34" s="96"/>
      <c r="D34" s="95"/>
      <c r="E34" s="67" t="str">
        <f>"xxx"&amp;E28</f>
        <v>xxxOHF</v>
      </c>
      <c r="F34" s="97">
        <f>F22</f>
        <v>196.45298120195667</v>
      </c>
      <c r="G34" s="97">
        <f>G22</f>
        <v>202.68138113207547</v>
      </c>
      <c r="H34" s="97">
        <f>H22</f>
        <v>186.03605031446543</v>
      </c>
      <c r="I34" s="98">
        <f>I22</f>
        <v>236.95117987421381</v>
      </c>
      <c r="O34"/>
      <c r="Q34"/>
      <c r="Z34" s="79"/>
      <c r="AA34" s="28">
        <f>[8]Export!D20</f>
        <v>2010</v>
      </c>
      <c r="AB34" s="28">
        <f>[8]Export!E20</f>
        <v>2015</v>
      </c>
      <c r="AC34" s="28">
        <f>[8]Export!F20</f>
        <v>2020</v>
      </c>
      <c r="AD34" s="28">
        <f>[8]Export!G20</f>
        <v>2030</v>
      </c>
      <c r="AE34" s="28">
        <f>[8]Export!H20</f>
        <v>2050</v>
      </c>
      <c r="AF34" s="28">
        <f>AA34</f>
        <v>2010</v>
      </c>
      <c r="AG34" s="28">
        <f>AB34</f>
        <v>2015</v>
      </c>
      <c r="AH34" s="28">
        <f>AC34</f>
        <v>2020</v>
      </c>
      <c r="AI34" s="28">
        <f>AD34</f>
        <v>2030</v>
      </c>
      <c r="AJ34" s="28">
        <f>AE34</f>
        <v>2050</v>
      </c>
    </row>
    <row r="35" spans="1:43" ht="13.5" customHeight="1" thickBot="1" x14ac:dyDescent="0.3">
      <c r="C35" s="30"/>
      <c r="D35" s="99" t="s">
        <v>293</v>
      </c>
      <c r="O35" s="100" t="s">
        <v>294</v>
      </c>
      <c r="P35" s="100"/>
      <c r="Q35" s="100"/>
      <c r="R35" s="100"/>
      <c r="S35" s="100"/>
      <c r="T35" s="101"/>
      <c r="V35" s="102" t="s">
        <v>2</v>
      </c>
      <c r="Z35" s="79">
        <f>[8]Export!C21</f>
        <v>0.05</v>
      </c>
      <c r="AA35" s="75">
        <f>[8]Export!D21</f>
        <v>8.0869454986247469</v>
      </c>
      <c r="AB35" s="75">
        <f>[8]Export!E21</f>
        <v>6.7049296712283812</v>
      </c>
      <c r="AC35" s="75">
        <f>[8]Export!F21</f>
        <v>4.7692975220111435</v>
      </c>
      <c r="AD35" s="75">
        <f>[8]Export!G21</f>
        <v>4.9613919398112687</v>
      </c>
      <c r="AE35" s="75">
        <f>[8]Export!H21</f>
        <v>4.5057574706483354</v>
      </c>
      <c r="AF35" s="103">
        <f>AA35/AA21</f>
        <v>9.5406013246429139E-2</v>
      </c>
      <c r="AG35" s="103">
        <f t="shared" ref="AG35:AJ39" si="7">AB35/AB21</f>
        <v>0.13146920923977218</v>
      </c>
      <c r="AH35" s="103">
        <f t="shared" si="7"/>
        <v>6.5050347931462568E-2</v>
      </c>
      <c r="AI35" s="103">
        <f t="shared" si="7"/>
        <v>5.0315644582475838E-2</v>
      </c>
      <c r="AJ35" s="103">
        <f t="shared" si="7"/>
        <v>4.1851649460138717E-2</v>
      </c>
    </row>
    <row r="36" spans="1:43" ht="13.5" customHeight="1" x14ac:dyDescent="0.25">
      <c r="A36" s="29" t="s">
        <v>295</v>
      </c>
      <c r="C36" s="30"/>
      <c r="D36" s="60" t="str">
        <f>D16</f>
        <v>Stated Policies</v>
      </c>
      <c r="F36" s="30"/>
      <c r="G36" s="30"/>
      <c r="J36" s="28" t="s">
        <v>297</v>
      </c>
      <c r="O36" s="104" t="s">
        <v>298</v>
      </c>
      <c r="P36" s="52" t="s">
        <v>299</v>
      </c>
      <c r="Q36" s="52" t="s">
        <v>300</v>
      </c>
      <c r="R36" s="105" t="str">
        <f>M16</f>
        <v>Net Zero</v>
      </c>
      <c r="S36" s="52" t="str">
        <f>M17</f>
        <v>Announced Pledges</v>
      </c>
      <c r="T36" s="52" t="str">
        <f>M18</f>
        <v>Stated Policies</v>
      </c>
      <c r="U36" s="28" t="s">
        <v>296</v>
      </c>
      <c r="V36" s="106"/>
      <c r="Z36" s="79">
        <f>[8]Export!C22</f>
        <v>0.25</v>
      </c>
      <c r="AA36" s="75">
        <f>[8]Export!D22</f>
        <v>8.1465330338997113</v>
      </c>
      <c r="AB36" s="75">
        <f>[8]Export!E22</f>
        <v>8.2025938686525883</v>
      </c>
      <c r="AC36" s="75">
        <f>[8]Export!F22</f>
        <v>7.3517748968881653</v>
      </c>
      <c r="AD36" s="75">
        <f>[8]Export!G22</f>
        <v>8.120572408201209</v>
      </c>
      <c r="AE36" s="75">
        <f>[8]Export!H22</f>
        <v>7.4201738278995295</v>
      </c>
      <c r="AF36" s="103">
        <f>AA36/AA22</f>
        <v>9.6108999210750529E-2</v>
      </c>
      <c r="AG36" s="103">
        <f t="shared" si="7"/>
        <v>0.16083517389514879</v>
      </c>
      <c r="AH36" s="103">
        <f t="shared" si="7"/>
        <v>9.6884356011299161E-2</v>
      </c>
      <c r="AI36" s="103">
        <f t="shared" si="7"/>
        <v>7.8255284545722933E-2</v>
      </c>
      <c r="AJ36" s="103">
        <f t="shared" si="7"/>
        <v>6.3572804569502081E-2</v>
      </c>
    </row>
    <row r="37" spans="1:43" ht="13.5" customHeight="1" x14ac:dyDescent="0.25">
      <c r="A37" s="107" t="str">
        <f>NameConv!B25</f>
        <v>Gas Indigenous Ibhubezi</v>
      </c>
      <c r="C37" s="30" t="str">
        <f>B65</f>
        <v>MINGIB</v>
      </c>
      <c r="D37" s="30" t="str">
        <f>VLOOKUP(A37,FuelNames,2,FALSE)</f>
        <v>GIB</v>
      </c>
      <c r="E37" s="108">
        <f t="shared" ref="E37:E42" si="8">SUMIF($O$36:$U$36,$D$36,O37:U37)</f>
        <v>0.10454194041570421</v>
      </c>
      <c r="F37" s="45">
        <f t="shared" ref="F37:F42" si="9">($E37*F$16+$V37)*F$15/1.055</f>
        <v>117.73934470134871</v>
      </c>
      <c r="G37" s="45">
        <f t="shared" ref="G37:I42" si="10">IF($J37,($E37*G$16+$V37)*G$15/1.055,F37)</f>
        <v>121.47218561739591</v>
      </c>
      <c r="H37" s="45">
        <f t="shared" si="10"/>
        <v>111.49620902079818</v>
      </c>
      <c r="I37" s="45">
        <f t="shared" si="10"/>
        <v>142.01096096333239</v>
      </c>
      <c r="J37" s="109">
        <v>1</v>
      </c>
      <c r="O37" s="110">
        <v>7.0000000000000007E-2</v>
      </c>
      <c r="P37" s="89">
        <f>(O37+Q37)/2</f>
        <v>9.5000000000000001E-2</v>
      </c>
      <c r="Q37" s="111">
        <v>0.12</v>
      </c>
      <c r="R37" s="112">
        <f t="shared" ref="R37:T40" si="11">$U37</f>
        <v>0.10454194041570421</v>
      </c>
      <c r="S37" s="112">
        <f t="shared" si="11"/>
        <v>0.10454194041570421</v>
      </c>
      <c r="T37" s="112">
        <f t="shared" si="11"/>
        <v>0.10454194041570421</v>
      </c>
      <c r="U37" s="89">
        <f>$U$41-1%</f>
        <v>0.10454194041570421</v>
      </c>
      <c r="V37" s="106"/>
      <c r="Z37" s="79">
        <f>[8]Export!C23</f>
        <v>0.5</v>
      </c>
      <c r="AA37" s="75">
        <f>[8]Export!D23</f>
        <v>8.1881379396328526</v>
      </c>
      <c r="AB37" s="75">
        <f>[8]Export!E23</f>
        <v>9.39276444788484</v>
      </c>
      <c r="AC37" s="75">
        <f>[8]Export!F23</f>
        <v>10.773557760174372</v>
      </c>
      <c r="AD37" s="75">
        <f>[8]Export!G23</f>
        <v>10.8172157152895</v>
      </c>
      <c r="AE37" s="75">
        <f>[8]Export!H23</f>
        <v>10.88496798036755</v>
      </c>
      <c r="AF37" s="103">
        <f>AA37/AA23</f>
        <v>9.659983449437741E-2</v>
      </c>
      <c r="AG37" s="103">
        <f t="shared" si="7"/>
        <v>0.1841718519193106</v>
      </c>
      <c r="AH37" s="103">
        <f t="shared" si="7"/>
        <v>0.13703360826541466</v>
      </c>
      <c r="AI37" s="89">
        <f t="shared" si="7"/>
        <v>0.10068731146567374</v>
      </c>
      <c r="AJ37" s="103">
        <f t="shared" si="7"/>
        <v>8.673811427360506E-2</v>
      </c>
    </row>
    <row r="38" spans="1:43" ht="13.5" customHeight="1" x14ac:dyDescent="0.25">
      <c r="A38" t="s">
        <v>301</v>
      </c>
      <c r="C38" s="30" t="str">
        <f>B66</f>
        <v>MINGAS</v>
      </c>
      <c r="D38" s="30" t="s">
        <v>171</v>
      </c>
      <c r="E38" s="108">
        <f t="shared" si="8"/>
        <v>9.4541940415704198E-2</v>
      </c>
      <c r="F38" s="45">
        <f t="shared" si="9"/>
        <v>106.47694185774681</v>
      </c>
      <c r="G38" s="45">
        <f t="shared" si="10"/>
        <v>106.47694185774681</v>
      </c>
      <c r="H38" s="45">
        <f t="shared" si="10"/>
        <v>106.47694185774681</v>
      </c>
      <c r="I38" s="45">
        <f t="shared" si="10"/>
        <v>106.47694185774681</v>
      </c>
      <c r="J38" s="109">
        <v>0</v>
      </c>
      <c r="O38" s="110">
        <v>7.0000000000000007E-2</v>
      </c>
      <c r="P38" s="89">
        <f>(O38+Q38)/2</f>
        <v>8.5000000000000006E-2</v>
      </c>
      <c r="Q38" s="113">
        <v>0.1</v>
      </c>
      <c r="R38" s="112">
        <f t="shared" si="11"/>
        <v>9.4541940415704198E-2</v>
      </c>
      <c r="S38" s="112">
        <f t="shared" si="11"/>
        <v>9.4541940415704198E-2</v>
      </c>
      <c r="T38" s="112">
        <f t="shared" si="11"/>
        <v>9.4541940415704198E-2</v>
      </c>
      <c r="U38" s="89">
        <f>U41-2%</f>
        <v>9.4541940415704198E-2</v>
      </c>
      <c r="V38" s="106"/>
      <c r="Z38" s="79">
        <f>[8]Export!C24</f>
        <v>0.75</v>
      </c>
      <c r="AA38" s="75">
        <f>[8]Export!D24</f>
        <v>8.2301326312875958</v>
      </c>
      <c r="AB38" s="75">
        <f>[8]Export!E24</f>
        <v>10.507400823250775</v>
      </c>
      <c r="AC38" s="75">
        <f>[8]Export!F24</f>
        <v>14.3817212159371</v>
      </c>
      <c r="AD38" s="75">
        <f>[8]Export!G24</f>
        <v>13.406527739419724</v>
      </c>
      <c r="AE38" s="75">
        <f>[8]Export!H24</f>
        <v>13.997003925763375</v>
      </c>
      <c r="AF38" s="103">
        <f>AA38/AA24</f>
        <v>9.7095268290607814E-2</v>
      </c>
      <c r="AG38" s="103">
        <f t="shared" si="7"/>
        <v>0.2060274671225642</v>
      </c>
      <c r="AH38" s="103">
        <f t="shared" si="7"/>
        <v>0.17733688995837979</v>
      </c>
      <c r="AI38" s="103">
        <f t="shared" si="7"/>
        <v>0.11681928384917907</v>
      </c>
      <c r="AJ38" s="103">
        <f t="shared" si="7"/>
        <v>0.10575096226952878</v>
      </c>
    </row>
    <row r="39" spans="1:43" ht="13.5" customHeight="1" x14ac:dyDescent="0.25">
      <c r="A39" t="str">
        <f>NameConv!B26</f>
        <v>Gas Indigenous Shale</v>
      </c>
      <c r="C39" s="30" t="str">
        <f>B67</f>
        <v>MINGIH</v>
      </c>
      <c r="D39" s="30" t="str">
        <f>VLOOKUP(A39,FuelNames,2,FALSE)</f>
        <v>GIH</v>
      </c>
      <c r="E39" s="108">
        <f t="shared" si="8"/>
        <v>0.10068731146567374</v>
      </c>
      <c r="F39" s="45">
        <f t="shared" si="9"/>
        <v>113.39810629656337</v>
      </c>
      <c r="G39" s="45">
        <f t="shared" si="10"/>
        <v>113.39810629656337</v>
      </c>
      <c r="H39" s="45">
        <f t="shared" si="10"/>
        <v>113.39810629656337</v>
      </c>
      <c r="I39" s="45">
        <f t="shared" si="10"/>
        <v>113.39810629656337</v>
      </c>
      <c r="J39" s="109">
        <v>0</v>
      </c>
      <c r="O39" s="110">
        <v>0.06</v>
      </c>
      <c r="P39" s="89">
        <f>(O39+Q39)/2</f>
        <v>0.08</v>
      </c>
      <c r="Q39" s="113">
        <v>0.1</v>
      </c>
      <c r="R39" s="112">
        <f t="shared" si="11"/>
        <v>0.10068731146567374</v>
      </c>
      <c r="S39" s="112">
        <f t="shared" si="11"/>
        <v>0.10068731146567374</v>
      </c>
      <c r="T39" s="112">
        <f t="shared" si="11"/>
        <v>0.10068731146567374</v>
      </c>
      <c r="U39" s="114">
        <f>AI37</f>
        <v>0.10068731146567374</v>
      </c>
      <c r="V39" s="106"/>
      <c r="Z39" s="79">
        <f>[8]Export!C25</f>
        <v>0.95</v>
      </c>
      <c r="AA39" s="75">
        <f>[8]Export!D25</f>
        <v>8.2818014980867112</v>
      </c>
      <c r="AB39" s="75">
        <f>[8]Export!E25</f>
        <v>12.017743499367629</v>
      </c>
      <c r="AC39" s="75">
        <f>[8]Export!F25</f>
        <v>16.91401912191181</v>
      </c>
      <c r="AD39" s="75">
        <f>[8]Export!G25</f>
        <v>16.545164815873392</v>
      </c>
      <c r="AE39" s="75">
        <f>[8]Export!H25</f>
        <v>16.813949721541967</v>
      </c>
      <c r="AF39" s="103">
        <f>AA39/AA25</f>
        <v>9.770483349555481E-2</v>
      </c>
      <c r="AG39" s="103">
        <f t="shared" si="7"/>
        <v>0.23564202939936529</v>
      </c>
      <c r="AH39" s="103">
        <f t="shared" si="7"/>
        <v>0.20085327645787579</v>
      </c>
      <c r="AI39" s="103">
        <f t="shared" si="7"/>
        <v>0.13046207754179073</v>
      </c>
      <c r="AJ39" s="103">
        <f t="shared" si="7"/>
        <v>0.11902978755317412</v>
      </c>
    </row>
    <row r="40" spans="1:43" ht="13.5" customHeight="1" x14ac:dyDescent="0.25">
      <c r="A40" s="115" t="str">
        <f>NameConv!B24</f>
        <v>Gas Northern Mozambique</v>
      </c>
      <c r="C40" s="28" t="str">
        <f>B95</f>
        <v>MIRGRM</v>
      </c>
      <c r="D40" s="30" t="str">
        <f>VLOOKUP(A40,FuelNames,2,FALSE)</f>
        <v>GRM</v>
      </c>
      <c r="E40" s="108">
        <f t="shared" si="8"/>
        <v>0.10454194041570421</v>
      </c>
      <c r="F40" s="45">
        <f t="shared" si="9"/>
        <v>117.73934470134871</v>
      </c>
      <c r="G40" s="45">
        <f t="shared" si="10"/>
        <v>117.73934470134871</v>
      </c>
      <c r="H40" s="45">
        <f t="shared" si="10"/>
        <v>117.73934470134871</v>
      </c>
      <c r="I40" s="45">
        <f t="shared" si="10"/>
        <v>117.73934470134871</v>
      </c>
      <c r="J40" s="109">
        <v>0</v>
      </c>
      <c r="O40" s="110">
        <v>0.03</v>
      </c>
      <c r="P40" s="89">
        <f>(O40+Q40)/2</f>
        <v>5.5E-2</v>
      </c>
      <c r="Q40" s="113">
        <v>0.08</v>
      </c>
      <c r="R40" s="112">
        <f t="shared" si="11"/>
        <v>0.10454194041570421</v>
      </c>
      <c r="S40" s="112">
        <f t="shared" si="11"/>
        <v>0.10454194041570421</v>
      </c>
      <c r="T40" s="112">
        <f t="shared" si="11"/>
        <v>0.10454194041570421</v>
      </c>
      <c r="U40" s="89">
        <f>$U$41-1%</f>
        <v>0.10454194041570421</v>
      </c>
      <c r="V40" s="106"/>
    </row>
    <row r="41" spans="1:43" ht="13.5" customHeight="1" x14ac:dyDescent="0.25">
      <c r="A41" t="str">
        <f>NameConv!B22</f>
        <v>Gas Regional LNG</v>
      </c>
      <c r="C41" s="30" t="str">
        <f>B80</f>
        <v>IMPGRL</v>
      </c>
      <c r="D41" s="30" t="str">
        <f>VLOOKUP(A41,FuelNames,2,FALSE)</f>
        <v>GRL</v>
      </c>
      <c r="E41" s="108">
        <f t="shared" si="8"/>
        <v>0.12225288831835687</v>
      </c>
      <c r="F41" s="45">
        <f t="shared" si="9"/>
        <v>143.92309452816528</v>
      </c>
      <c r="G41" s="45">
        <f t="shared" si="10"/>
        <v>148.28833379773559</v>
      </c>
      <c r="H41" s="45">
        <f t="shared" si="10"/>
        <v>136.62227950525954</v>
      </c>
      <c r="I41" s="45">
        <f t="shared" si="10"/>
        <v>172.30668087048045</v>
      </c>
      <c r="J41" s="109">
        <v>1</v>
      </c>
      <c r="O41" s="110">
        <v>0.1</v>
      </c>
      <c r="P41" s="116"/>
      <c r="Q41" s="113">
        <v>0.16</v>
      </c>
      <c r="R41" s="112">
        <f>AVERAGE(IEA_WEO!DL108:DM108)</f>
        <v>0.1919642857142857</v>
      </c>
      <c r="S41" s="117">
        <f>AVERAGE(IEA_WEO!DN108:DO108)</f>
        <v>0.13276041666666666</v>
      </c>
      <c r="T41" s="117">
        <f>AVERAGE(IEA_WEO!DP108:DQ108)</f>
        <v>0.12225288831835687</v>
      </c>
      <c r="U41" s="114">
        <f>AVERAGE(AF30:AJ30)</f>
        <v>0.1145419404157042</v>
      </c>
      <c r="V41" s="118">
        <v>0.4</v>
      </c>
    </row>
    <row r="42" spans="1:43" ht="13.5" customHeight="1" thickBot="1" x14ac:dyDescent="0.3">
      <c r="A42" t="str">
        <f>NameConv!B23</f>
        <v>Gas International LNG</v>
      </c>
      <c r="C42" s="30" t="str">
        <f>B81</f>
        <v>IMPGWL</v>
      </c>
      <c r="D42" s="30" t="str">
        <f>VLOOKUP(A42,FuelNames,2,FALSE)</f>
        <v>GWL</v>
      </c>
      <c r="E42" s="108">
        <f t="shared" si="8"/>
        <v>0.12225288831835687</v>
      </c>
      <c r="F42" s="45">
        <f t="shared" si="9"/>
        <v>150.16006135280986</v>
      </c>
      <c r="G42" s="45">
        <f t="shared" si="10"/>
        <v>154.52530062238017</v>
      </c>
      <c r="H42" s="45">
        <f t="shared" si="10"/>
        <v>142.85924632990407</v>
      </c>
      <c r="I42" s="45">
        <f t="shared" si="10"/>
        <v>178.543647695125</v>
      </c>
      <c r="J42" s="109">
        <v>1</v>
      </c>
      <c r="O42" s="119">
        <f>O41</f>
        <v>0.1</v>
      </c>
      <c r="P42" s="120"/>
      <c r="Q42" s="121">
        <v>0.16</v>
      </c>
      <c r="R42" s="122">
        <f>R41</f>
        <v>0.1919642857142857</v>
      </c>
      <c r="S42" s="123">
        <f>S41</f>
        <v>0.13276041666666666</v>
      </c>
      <c r="T42" s="123">
        <f>T41</f>
        <v>0.12225288831835687</v>
      </c>
      <c r="U42" s="114">
        <f>U41</f>
        <v>0.1145419404157042</v>
      </c>
      <c r="V42" s="124">
        <v>0.8</v>
      </c>
      <c r="Z42" s="28" t="s">
        <v>302</v>
      </c>
    </row>
    <row r="43" spans="1:43" ht="13.5" customHeight="1" x14ac:dyDescent="0.25">
      <c r="C43" s="30"/>
      <c r="D43" s="30"/>
      <c r="E43" s="30"/>
      <c r="F43" s="30"/>
      <c r="G43" s="30"/>
      <c r="H43" s="30"/>
      <c r="I43" s="30"/>
      <c r="J43" s="125"/>
      <c r="K43" s="125"/>
      <c r="L43" s="125"/>
      <c r="N43"/>
      <c r="Y43" s="126"/>
      <c r="Z43" s="127"/>
      <c r="AA43" s="127" t="s">
        <v>303</v>
      </c>
      <c r="AB43" s="127">
        <v>2010</v>
      </c>
      <c r="AC43" s="127">
        <v>2020</v>
      </c>
      <c r="AD43" s="127">
        <v>2025</v>
      </c>
      <c r="AE43" s="127">
        <v>2030</v>
      </c>
      <c r="AF43" s="127">
        <v>2035</v>
      </c>
      <c r="AG43" s="127">
        <v>2040</v>
      </c>
      <c r="AH43" s="127">
        <v>2045</v>
      </c>
      <c r="AI43" s="127">
        <v>2050</v>
      </c>
      <c r="AJ43" s="28">
        <f>AB43</f>
        <v>2010</v>
      </c>
      <c r="AK43" s="28">
        <f t="shared" ref="AK43:AQ43" si="12">AC43</f>
        <v>2020</v>
      </c>
      <c r="AL43" s="28">
        <f t="shared" si="12"/>
        <v>2025</v>
      </c>
      <c r="AM43" s="28">
        <f t="shared" si="12"/>
        <v>2030</v>
      </c>
      <c r="AN43" s="28">
        <f t="shared" si="12"/>
        <v>2035</v>
      </c>
      <c r="AO43" s="28">
        <f t="shared" si="12"/>
        <v>2040</v>
      </c>
      <c r="AP43" s="28">
        <f t="shared" si="12"/>
        <v>2045</v>
      </c>
      <c r="AQ43" s="28">
        <f t="shared" si="12"/>
        <v>2050</v>
      </c>
    </row>
    <row r="44" spans="1:43" ht="13.5" customHeight="1" x14ac:dyDescent="0.25">
      <c r="C44" s="30"/>
      <c r="D44" s="30"/>
      <c r="E44" s="30"/>
      <c r="F44" s="30"/>
      <c r="G44" s="30"/>
      <c r="H44" s="30"/>
      <c r="I44" s="30"/>
      <c r="J44" s="125"/>
      <c r="K44" s="125"/>
      <c r="L44" s="125"/>
      <c r="N44"/>
      <c r="Y44" s="128" t="s">
        <v>304</v>
      </c>
      <c r="AA44" s="24" t="s">
        <v>305</v>
      </c>
      <c r="AB44" s="129">
        <v>78</v>
      </c>
      <c r="AC44" s="129">
        <v>118</v>
      </c>
      <c r="AD44" s="129">
        <v>127</v>
      </c>
      <c r="AE44" s="129">
        <v>134</v>
      </c>
      <c r="AF44" s="129">
        <v>140</v>
      </c>
      <c r="AG44" s="129">
        <v>143</v>
      </c>
      <c r="AH44" s="129">
        <v>146</v>
      </c>
      <c r="AI44" s="129">
        <v>149</v>
      </c>
    </row>
    <row r="45" spans="1:43" ht="15" x14ac:dyDescent="0.25">
      <c r="A45" s="130" t="s">
        <v>306</v>
      </c>
      <c r="B45" s="131" t="s">
        <v>307</v>
      </c>
      <c r="C45" s="132"/>
      <c r="D45" s="133" t="s">
        <v>308</v>
      </c>
      <c r="E45" s="134"/>
      <c r="F45" s="134"/>
      <c r="G45" s="134"/>
      <c r="H45" s="134"/>
      <c r="I45" s="134"/>
      <c r="N45"/>
      <c r="P45"/>
      <c r="Y45"/>
      <c r="Z45" s="127" t="s">
        <v>309</v>
      </c>
      <c r="AA45" s="127" t="s">
        <v>310</v>
      </c>
      <c r="AB45" s="135">
        <v>78</v>
      </c>
      <c r="AC45" s="135">
        <v>97</v>
      </c>
      <c r="AD45" s="135">
        <v>97</v>
      </c>
      <c r="AE45" s="135">
        <v>97</v>
      </c>
      <c r="AF45" s="135">
        <v>97</v>
      </c>
      <c r="AG45" s="135">
        <v>92</v>
      </c>
      <c r="AH45" s="135">
        <v>89</v>
      </c>
      <c r="AI45" s="135">
        <v>87</v>
      </c>
    </row>
    <row r="46" spans="1:43" ht="15" x14ac:dyDescent="0.25">
      <c r="A46" s="136" t="s">
        <v>239</v>
      </c>
      <c r="B46" s="30" t="s">
        <v>311</v>
      </c>
      <c r="C46" s="45" t="s">
        <v>312</v>
      </c>
      <c r="D46" s="45" t="s">
        <v>313</v>
      </c>
      <c r="E46" s="45" t="s">
        <v>314</v>
      </c>
      <c r="F46" s="45" t="s">
        <v>315</v>
      </c>
      <c r="G46" s="45"/>
      <c r="H46" s="45"/>
      <c r="I46" s="45"/>
      <c r="K46" s="50"/>
      <c r="L46" s="50"/>
      <c r="M46" s="38"/>
      <c r="N46"/>
      <c r="P46"/>
      <c r="Y46" s="128" t="s">
        <v>316</v>
      </c>
      <c r="AA46" s="24" t="s">
        <v>305</v>
      </c>
      <c r="AB46" s="129">
        <v>99</v>
      </c>
      <c r="AC46" s="129">
        <v>109</v>
      </c>
      <c r="AD46" s="129">
        <v>113</v>
      </c>
      <c r="AE46" s="129">
        <v>116</v>
      </c>
      <c r="AF46" s="129">
        <v>118</v>
      </c>
      <c r="AG46" s="129">
        <v>121</v>
      </c>
      <c r="AH46" s="129">
        <v>123</v>
      </c>
      <c r="AI46" s="129">
        <v>126</v>
      </c>
    </row>
    <row r="47" spans="1:43" ht="15" x14ac:dyDescent="0.25">
      <c r="A47" s="28" t="s">
        <v>241</v>
      </c>
      <c r="B47" s="30" t="s">
        <v>317</v>
      </c>
      <c r="C47" s="45"/>
      <c r="D47" s="45"/>
      <c r="E47" s="45"/>
      <c r="F47" s="45"/>
      <c r="G47" s="45"/>
      <c r="H47" s="50"/>
      <c r="I47" s="50"/>
      <c r="K47" s="50"/>
      <c r="L47" s="50"/>
      <c r="M47" s="38"/>
      <c r="N47"/>
      <c r="P47"/>
      <c r="Y47"/>
      <c r="Z47" s="127" t="s">
        <v>318</v>
      </c>
      <c r="AA47" s="127" t="s">
        <v>310</v>
      </c>
      <c r="AB47" s="135">
        <v>99</v>
      </c>
      <c r="AC47" s="135">
        <v>93</v>
      </c>
      <c r="AD47" s="135">
        <v>83</v>
      </c>
      <c r="AE47" s="135">
        <v>74</v>
      </c>
      <c r="AF47" s="135">
        <v>68</v>
      </c>
      <c r="AG47" s="135">
        <v>64</v>
      </c>
      <c r="AH47" s="135">
        <v>62</v>
      </c>
      <c r="AI47" s="135">
        <v>60</v>
      </c>
    </row>
    <row r="48" spans="1:43" ht="15" x14ac:dyDescent="0.25">
      <c r="A48" s="28" t="s">
        <v>242</v>
      </c>
      <c r="B48" s="30" t="s">
        <v>319</v>
      </c>
      <c r="C48" s="45"/>
      <c r="D48" s="45"/>
      <c r="E48" s="45"/>
      <c r="F48" s="45"/>
      <c r="G48" s="45"/>
      <c r="H48" s="50"/>
      <c r="I48" s="50"/>
      <c r="K48" s="50"/>
      <c r="L48" s="50"/>
      <c r="M48" s="38"/>
      <c r="N48"/>
      <c r="P48"/>
      <c r="Y48" s="127" t="s">
        <v>320</v>
      </c>
      <c r="Z48"/>
      <c r="AA48" s="24" t="s">
        <v>305</v>
      </c>
      <c r="AB48" s="129">
        <v>4</v>
      </c>
      <c r="AC48" s="129">
        <v>7</v>
      </c>
      <c r="AD48" s="129">
        <v>8</v>
      </c>
      <c r="AE48" s="129">
        <v>8</v>
      </c>
      <c r="AF48" s="129">
        <v>9</v>
      </c>
      <c r="AG48" s="129">
        <v>9</v>
      </c>
      <c r="AH48" s="129">
        <v>9</v>
      </c>
      <c r="AI48" s="129">
        <v>10</v>
      </c>
    </row>
    <row r="49" spans="1:53" ht="15" x14ac:dyDescent="0.25">
      <c r="A49" s="28" t="s">
        <v>321</v>
      </c>
      <c r="B49" s="30" t="s">
        <v>322</v>
      </c>
      <c r="C49" s="45"/>
      <c r="D49" s="45"/>
      <c r="E49" s="45"/>
      <c r="F49" s="45"/>
      <c r="G49" s="45"/>
      <c r="H49" s="50"/>
      <c r="I49" s="50"/>
      <c r="K49" s="50"/>
      <c r="L49" s="50"/>
      <c r="M49" s="38"/>
      <c r="N49"/>
      <c r="P49"/>
      <c r="Y49"/>
      <c r="Z49" s="127" t="s">
        <v>323</v>
      </c>
      <c r="AA49" s="127" t="s">
        <v>310</v>
      </c>
      <c r="AB49" s="135">
        <v>4</v>
      </c>
      <c r="AC49" s="135">
        <v>7</v>
      </c>
      <c r="AD49" s="135">
        <v>8</v>
      </c>
      <c r="AE49" s="135">
        <v>8</v>
      </c>
      <c r="AF49" s="135">
        <v>8</v>
      </c>
      <c r="AG49" s="135">
        <v>7</v>
      </c>
      <c r="AH49" s="135">
        <v>7</v>
      </c>
      <c r="AI49" s="135">
        <v>7</v>
      </c>
    </row>
    <row r="50" spans="1:53" ht="15" x14ac:dyDescent="0.25">
      <c r="A50" s="130" t="s">
        <v>324</v>
      </c>
      <c r="B50" s="131" t="s">
        <v>307</v>
      </c>
      <c r="C50" s="45"/>
      <c r="D50" s="45"/>
      <c r="E50" s="45"/>
      <c r="F50" s="45"/>
      <c r="G50" s="45"/>
      <c r="H50" s="50"/>
      <c r="I50" s="50"/>
      <c r="K50" s="50"/>
      <c r="L50" s="50"/>
      <c r="M50" s="38"/>
      <c r="N50" s="38"/>
      <c r="Y50" s="127" t="s">
        <v>325</v>
      </c>
      <c r="Z50"/>
      <c r="AA50" s="24" t="s">
        <v>305</v>
      </c>
      <c r="AB50" s="129">
        <v>7</v>
      </c>
      <c r="AC50" s="129">
        <v>11</v>
      </c>
      <c r="AD50" s="129">
        <v>12</v>
      </c>
      <c r="AE50" s="129">
        <v>13</v>
      </c>
      <c r="AF50" s="129">
        <v>13</v>
      </c>
      <c r="AG50" s="129">
        <v>13</v>
      </c>
      <c r="AH50" s="129">
        <v>14</v>
      </c>
      <c r="AI50" s="129">
        <v>14</v>
      </c>
    </row>
    <row r="51" spans="1:53" ht="15" x14ac:dyDescent="0.25">
      <c r="A51" s="29" t="s">
        <v>326</v>
      </c>
      <c r="B51" s="30" t="s">
        <v>169</v>
      </c>
      <c r="C51" s="45"/>
      <c r="D51" s="45"/>
      <c r="E51" s="45"/>
      <c r="F51" s="45"/>
      <c r="G51" s="45"/>
      <c r="H51" s="50"/>
      <c r="I51" s="50"/>
      <c r="K51" s="50"/>
      <c r="L51" s="50"/>
      <c r="M51" s="38"/>
      <c r="N51" s="38"/>
      <c r="W51" t="s">
        <v>327</v>
      </c>
      <c r="X51">
        <v>0.5</v>
      </c>
      <c r="Z51" s="127" t="s">
        <v>323</v>
      </c>
      <c r="AA51" s="127" t="s">
        <v>310</v>
      </c>
      <c r="AB51" s="135">
        <v>7</v>
      </c>
      <c r="AC51" s="135">
        <v>10</v>
      </c>
      <c r="AD51" s="135">
        <v>10</v>
      </c>
      <c r="AE51" s="135">
        <v>10</v>
      </c>
      <c r="AF51" s="135">
        <v>9</v>
      </c>
      <c r="AG51" s="135">
        <v>9</v>
      </c>
      <c r="AH51" s="135">
        <v>9</v>
      </c>
      <c r="AI51" s="135">
        <v>8</v>
      </c>
    </row>
    <row r="52" spans="1:53" ht="15" x14ac:dyDescent="0.2">
      <c r="A52" s="29" t="s">
        <v>328</v>
      </c>
      <c r="B52" s="30" t="s">
        <v>167</v>
      </c>
      <c r="C52" s="45"/>
      <c r="D52" s="45"/>
      <c r="E52" s="45" t="s">
        <v>329</v>
      </c>
      <c r="F52" s="45"/>
      <c r="G52" s="45"/>
      <c r="H52" s="50"/>
      <c r="I52" s="50"/>
      <c r="K52" s="50"/>
      <c r="L52" s="50"/>
      <c r="M52" s="38"/>
      <c r="N52" s="38"/>
      <c r="Y52" s="127" t="s">
        <v>330</v>
      </c>
      <c r="AA52" s="24" t="s">
        <v>305</v>
      </c>
      <c r="AB52" s="129">
        <v>11</v>
      </c>
      <c r="AC52" s="129">
        <v>14</v>
      </c>
      <c r="AD52" s="129">
        <v>14</v>
      </c>
      <c r="AE52" s="129">
        <v>15</v>
      </c>
      <c r="AF52" s="129">
        <v>15</v>
      </c>
      <c r="AG52" s="129">
        <v>15</v>
      </c>
      <c r="AH52" s="129">
        <v>16</v>
      </c>
      <c r="AI52" s="129">
        <v>16</v>
      </c>
    </row>
    <row r="53" spans="1:53" ht="15.75" thickBot="1" x14ac:dyDescent="0.3">
      <c r="A53" s="137"/>
      <c r="B53" s="138"/>
      <c r="C53" s="138"/>
      <c r="D53" s="139"/>
      <c r="E53" s="140"/>
      <c r="F53" s="45"/>
      <c r="G53" s="138"/>
      <c r="H53" s="138"/>
      <c r="I53" s="138"/>
      <c r="K53" s="138"/>
      <c r="L53" s="138"/>
      <c r="M53" s="38"/>
      <c r="N53" s="38"/>
      <c r="W53" t="str">
        <f>W51</f>
        <v>weighting</v>
      </c>
      <c r="X53">
        <v>0.5</v>
      </c>
      <c r="Z53" s="127" t="s">
        <v>323</v>
      </c>
      <c r="AA53" s="127" t="s">
        <v>310</v>
      </c>
      <c r="AB53" s="135">
        <v>11</v>
      </c>
      <c r="AC53" s="135">
        <v>12</v>
      </c>
      <c r="AD53" s="135">
        <v>12</v>
      </c>
      <c r="AE53" s="135">
        <v>12</v>
      </c>
      <c r="AF53" s="135">
        <v>12</v>
      </c>
      <c r="AG53" s="135">
        <v>12</v>
      </c>
      <c r="AH53" s="135">
        <v>11</v>
      </c>
      <c r="AI53" s="135">
        <v>11</v>
      </c>
    </row>
    <row r="54" spans="1:53" ht="15" x14ac:dyDescent="0.25">
      <c r="C54" s="39"/>
      <c r="D54" s="139" t="s">
        <v>331</v>
      </c>
      <c r="E54" s="141">
        <v>1</v>
      </c>
      <c r="H54" s="39"/>
      <c r="I54" s="39"/>
      <c r="J54" s="39"/>
      <c r="K54" s="38"/>
      <c r="Y54" t="s">
        <v>231</v>
      </c>
      <c r="AA54" s="142" t="str">
        <f>AA52</f>
        <v>6DS</v>
      </c>
      <c r="AB54">
        <f t="shared" ref="AB54:AI55" si="13">AB50*$X$51+AB52*$X$53</f>
        <v>9</v>
      </c>
      <c r="AC54">
        <f t="shared" si="13"/>
        <v>12.5</v>
      </c>
      <c r="AD54">
        <f t="shared" si="13"/>
        <v>13</v>
      </c>
      <c r="AE54">
        <f t="shared" si="13"/>
        <v>14</v>
      </c>
      <c r="AF54">
        <f t="shared" si="13"/>
        <v>14</v>
      </c>
      <c r="AG54">
        <f t="shared" si="13"/>
        <v>14</v>
      </c>
      <c r="AH54">
        <f t="shared" si="13"/>
        <v>15</v>
      </c>
      <c r="AI54">
        <f t="shared" si="13"/>
        <v>15</v>
      </c>
      <c r="AJ54" s="89">
        <f>AB54/AB44</f>
        <v>0.11538461538461539</v>
      </c>
      <c r="AK54" s="89">
        <f t="shared" ref="AK54:AQ55" si="14">AC54/AC44</f>
        <v>0.1059322033898305</v>
      </c>
      <c r="AL54" s="89">
        <f t="shared" si="14"/>
        <v>0.10236220472440945</v>
      </c>
      <c r="AM54" s="89">
        <f t="shared" si="14"/>
        <v>0.1044776119402985</v>
      </c>
      <c r="AN54" s="89">
        <f t="shared" si="14"/>
        <v>0.1</v>
      </c>
      <c r="AO54" s="89">
        <f t="shared" si="14"/>
        <v>9.7902097902097904E-2</v>
      </c>
      <c r="AP54" s="89">
        <f t="shared" si="14"/>
        <v>0.10273972602739725</v>
      </c>
      <c r="AQ54" s="89">
        <f t="shared" si="14"/>
        <v>0.10067114093959731</v>
      </c>
    </row>
    <row r="55" spans="1:53" ht="36" x14ac:dyDescent="0.25">
      <c r="A55" s="143" t="s">
        <v>332</v>
      </c>
      <c r="B55" s="296"/>
      <c r="C55" s="296"/>
      <c r="D55" s="296" t="s">
        <v>333</v>
      </c>
      <c r="E55" s="296"/>
      <c r="F55" s="296"/>
      <c r="G55" s="296"/>
      <c r="H55" s="296"/>
      <c r="I55" s="296"/>
      <c r="J55" s="296"/>
      <c r="K55" s="386"/>
      <c r="L55" s="296"/>
      <c r="M55" s="296"/>
      <c r="N55" s="296"/>
      <c r="O55" s="296"/>
      <c r="P55" s="296"/>
      <c r="Q55" s="296"/>
      <c r="R55" s="296"/>
      <c r="S55" s="296"/>
      <c r="T55" s="296"/>
      <c r="U55" s="296"/>
      <c r="V55" s="296"/>
      <c r="Y55"/>
      <c r="Z55" t="str">
        <f>Z53</f>
        <v>(2010 US$/Mbtu)</v>
      </c>
      <c r="AA55" s="142" t="str">
        <f>AA53</f>
        <v>2DS</v>
      </c>
      <c r="AB55">
        <f t="shared" si="13"/>
        <v>9</v>
      </c>
      <c r="AC55">
        <f t="shared" si="13"/>
        <v>11</v>
      </c>
      <c r="AD55">
        <f t="shared" si="13"/>
        <v>11</v>
      </c>
      <c r="AE55">
        <f t="shared" si="13"/>
        <v>11</v>
      </c>
      <c r="AF55">
        <f t="shared" si="13"/>
        <v>10.5</v>
      </c>
      <c r="AG55">
        <f t="shared" si="13"/>
        <v>10.5</v>
      </c>
      <c r="AH55">
        <f t="shared" si="13"/>
        <v>10</v>
      </c>
      <c r="AI55">
        <f t="shared" si="13"/>
        <v>9.5</v>
      </c>
      <c r="AJ55" s="89">
        <f>AB55/AB45</f>
        <v>0.11538461538461539</v>
      </c>
      <c r="AK55" s="89">
        <f t="shared" si="14"/>
        <v>0.1134020618556701</v>
      </c>
      <c r="AL55" s="89">
        <f t="shared" si="14"/>
        <v>0.1134020618556701</v>
      </c>
      <c r="AM55" s="89">
        <f t="shared" si="14"/>
        <v>0.1134020618556701</v>
      </c>
      <c r="AN55" s="89">
        <f t="shared" si="14"/>
        <v>0.10824742268041238</v>
      </c>
      <c r="AO55" s="89">
        <f t="shared" si="14"/>
        <v>0.11413043478260869</v>
      </c>
      <c r="AP55" s="89">
        <f t="shared" si="14"/>
        <v>0.11235955056179775</v>
      </c>
      <c r="AQ55" s="89">
        <f t="shared" si="14"/>
        <v>0.10919540229885058</v>
      </c>
      <c r="AR55" s="30"/>
    </row>
    <row r="56" spans="1:53" ht="26.25" customHeight="1" x14ac:dyDescent="0.25">
      <c r="A56" s="388" t="s">
        <v>334</v>
      </c>
      <c r="B56" s="386" t="s">
        <v>335</v>
      </c>
      <c r="C56" s="386" t="s">
        <v>336</v>
      </c>
      <c r="D56" s="386" t="s">
        <v>337</v>
      </c>
      <c r="E56" s="386" t="str">
        <f>"COST"&amp;$E$52&amp;E57</f>
        <v>COST~0</v>
      </c>
      <c r="F56" s="386" t="str">
        <f t="shared" ref="F56:I56" si="15">"COST"&amp;$E$52&amp;F57</f>
        <v>COST~2017</v>
      </c>
      <c r="G56" s="386" t="str">
        <f t="shared" si="15"/>
        <v>COST~2021</v>
      </c>
      <c r="H56" s="386" t="str">
        <f t="shared" si="15"/>
        <v>COST~2030</v>
      </c>
      <c r="I56" s="386" t="str">
        <f t="shared" si="15"/>
        <v>COST~2050</v>
      </c>
      <c r="J56" s="386" t="str">
        <f>"BNDACT~UP"&amp;$E$52&amp;J57</f>
        <v>BNDACT~UP~0</v>
      </c>
      <c r="K56" s="386" t="str">
        <f t="shared" ref="K56:O56" si="16">"BNDACT~UP"&amp;$E$52&amp;K57</f>
        <v>BNDACT~UP~2017</v>
      </c>
      <c r="L56" s="386" t="str">
        <f t="shared" si="16"/>
        <v>BNDACT~UP~2019</v>
      </c>
      <c r="M56" s="386" t="str">
        <f t="shared" si="16"/>
        <v>BNDACT~UP~2021</v>
      </c>
      <c r="N56" s="386" t="str">
        <f t="shared" si="16"/>
        <v>BNDACT~UP~2030</v>
      </c>
      <c r="O56" s="386" t="str">
        <f t="shared" si="16"/>
        <v>BNDACT~UP~2050</v>
      </c>
      <c r="P56" s="386" t="s">
        <v>338</v>
      </c>
      <c r="Q56" s="386" t="s">
        <v>339</v>
      </c>
      <c r="R56" s="387" t="s">
        <v>1094</v>
      </c>
      <c r="S56" s="387" t="s">
        <v>1095</v>
      </c>
      <c r="T56" s="145" t="s">
        <v>340</v>
      </c>
      <c r="U56" s="145" t="s">
        <v>341</v>
      </c>
      <c r="V56" s="145"/>
      <c r="W56" s="145"/>
      <c r="X56" s="145"/>
      <c r="Y56" s="145" t="s">
        <v>342</v>
      </c>
      <c r="Z56" s="145">
        <f t="shared" ref="Z56:AG56" si="17">AVERAGE(AB54:AB55)</f>
        <v>9</v>
      </c>
      <c r="AA56" s="145">
        <f t="shared" si="17"/>
        <v>11.75</v>
      </c>
      <c r="AB56" s="145">
        <f t="shared" si="17"/>
        <v>12</v>
      </c>
      <c r="AC56" s="145">
        <f t="shared" si="17"/>
        <v>12.5</v>
      </c>
      <c r="AD56" s="145">
        <f t="shared" si="17"/>
        <v>12.25</v>
      </c>
      <c r="AE56" s="145">
        <f t="shared" si="17"/>
        <v>12.25</v>
      </c>
      <c r="AF56" s="145">
        <f t="shared" si="17"/>
        <v>12.5</v>
      </c>
      <c r="AG56" s="145">
        <f t="shared" si="17"/>
        <v>12.25</v>
      </c>
      <c r="AH56" s="146">
        <f t="shared" ref="AH56:AO56" si="18">Z56/AVERAGE(AB44:AB45)</f>
        <v>0.11538461538461539</v>
      </c>
      <c r="AI56" s="146">
        <f t="shared" si="18"/>
        <v>0.10930232558139535</v>
      </c>
      <c r="AJ56" s="146">
        <f t="shared" si="18"/>
        <v>0.10714285714285714</v>
      </c>
      <c r="AK56" s="146">
        <f t="shared" si="18"/>
        <v>0.10822510822510822</v>
      </c>
      <c r="AL56" s="146">
        <f t="shared" si="18"/>
        <v>0.10337552742616034</v>
      </c>
      <c r="AM56" s="146">
        <f t="shared" si="18"/>
        <v>0.10425531914893617</v>
      </c>
      <c r="AN56" s="146">
        <f t="shared" si="18"/>
        <v>0.10638297872340426</v>
      </c>
      <c r="AO56" s="146">
        <f t="shared" si="18"/>
        <v>0.1038135593220339</v>
      </c>
      <c r="AP56" s="145"/>
      <c r="AR56" s="413"/>
      <c r="AS56" s="413"/>
      <c r="AT56" s="413"/>
      <c r="AU56" s="413"/>
      <c r="AV56" s="413"/>
      <c r="AW56" s="413"/>
      <c r="AX56" s="413"/>
    </row>
    <row r="57" spans="1:53" ht="25.5" x14ac:dyDescent="0.2">
      <c r="A57" s="147" t="s">
        <v>343</v>
      </c>
      <c r="B57" s="147" t="s">
        <v>344</v>
      </c>
      <c r="C57" s="147" t="s">
        <v>345</v>
      </c>
      <c r="D57" s="145" t="s">
        <v>346</v>
      </c>
      <c r="E57" s="145">
        <v>0</v>
      </c>
      <c r="F57" s="148">
        <v>2017</v>
      </c>
      <c r="G57" s="148">
        <v>2021</v>
      </c>
      <c r="H57" s="148">
        <v>2030</v>
      </c>
      <c r="I57" s="148">
        <v>2050</v>
      </c>
      <c r="J57" s="148">
        <v>0</v>
      </c>
      <c r="K57" s="148">
        <v>2017</v>
      </c>
      <c r="L57" s="148">
        <v>2019</v>
      </c>
      <c r="M57" s="148">
        <v>2021</v>
      </c>
      <c r="N57" s="148">
        <f>H57</f>
        <v>2030</v>
      </c>
      <c r="O57" s="148">
        <f>I57</f>
        <v>2050</v>
      </c>
      <c r="P57" s="148"/>
      <c r="Q57" s="148" t="s">
        <v>240</v>
      </c>
      <c r="T57" s="148"/>
      <c r="U57" s="148"/>
      <c r="V57" s="148"/>
      <c r="W57" s="148"/>
      <c r="X57" s="149"/>
      <c r="Y57" s="149"/>
      <c r="Z57" s="149"/>
      <c r="AA57" s="149"/>
      <c r="AB57" s="149"/>
      <c r="AC57" s="149"/>
      <c r="AD57" s="149"/>
      <c r="AE57" s="149"/>
      <c r="AF57" s="149"/>
      <c r="AG57" s="149"/>
      <c r="AH57" s="149"/>
      <c r="AI57" s="149"/>
      <c r="AJ57" s="149"/>
      <c r="AK57" s="149"/>
      <c r="AL57" s="149"/>
      <c r="AM57" s="149"/>
      <c r="AN57" s="149"/>
      <c r="AO57" s="149"/>
      <c r="AP57" s="149"/>
      <c r="AS57" s="414"/>
      <c r="AT57" s="413"/>
      <c r="AU57" s="413"/>
      <c r="AV57" s="413"/>
      <c r="AW57" s="413"/>
      <c r="AX57" s="413"/>
      <c r="AZ57" s="42"/>
      <c r="BA57" s="42"/>
    </row>
    <row r="58" spans="1:53" s="66" customFormat="1" ht="13.5" thickBot="1" x14ac:dyDescent="0.25">
      <c r="A58" s="66" t="s">
        <v>347</v>
      </c>
      <c r="B58" s="150"/>
      <c r="C58" s="150"/>
      <c r="D58" s="150"/>
      <c r="E58" s="150"/>
      <c r="F58" s="67"/>
      <c r="G58" s="67"/>
      <c r="H58" s="140"/>
      <c r="I58" s="140"/>
      <c r="J58" s="140"/>
      <c r="K58" s="151"/>
      <c r="L58" s="151"/>
      <c r="M58" s="151"/>
      <c r="N58" s="151"/>
      <c r="O58" s="151"/>
      <c r="P58" s="151"/>
      <c r="Q58" s="151"/>
      <c r="T58" s="151"/>
      <c r="U58" s="151"/>
      <c r="V58" s="151"/>
      <c r="W58" s="151"/>
      <c r="X58" s="151"/>
      <c r="Y58" s="151"/>
      <c r="Z58" s="151"/>
      <c r="AA58" s="151"/>
      <c r="AB58" s="151"/>
      <c r="AC58" s="151"/>
      <c r="AD58" s="151"/>
      <c r="AE58" s="151"/>
      <c r="AF58" s="151"/>
      <c r="AG58" s="151"/>
      <c r="AH58" s="151"/>
      <c r="AI58" s="151"/>
      <c r="AJ58" s="151"/>
      <c r="AK58" s="151"/>
      <c r="AL58" s="151"/>
      <c r="AM58" s="151"/>
      <c r="AN58" s="151"/>
      <c r="AO58" s="151"/>
      <c r="AP58" s="151"/>
      <c r="AS58" s="152"/>
      <c r="AT58" s="153"/>
      <c r="AU58" s="153"/>
      <c r="AV58" s="153"/>
      <c r="AW58" s="153"/>
      <c r="AX58" s="153"/>
      <c r="AY58" s="154"/>
      <c r="AZ58" s="154"/>
    </row>
    <row r="59" spans="1:53" x14ac:dyDescent="0.2">
      <c r="A59" s="155" t="s">
        <v>348</v>
      </c>
      <c r="B59" s="156"/>
      <c r="C59" s="157"/>
      <c r="D59" s="157"/>
      <c r="E59" s="157"/>
      <c r="F59" s="157"/>
      <c r="G59" s="157"/>
      <c r="H59" s="157"/>
      <c r="I59" s="157"/>
      <c r="J59" s="157"/>
      <c r="K59" s="157"/>
      <c r="L59" s="157"/>
      <c r="M59" s="157"/>
      <c r="N59" s="157"/>
      <c r="O59" s="157"/>
      <c r="P59" s="157"/>
      <c r="Q59" s="157"/>
      <c r="T59" s="157"/>
      <c r="U59" s="157"/>
      <c r="V59" s="157"/>
      <c r="W59" s="157"/>
      <c r="X59" s="157"/>
      <c r="Y59" s="157"/>
      <c r="Z59" s="157"/>
      <c r="AA59" s="157"/>
      <c r="AB59" s="157"/>
      <c r="AC59" s="157"/>
      <c r="AD59" s="157"/>
      <c r="AE59" s="157"/>
      <c r="AF59" s="157"/>
      <c r="AG59" s="157"/>
      <c r="AH59" s="157"/>
      <c r="AI59" s="157"/>
      <c r="AJ59" s="157"/>
      <c r="AK59" s="157"/>
      <c r="AL59" s="157"/>
      <c r="AM59" s="157"/>
      <c r="AN59" s="157"/>
      <c r="AO59" s="157"/>
      <c r="AP59" s="157"/>
      <c r="AQ59" s="157"/>
      <c r="AR59" s="157"/>
    </row>
    <row r="60" spans="1:53" ht="15" x14ac:dyDescent="0.25">
      <c r="A60" s="158" t="str">
        <f t="shared" ref="A60:A65" si="19">"Extraction of "&amp;INDEX(FuelNamesLong,MATCH(D60,FuelNamesShort,0))</f>
        <v>Extraction of Coal</v>
      </c>
      <c r="B60" s="30" t="str">
        <f>$B$46&amp;D60</f>
        <v>MINCOA</v>
      </c>
      <c r="C60" s="157"/>
      <c r="D60" s="159" t="str">
        <f>NameConv!C11</f>
        <v>COA</v>
      </c>
      <c r="E60" s="30">
        <v>0</v>
      </c>
      <c r="F60" s="82">
        <f>45*1.256</f>
        <v>56.52</v>
      </c>
      <c r="G60" s="82">
        <f>F60</f>
        <v>56.52</v>
      </c>
      <c r="H60" s="82">
        <f>G60</f>
        <v>56.52</v>
      </c>
      <c r="I60" s="82">
        <f>H60</f>
        <v>56.52</v>
      </c>
      <c r="J60" s="82"/>
      <c r="K60" s="82"/>
      <c r="L60" s="82"/>
      <c r="M60"/>
      <c r="N60"/>
      <c r="O60"/>
      <c r="P60"/>
      <c r="Q60" t="str">
        <f>""</f>
        <v/>
      </c>
      <c r="R60" s="379">
        <f>FugitiveEmissions!V140</f>
        <v>3.4182298104635631E-3</v>
      </c>
      <c r="S60" s="379">
        <f>FugitiveEmissions!V141</f>
        <v>1.0719713938661056E-2</v>
      </c>
      <c r="T60" s="144"/>
      <c r="U60" s="144"/>
      <c r="V60" s="157"/>
      <c r="W60" s="157"/>
      <c r="X60" s="157"/>
      <c r="Y60" s="157"/>
      <c r="Z60" s="157"/>
      <c r="AA60" s="157"/>
      <c r="AB60" s="157"/>
      <c r="AC60" s="157"/>
      <c r="AD60" s="157"/>
      <c r="AE60" s="157"/>
      <c r="AF60" s="157"/>
      <c r="AG60" s="157"/>
      <c r="AH60" s="157"/>
      <c r="AI60" s="157"/>
      <c r="AJ60" s="157"/>
      <c r="AK60" s="157"/>
      <c r="AL60" s="157"/>
      <c r="AM60" s="157"/>
      <c r="AN60" s="157"/>
      <c r="AO60" s="157"/>
      <c r="AP60" s="157"/>
      <c r="AQ60" s="157"/>
      <c r="AR60" s="157"/>
    </row>
    <row r="61" spans="1:53" ht="15" x14ac:dyDescent="0.25">
      <c r="A61" s="158" t="str">
        <f t="shared" si="19"/>
        <v>Extraction of Coal low grade</v>
      </c>
      <c r="B61" s="30" t="str">
        <f t="shared" ref="B61:B67" si="20">$B$46&amp;D61</f>
        <v>MINCLE</v>
      </c>
      <c r="D61" s="159" t="str">
        <f>NameConv!C14</f>
        <v>CLE</v>
      </c>
      <c r="E61" s="30">
        <v>0</v>
      </c>
      <c r="F61" s="82">
        <f>F60/2</f>
        <v>28.26</v>
      </c>
      <c r="G61" s="82">
        <f>G60/2</f>
        <v>28.26</v>
      </c>
      <c r="H61" s="82">
        <f>G61</f>
        <v>28.26</v>
      </c>
      <c r="I61" s="82">
        <f>H61</f>
        <v>28.26</v>
      </c>
      <c r="J61" s="82"/>
      <c r="K61" s="82"/>
      <c r="L61" s="82"/>
      <c r="M61"/>
      <c r="N61"/>
      <c r="O61"/>
      <c r="P61"/>
      <c r="Q61" t="str">
        <f>$Q$60</f>
        <v/>
      </c>
      <c r="R61" s="379">
        <f>FugitiveEmissions!V135</f>
        <v>3.9065483548155009E-3</v>
      </c>
      <c r="S61" s="379">
        <f>FugitiveEmissions!V136</f>
        <v>1.2251101644184062E-2</v>
      </c>
      <c r="T61" s="144"/>
      <c r="V61" s="34"/>
      <c r="W61" s="35"/>
      <c r="X61" s="160"/>
      <c r="Y61" s="160"/>
      <c r="Z61" s="160"/>
      <c r="AA61" s="160"/>
      <c r="AB61" s="160"/>
      <c r="AC61" s="160"/>
      <c r="AD61" s="160"/>
      <c r="AE61" s="160"/>
      <c r="AF61" s="160"/>
      <c r="AG61" s="160"/>
      <c r="AH61" s="160"/>
      <c r="AI61" s="160"/>
      <c r="AJ61" s="160"/>
      <c r="AK61" s="160"/>
      <c r="AL61" s="160"/>
      <c r="AM61" s="160"/>
      <c r="AN61" s="160"/>
      <c r="AO61" s="160"/>
      <c r="AP61" s="160"/>
      <c r="AR61" s="157"/>
    </row>
    <row r="62" spans="1:53" ht="15" x14ac:dyDescent="0.25">
      <c r="A62" s="158" t="str">
        <f t="shared" si="19"/>
        <v>Extraction of Coal Discard</v>
      </c>
      <c r="B62" s="30" t="str">
        <f t="shared" si="20"/>
        <v>MINCLD</v>
      </c>
      <c r="D62" s="159" t="str">
        <f>NameConv!C13</f>
        <v>CLD</v>
      </c>
      <c r="E62" s="30">
        <v>0</v>
      </c>
      <c r="F62" s="82"/>
      <c r="G62" s="82"/>
      <c r="H62" s="82"/>
      <c r="I62" s="82"/>
      <c r="J62" s="82"/>
      <c r="K62" s="82"/>
      <c r="L62" s="82"/>
      <c r="M62"/>
      <c r="N62"/>
      <c r="O62"/>
      <c r="P62"/>
      <c r="Q62" t="str">
        <f>$Q$60</f>
        <v/>
      </c>
      <c r="V62" s="35"/>
      <c r="W62" s="35"/>
      <c r="X62" s="160"/>
      <c r="Y62" s="160"/>
      <c r="Z62" s="160"/>
      <c r="AA62" s="160"/>
      <c r="AB62" s="160"/>
      <c r="AC62" s="160"/>
      <c r="AD62" s="160"/>
      <c r="AE62" s="160"/>
      <c r="AF62" s="160"/>
      <c r="AG62" s="160"/>
      <c r="AH62" s="160"/>
      <c r="AI62" s="160"/>
      <c r="AJ62" s="160"/>
      <c r="AK62" s="160"/>
      <c r="AL62" s="160"/>
      <c r="AM62" s="160"/>
      <c r="AN62" s="160"/>
      <c r="AO62" s="160"/>
      <c r="AP62" s="160"/>
      <c r="AR62" s="157"/>
    </row>
    <row r="63" spans="1:53" ht="15" x14ac:dyDescent="0.25">
      <c r="A63" s="158" t="str">
        <f t="shared" si="19"/>
        <v>Extraction of Oil Crude</v>
      </c>
      <c r="B63" s="30" t="str">
        <f t="shared" si="20"/>
        <v>MINOCR</v>
      </c>
      <c r="D63" s="159" t="str">
        <f>NameConv!C37</f>
        <v>OCR</v>
      </c>
      <c r="E63" s="30">
        <v>0</v>
      </c>
      <c r="F63" s="82">
        <f>SUMIF($E$22:$E$34,$D63,F$22:F$34)*0.9</f>
        <v>176.80768308176101</v>
      </c>
      <c r="G63" s="82">
        <f>SUMIF($E$22:$E$34,$D63,G$22:G$34)*0.9</f>
        <v>182.41324301886792</v>
      </c>
      <c r="H63" s="82">
        <f>SUMIF($E$22:$E$34,$D63,H$22:H$34)*0.9</f>
        <v>167.43244528301889</v>
      </c>
      <c r="I63" s="82">
        <f>SUMIF($E$22:$E$34,$D63,I$22:I$34)*0.9</f>
        <v>213.25606188679242</v>
      </c>
      <c r="J63" s="82">
        <v>3</v>
      </c>
      <c r="K63" s="82">
        <v>0</v>
      </c>
      <c r="L63" s="82">
        <v>0</v>
      </c>
      <c r="M63"/>
      <c r="N63">
        <f>L63</f>
        <v>0</v>
      </c>
      <c r="O63">
        <f t="shared" ref="O63" si="21">N63</f>
        <v>0</v>
      </c>
      <c r="P63"/>
      <c r="Q63" t="str">
        <f>$Q$60</f>
        <v/>
      </c>
      <c r="V63" s="35"/>
      <c r="W63" s="35"/>
      <c r="X63" s="160"/>
      <c r="Y63" s="160"/>
      <c r="Z63" s="160"/>
      <c r="AA63" s="160"/>
      <c r="AB63" s="160"/>
      <c r="AC63" s="160"/>
      <c r="AD63" s="160"/>
      <c r="AE63" s="160"/>
      <c r="AF63" s="160"/>
      <c r="AG63" s="160"/>
      <c r="AH63" s="160"/>
      <c r="AI63" s="160"/>
      <c r="AJ63" s="160"/>
      <c r="AK63" s="160"/>
      <c r="AL63" s="160"/>
      <c r="AM63" s="160"/>
      <c r="AN63" s="160"/>
      <c r="AO63" s="160"/>
      <c r="AP63" s="160"/>
      <c r="AR63" s="157"/>
    </row>
    <row r="64" spans="1:53" ht="15" x14ac:dyDescent="0.25">
      <c r="A64" s="158" t="str">
        <f t="shared" si="19"/>
        <v>Extraction of Coastal Gas</v>
      </c>
      <c r="B64" s="30" t="str">
        <f t="shared" si="20"/>
        <v>MINGIC</v>
      </c>
      <c r="D64" s="159" t="str">
        <f>NameConv!C27</f>
        <v>GIC</v>
      </c>
      <c r="E64" s="30">
        <v>0</v>
      </c>
      <c r="F64" s="82">
        <f>F94</f>
        <v>70</v>
      </c>
      <c r="G64" s="82">
        <f>G94</f>
        <v>120</v>
      </c>
      <c r="H64" s="82">
        <f>G64</f>
        <v>120</v>
      </c>
      <c r="I64" s="82">
        <f>H64</f>
        <v>120</v>
      </c>
      <c r="J64" s="82">
        <v>3</v>
      </c>
      <c r="K64" s="82">
        <f>25838/1000</f>
        <v>25.838000000000001</v>
      </c>
      <c r="L64" s="82">
        <f>25838/1000</f>
        <v>25.838000000000001</v>
      </c>
      <c r="M64">
        <v>0</v>
      </c>
      <c r="N64">
        <v>0</v>
      </c>
      <c r="O64">
        <v>0</v>
      </c>
      <c r="P64"/>
      <c r="Q64"/>
      <c r="V64" s="35"/>
      <c r="W64" s="35"/>
      <c r="X64" s="160"/>
      <c r="Y64" s="160"/>
      <c r="Z64" s="160"/>
      <c r="AA64" s="160"/>
      <c r="AB64" s="160"/>
      <c r="AC64" s="160"/>
      <c r="AD64" s="160"/>
      <c r="AE64" s="160"/>
      <c r="AF64" s="160"/>
      <c r="AG64" s="160"/>
      <c r="AH64" s="160"/>
      <c r="AI64" s="160"/>
      <c r="AJ64" s="160"/>
      <c r="AK64" s="160"/>
      <c r="AL64" s="160"/>
      <c r="AM64" s="160"/>
      <c r="AN64" s="160"/>
      <c r="AO64" s="160"/>
      <c r="AP64" s="160"/>
      <c r="AR64" s="157"/>
    </row>
    <row r="65" spans="1:51" ht="15" x14ac:dyDescent="0.25">
      <c r="A65" s="158" t="str">
        <f t="shared" si="19"/>
        <v>Extraction of Gas Indigenous Ibhubezi</v>
      </c>
      <c r="B65" s="30" t="str">
        <f t="shared" si="20"/>
        <v>MINGIB</v>
      </c>
      <c r="D65" s="159" t="str">
        <f>NameConv!C25</f>
        <v>GIB</v>
      </c>
      <c r="E65" s="30">
        <v>0</v>
      </c>
      <c r="F65" s="82">
        <f t="shared" ref="F65:I66" si="22">SUMIF($D$37:$D$42,$D65,F$37:F$42)*$E$54</f>
        <v>117.73934470134871</v>
      </c>
      <c r="G65" s="82">
        <f t="shared" si="22"/>
        <v>121.47218561739591</v>
      </c>
      <c r="H65" s="82">
        <f t="shared" si="22"/>
        <v>111.49620902079818</v>
      </c>
      <c r="I65" s="82">
        <f t="shared" si="22"/>
        <v>142.01096096333239</v>
      </c>
      <c r="J65" s="82">
        <v>3</v>
      </c>
      <c r="K65" s="82"/>
      <c r="L65" s="82"/>
      <c r="M65"/>
      <c r="N65">
        <f>80*365/1000</f>
        <v>29.2</v>
      </c>
      <c r="O65"/>
      <c r="P65">
        <v>2025</v>
      </c>
      <c r="Q65">
        <f>544*1.055</f>
        <v>573.91999999999996</v>
      </c>
      <c r="V65" s="35"/>
      <c r="W65" s="35"/>
      <c r="X65" s="160"/>
      <c r="Y65" s="160"/>
      <c r="Z65" s="160"/>
      <c r="AA65" s="160"/>
      <c r="AB65" s="160"/>
      <c r="AC65" s="160"/>
      <c r="AD65" s="160"/>
      <c r="AE65" s="160"/>
      <c r="AF65" s="160"/>
      <c r="AG65" s="160"/>
      <c r="AH65" s="160"/>
      <c r="AI65" s="160"/>
      <c r="AJ65" s="160"/>
      <c r="AK65" s="160"/>
      <c r="AL65" s="160"/>
      <c r="AM65" s="160"/>
      <c r="AN65" s="160"/>
      <c r="AO65" s="160"/>
      <c r="AP65" s="160"/>
      <c r="AR65" s="157"/>
    </row>
    <row r="66" spans="1:51" ht="15" x14ac:dyDescent="0.25">
      <c r="A66" s="158" t="s">
        <v>349</v>
      </c>
      <c r="B66" s="30" t="str">
        <f>$B$46&amp;D66</f>
        <v>MINGAS</v>
      </c>
      <c r="D66" s="159" t="str">
        <f>NameConv!C19</f>
        <v>GAS</v>
      </c>
      <c r="E66" s="30">
        <v>0</v>
      </c>
      <c r="F66" s="82">
        <f t="shared" si="22"/>
        <v>106.47694185774681</v>
      </c>
      <c r="G66" s="82">
        <f t="shared" si="22"/>
        <v>106.47694185774681</v>
      </c>
      <c r="H66" s="82">
        <f t="shared" si="22"/>
        <v>106.47694185774681</v>
      </c>
      <c r="I66" s="82">
        <f t="shared" si="22"/>
        <v>106.47694185774681</v>
      </c>
      <c r="J66" s="82">
        <v>3</v>
      </c>
      <c r="K66" s="82">
        <v>0</v>
      </c>
      <c r="L66" s="82"/>
      <c r="M66"/>
      <c r="N66"/>
      <c r="O66"/>
      <c r="P66">
        <v>2030</v>
      </c>
      <c r="Q66">
        <v>6100</v>
      </c>
      <c r="V66" s="35"/>
      <c r="W66" s="35"/>
      <c r="X66" s="160"/>
      <c r="Y66" s="160"/>
      <c r="Z66" s="160"/>
      <c r="AA66" s="160"/>
      <c r="AB66" s="160"/>
      <c r="AC66" s="160"/>
      <c r="AD66" s="160"/>
      <c r="AE66" s="160"/>
      <c r="AF66" s="160"/>
      <c r="AG66" s="160"/>
      <c r="AH66" s="160"/>
      <c r="AI66" s="160"/>
      <c r="AJ66" s="160"/>
      <c r="AK66" s="160"/>
      <c r="AL66" s="160"/>
      <c r="AM66" s="160"/>
      <c r="AN66" s="160"/>
      <c r="AO66" s="160"/>
      <c r="AP66" s="160"/>
      <c r="AR66" s="157"/>
    </row>
    <row r="67" spans="1:51" ht="15" x14ac:dyDescent="0.25">
      <c r="A67" s="158" t="str">
        <f>"Extraction of "&amp;INDEX(FuelNamesLong,MATCH(D67,FuelNamesShort,0))</f>
        <v>Extraction of Gas Indigenous Shale</v>
      </c>
      <c r="B67" s="30" t="str">
        <f t="shared" si="20"/>
        <v>MINGIH</v>
      </c>
      <c r="D67" s="159" t="str">
        <f>NameConv!C26</f>
        <v>GIH</v>
      </c>
      <c r="E67" s="30">
        <v>0</v>
      </c>
      <c r="F67" s="82">
        <f>SUMIF($E$22:$E$42,$D67,I$22:I$42)</f>
        <v>0</v>
      </c>
      <c r="G67" s="82">
        <f>SUMIF($E$22:$E$42,$D67,J$22:J$42)</f>
        <v>0</v>
      </c>
      <c r="H67" s="82">
        <f>SUMIF($E$22:$E$42,$D67,K$22:K$42)</f>
        <v>0</v>
      </c>
      <c r="I67" s="82">
        <f>SUMIF($E$22:$E$42,$D67,L$22:L$42)</f>
        <v>0</v>
      </c>
      <c r="J67" s="82">
        <v>3</v>
      </c>
      <c r="K67" s="82">
        <v>0</v>
      </c>
      <c r="L67" s="82"/>
      <c r="M67"/>
      <c r="N67"/>
      <c r="O67"/>
      <c r="P67">
        <v>2027</v>
      </c>
      <c r="Q67">
        <v>40000</v>
      </c>
      <c r="V67" s="35"/>
      <c r="W67" s="35"/>
      <c r="X67" s="160"/>
      <c r="Y67" s="160"/>
      <c r="Z67" s="160"/>
      <c r="AA67" s="160"/>
      <c r="AB67" s="160"/>
      <c r="AC67" s="160"/>
      <c r="AD67" s="160"/>
      <c r="AE67" s="160"/>
      <c r="AF67" s="160"/>
      <c r="AG67" s="160"/>
      <c r="AH67" s="160"/>
      <c r="AI67" s="160"/>
      <c r="AJ67" s="160"/>
      <c r="AK67" s="160"/>
      <c r="AL67" s="160"/>
      <c r="AM67" s="160"/>
      <c r="AN67" s="160"/>
      <c r="AO67" s="160"/>
      <c r="AP67" s="160"/>
      <c r="AR67" s="157"/>
    </row>
    <row r="68" spans="1:51" ht="15" x14ac:dyDescent="0.25">
      <c r="A68" s="155" t="s">
        <v>350</v>
      </c>
      <c r="B68" s="30"/>
      <c r="D68" s="159"/>
      <c r="F68" s="82"/>
      <c r="G68" s="82"/>
      <c r="H68" s="82"/>
      <c r="I68" s="82"/>
      <c r="J68" s="82"/>
      <c r="K68" s="82"/>
      <c r="L68" s="82"/>
      <c r="M68"/>
      <c r="N68"/>
      <c r="O68"/>
      <c r="P68"/>
      <c r="Q68"/>
      <c r="V68" s="35"/>
      <c r="W68" s="35"/>
      <c r="X68" s="35"/>
      <c r="Y68" s="35"/>
      <c r="Z68" s="35"/>
      <c r="AA68" s="35"/>
      <c r="AB68" s="35"/>
      <c r="AC68" s="35"/>
      <c r="AD68" s="160"/>
      <c r="AE68" s="160"/>
      <c r="AF68" s="160"/>
      <c r="AG68" s="160"/>
      <c r="AH68" s="160"/>
      <c r="AI68" s="160"/>
      <c r="AJ68" s="160"/>
      <c r="AK68" s="160"/>
      <c r="AL68" s="160"/>
      <c r="AM68" s="160"/>
      <c r="AN68" s="160"/>
      <c r="AO68" s="160"/>
      <c r="AP68" s="160"/>
      <c r="AQ68" s="160"/>
      <c r="AR68" s="160"/>
      <c r="AS68" s="160"/>
      <c r="AT68" s="160"/>
      <c r="AU68" s="160"/>
      <c r="AV68" s="160"/>
      <c r="AW68" s="160"/>
      <c r="AY68" s="157"/>
    </row>
    <row r="69" spans="1:51" ht="15" x14ac:dyDescent="0.25">
      <c r="A69" s="158" t="str">
        <f t="shared" ref="A69:A76" si="23">"Extraction of "&amp;INDEX(FuelNamesLong,MATCH(D69,FuelNamesShort,0))</f>
        <v>Extraction of Biogas</v>
      </c>
      <c r="B69" s="30" t="str">
        <f t="shared" ref="B69:B75" si="24">$B$46&amp;D69</f>
        <v>MINBIG</v>
      </c>
      <c r="D69" s="159" t="str">
        <f>NameConv!C5</f>
        <v>BIG</v>
      </c>
      <c r="E69" s="30">
        <v>0</v>
      </c>
      <c r="F69" s="82">
        <f>F71</f>
        <v>59.346000000000004</v>
      </c>
      <c r="G69" s="82">
        <f t="shared" ref="G69:I69" si="25">G71</f>
        <v>59.346000000000004</v>
      </c>
      <c r="H69" s="82">
        <f t="shared" si="25"/>
        <v>59.346000000000004</v>
      </c>
      <c r="I69" s="82">
        <f t="shared" si="25"/>
        <v>59.346000000000004</v>
      </c>
      <c r="J69" s="82"/>
      <c r="K69" s="82"/>
      <c r="L69" s="82"/>
      <c r="M69"/>
      <c r="N69"/>
      <c r="O69"/>
      <c r="P69"/>
      <c r="Q69" t="str">
        <f t="shared" ref="Q69:Q76" si="26">$Q$60</f>
        <v/>
      </c>
      <c r="V69" s="35"/>
      <c r="W69" s="35"/>
      <c r="X69" s="35"/>
      <c r="Y69" s="35"/>
      <c r="Z69" s="35"/>
      <c r="AA69" s="35"/>
      <c r="AB69" s="35"/>
      <c r="AC69" s="35"/>
      <c r="AD69" s="160"/>
      <c r="AE69" s="160"/>
      <c r="AF69" s="160"/>
      <c r="AG69" s="160"/>
      <c r="AH69" s="160"/>
      <c r="AI69" s="160"/>
      <c r="AJ69" s="160"/>
      <c r="AK69" s="160"/>
      <c r="AL69" s="160"/>
      <c r="AM69" s="160"/>
      <c r="AN69" s="160"/>
      <c r="AO69" s="160"/>
      <c r="AP69" s="160"/>
      <c r="AQ69" s="160"/>
      <c r="AR69" s="160"/>
      <c r="AS69" s="160"/>
      <c r="AT69" s="160"/>
      <c r="AU69" s="160"/>
      <c r="AV69" s="160"/>
      <c r="AW69" s="160"/>
      <c r="AY69" s="157"/>
    </row>
    <row r="70" spans="1:51" ht="15" x14ac:dyDescent="0.25">
      <c r="A70" s="158" t="str">
        <f t="shared" si="23"/>
        <v>Extraction of Biomass bagasse</v>
      </c>
      <c r="B70" s="30" t="str">
        <f t="shared" si="24"/>
        <v>MINBIB</v>
      </c>
      <c r="D70" s="159" t="str">
        <f>NameConv!C8</f>
        <v>BIB</v>
      </c>
      <c r="E70" s="30">
        <v>0</v>
      </c>
      <c r="F70" s="82">
        <f>F60</f>
        <v>56.52</v>
      </c>
      <c r="G70" s="82">
        <f>F70</f>
        <v>56.52</v>
      </c>
      <c r="H70" s="82">
        <f>G70</f>
        <v>56.52</v>
      </c>
      <c r="I70" s="82">
        <f>H70</f>
        <v>56.52</v>
      </c>
      <c r="J70" s="82"/>
      <c r="K70" s="82"/>
      <c r="L70" s="82"/>
      <c r="M70"/>
      <c r="N70"/>
      <c r="O70"/>
      <c r="P70"/>
      <c r="Q70" t="str">
        <f t="shared" si="26"/>
        <v/>
      </c>
      <c r="V70" s="35"/>
      <c r="W70" s="35"/>
      <c r="X70" s="35"/>
      <c r="Y70" s="35"/>
      <c r="Z70" s="35"/>
      <c r="AA70" s="35"/>
      <c r="AB70" s="35"/>
      <c r="AC70" s="35"/>
      <c r="AD70" s="160"/>
      <c r="AE70" s="160"/>
      <c r="AF70" s="160"/>
      <c r="AG70" s="160"/>
      <c r="AH70" s="160"/>
      <c r="AI70" s="160"/>
      <c r="AJ70" s="160"/>
      <c r="AK70" s="160"/>
      <c r="AL70" s="160"/>
      <c r="AM70" s="160"/>
      <c r="AN70" s="160"/>
      <c r="AO70" s="160"/>
      <c r="AP70" s="160"/>
      <c r="AQ70" s="160"/>
      <c r="AR70" s="160"/>
      <c r="AS70" s="160"/>
      <c r="AT70" s="160"/>
      <c r="AU70" s="160"/>
      <c r="AV70" s="160"/>
      <c r="AW70" s="160"/>
      <c r="AY70" s="157"/>
    </row>
    <row r="71" spans="1:51" ht="15" x14ac:dyDescent="0.25">
      <c r="A71" s="158" t="str">
        <f t="shared" si="23"/>
        <v>Extraction of Biomass Other</v>
      </c>
      <c r="B71" s="30" t="str">
        <f t="shared" si="24"/>
        <v>MINBIO</v>
      </c>
      <c r="D71" s="159" t="str">
        <f>NameConv!C9</f>
        <v>BIO</v>
      </c>
      <c r="E71" s="30">
        <v>0</v>
      </c>
      <c r="F71" s="82">
        <f t="shared" ref="F71:I71" si="27">F60*1.05</f>
        <v>59.346000000000004</v>
      </c>
      <c r="G71" s="82">
        <f t="shared" si="27"/>
        <v>59.346000000000004</v>
      </c>
      <c r="H71" s="82">
        <f t="shared" si="27"/>
        <v>59.346000000000004</v>
      </c>
      <c r="I71" s="82">
        <f t="shared" si="27"/>
        <v>59.346000000000004</v>
      </c>
      <c r="J71" s="82"/>
      <c r="K71" s="82"/>
      <c r="L71" s="82"/>
      <c r="M71"/>
      <c r="N71"/>
      <c r="O71"/>
      <c r="P71"/>
      <c r="Q71" t="str">
        <f t="shared" si="26"/>
        <v/>
      </c>
      <c r="V71" s="35"/>
      <c r="W71" s="35"/>
      <c r="X71" s="35"/>
      <c r="Y71" s="35"/>
      <c r="Z71" s="35"/>
      <c r="AA71" s="35"/>
      <c r="AB71" s="35"/>
      <c r="AC71" s="35"/>
      <c r="AD71" s="160"/>
      <c r="AE71" s="160"/>
      <c r="AF71" s="160"/>
      <c r="AG71" s="160"/>
      <c r="AH71" s="160"/>
      <c r="AI71" s="160"/>
      <c r="AJ71" s="160"/>
      <c r="AK71" s="160"/>
      <c r="AL71" s="160"/>
      <c r="AM71" s="160"/>
      <c r="AN71" s="160"/>
      <c r="AO71" s="160"/>
      <c r="AP71" s="160"/>
      <c r="AQ71" s="160"/>
      <c r="AR71" s="160"/>
      <c r="AS71" s="160"/>
      <c r="AT71" s="160"/>
      <c r="AU71" s="160"/>
      <c r="AV71" s="160"/>
      <c r="AW71" s="160"/>
      <c r="AY71" s="157"/>
    </row>
    <row r="72" spans="1:51" ht="15" x14ac:dyDescent="0.25">
      <c r="A72" s="158" t="str">
        <f t="shared" si="23"/>
        <v>Extraction of Biomass Wood</v>
      </c>
      <c r="B72" s="30" t="str">
        <f t="shared" si="24"/>
        <v>MINBIW</v>
      </c>
      <c r="D72" s="159" t="str">
        <f>NameConv!C10</f>
        <v>BIW</v>
      </c>
      <c r="E72" s="30">
        <v>0</v>
      </c>
      <c r="F72" s="82">
        <f>F60</f>
        <v>56.52</v>
      </c>
      <c r="G72" s="82">
        <f t="shared" ref="G72:I73" si="28">F72</f>
        <v>56.52</v>
      </c>
      <c r="H72" s="82">
        <f t="shared" si="28"/>
        <v>56.52</v>
      </c>
      <c r="I72" s="82">
        <f t="shared" si="28"/>
        <v>56.52</v>
      </c>
      <c r="J72" s="82"/>
      <c r="K72" s="82"/>
      <c r="L72" s="82"/>
      <c r="M72"/>
      <c r="N72"/>
      <c r="O72"/>
      <c r="P72"/>
      <c r="Q72" t="str">
        <f t="shared" si="26"/>
        <v/>
      </c>
      <c r="V72" s="35"/>
      <c r="W72" s="35"/>
      <c r="X72" s="35"/>
      <c r="Y72" s="35"/>
      <c r="Z72" s="35"/>
      <c r="AA72" s="35"/>
      <c r="AB72" s="35"/>
      <c r="AC72" s="35"/>
      <c r="AD72" s="160"/>
      <c r="AE72" s="160"/>
      <c r="AF72" s="160"/>
      <c r="AG72" s="160"/>
      <c r="AH72" s="160"/>
      <c r="AI72" s="160"/>
      <c r="AJ72" s="160"/>
      <c r="AK72" s="160"/>
      <c r="AL72" s="160"/>
      <c r="AM72" s="160"/>
      <c r="AN72" s="160"/>
      <c r="AO72" s="160"/>
      <c r="AP72" s="160"/>
      <c r="AQ72" s="160"/>
      <c r="AR72" s="160"/>
      <c r="AS72" s="160"/>
      <c r="AT72" s="160"/>
      <c r="AU72" s="160"/>
      <c r="AV72" s="160"/>
      <c r="AW72" s="160"/>
      <c r="AY72" s="157"/>
    </row>
    <row r="73" spans="1:51" ht="15" x14ac:dyDescent="0.25">
      <c r="A73" s="158" t="str">
        <f t="shared" si="23"/>
        <v>Extraction of Waste</v>
      </c>
      <c r="B73" s="30" t="str">
        <f>$B$46&amp;D73</f>
        <v>MINWAS</v>
      </c>
      <c r="D73" s="159" t="str">
        <f>NameConv!C46</f>
        <v>WAS</v>
      </c>
      <c r="E73" s="30">
        <v>0</v>
      </c>
      <c r="F73" s="82">
        <v>0</v>
      </c>
      <c r="G73" s="82">
        <f t="shared" si="28"/>
        <v>0</v>
      </c>
      <c r="H73" s="82">
        <f t="shared" si="28"/>
        <v>0</v>
      </c>
      <c r="I73" s="82">
        <f t="shared" si="28"/>
        <v>0</v>
      </c>
      <c r="J73" s="82">
        <v>3</v>
      </c>
      <c r="K73" s="82">
        <v>25</v>
      </c>
      <c r="L73" s="82"/>
      <c r="M73"/>
      <c r="N73"/>
      <c r="O73"/>
      <c r="P73"/>
      <c r="Q73" t="str">
        <f t="shared" si="26"/>
        <v/>
      </c>
      <c r="V73" s="35"/>
      <c r="W73" s="35"/>
      <c r="X73" s="35"/>
      <c r="Y73" s="35"/>
      <c r="Z73" s="35"/>
      <c r="AA73" s="35"/>
      <c r="AB73" s="35"/>
      <c r="AC73" s="35"/>
      <c r="AD73" s="160"/>
      <c r="AE73" s="160"/>
      <c r="AF73" s="160"/>
      <c r="AG73" s="160"/>
      <c r="AH73" s="160"/>
      <c r="AI73" s="160"/>
      <c r="AJ73" s="160"/>
      <c r="AK73" s="160"/>
      <c r="AL73" s="160"/>
      <c r="AM73" s="160"/>
      <c r="AN73" s="160"/>
      <c r="AO73" s="160"/>
      <c r="AP73" s="160"/>
      <c r="AQ73" s="160"/>
      <c r="AR73" s="160"/>
      <c r="AS73" s="160"/>
      <c r="AT73" s="160"/>
      <c r="AU73" s="160"/>
      <c r="AV73" s="160"/>
      <c r="AW73" s="160"/>
      <c r="AY73" s="157"/>
    </row>
    <row r="74" spans="1:51" ht="15" x14ac:dyDescent="0.25">
      <c r="A74" s="158" t="str">
        <f t="shared" si="23"/>
        <v>Extraction of Hydro</v>
      </c>
      <c r="B74" s="30" t="str">
        <f>$B$46&amp;D74</f>
        <v>MINHYD</v>
      </c>
      <c r="D74" s="159" t="str">
        <f>NameConv!C33</f>
        <v>HYD</v>
      </c>
      <c r="E74" s="30">
        <v>0</v>
      </c>
      <c r="F74" s="82"/>
      <c r="G74" s="82"/>
      <c r="H74" s="82"/>
      <c r="I74" s="82"/>
      <c r="J74" s="82"/>
      <c r="K74" s="82"/>
      <c r="L74" s="82"/>
      <c r="M74"/>
      <c r="N74"/>
      <c r="O74"/>
      <c r="P74"/>
      <c r="Q74" t="str">
        <f t="shared" si="26"/>
        <v/>
      </c>
      <c r="V74" s="35"/>
      <c r="W74" s="35"/>
      <c r="X74" s="35"/>
      <c r="Y74" s="35"/>
      <c r="Z74" s="35"/>
      <c r="AA74" s="35"/>
      <c r="AB74" s="35"/>
      <c r="AC74" s="35"/>
      <c r="AD74" s="160"/>
      <c r="AE74" s="160"/>
      <c r="AF74" s="160"/>
      <c r="AG74" s="160"/>
      <c r="AH74" s="160"/>
      <c r="AI74" s="160"/>
      <c r="AJ74" s="160"/>
      <c r="AK74" s="160"/>
      <c r="AL74" s="160"/>
      <c r="AM74" s="160"/>
      <c r="AN74" s="160"/>
      <c r="AO74" s="160"/>
      <c r="AP74" s="160"/>
      <c r="AQ74" s="160"/>
      <c r="AR74" s="160"/>
      <c r="AS74" s="160"/>
      <c r="AT74" s="160"/>
      <c r="AU74" s="160"/>
      <c r="AV74" s="160"/>
      <c r="AW74" s="160"/>
      <c r="AY74" s="157"/>
    </row>
    <row r="75" spans="1:51" ht="15" x14ac:dyDescent="0.25">
      <c r="A75" s="158" t="str">
        <f t="shared" si="23"/>
        <v>Extraction of Solar</v>
      </c>
      <c r="B75" s="30" t="str">
        <f t="shared" si="24"/>
        <v>MINSOL</v>
      </c>
      <c r="D75" s="159" t="str">
        <f>NameConv!C44</f>
        <v>SOL</v>
      </c>
      <c r="E75" s="30">
        <v>0</v>
      </c>
      <c r="F75" s="82"/>
      <c r="G75" s="82"/>
      <c r="H75" s="82"/>
      <c r="I75" s="82"/>
      <c r="J75" s="82"/>
      <c r="K75" s="82"/>
      <c r="L75" s="82"/>
      <c r="M75"/>
      <c r="N75"/>
      <c r="O75"/>
      <c r="P75"/>
      <c r="Q75" t="str">
        <f t="shared" si="26"/>
        <v/>
      </c>
      <c r="V75" s="35"/>
      <c r="W75" s="35"/>
      <c r="X75" s="35"/>
      <c r="Y75" s="35"/>
      <c r="Z75" s="35"/>
      <c r="AA75" s="35"/>
      <c r="AB75" s="35"/>
      <c r="AC75" s="35"/>
      <c r="AD75" s="160"/>
      <c r="AE75" s="160"/>
      <c r="AF75" s="160"/>
      <c r="AG75" s="160"/>
      <c r="AH75" s="160"/>
      <c r="AI75" s="160"/>
      <c r="AJ75" s="160"/>
      <c r="AK75" s="160"/>
      <c r="AL75" s="160"/>
      <c r="AM75" s="160"/>
      <c r="AN75" s="160"/>
      <c r="AO75" s="160"/>
      <c r="AP75" s="160"/>
      <c r="AQ75" s="160"/>
      <c r="AR75" s="160"/>
      <c r="AS75" s="160"/>
      <c r="AT75" s="160"/>
      <c r="AU75" s="160"/>
      <c r="AV75" s="160"/>
      <c r="AW75" s="160"/>
      <c r="AY75" s="157"/>
    </row>
    <row r="76" spans="1:51" ht="15" x14ac:dyDescent="0.25">
      <c r="A76" s="158" t="str">
        <f t="shared" si="23"/>
        <v>Extraction of Wind</v>
      </c>
      <c r="B76" s="30" t="str">
        <f>$B$46&amp;D76</f>
        <v>MINWND</v>
      </c>
      <c r="D76" s="159" t="str">
        <f>NameConv!C45</f>
        <v>WND</v>
      </c>
      <c r="E76" s="30">
        <v>0</v>
      </c>
      <c r="F76" s="82"/>
      <c r="G76" s="82"/>
      <c r="H76" s="82"/>
      <c r="I76" s="82"/>
      <c r="J76" s="82"/>
      <c r="K76" s="82"/>
      <c r="L76" s="82"/>
      <c r="M76"/>
      <c r="N76"/>
      <c r="O76"/>
      <c r="P76"/>
      <c r="Q76" t="str">
        <f t="shared" si="26"/>
        <v/>
      </c>
      <c r="V76" s="35"/>
      <c r="W76" s="35"/>
      <c r="X76" s="35"/>
      <c r="Y76" s="35"/>
      <c r="Z76" s="35"/>
      <c r="AA76" s="35"/>
      <c r="AB76" s="35"/>
      <c r="AC76" s="35"/>
      <c r="AD76" s="160"/>
      <c r="AE76" s="160"/>
      <c r="AF76" s="160"/>
      <c r="AG76" s="160"/>
      <c r="AH76" s="160"/>
      <c r="AI76" s="160"/>
      <c r="AJ76" s="160"/>
      <c r="AK76" s="160"/>
      <c r="AL76" s="160"/>
      <c r="AM76" s="160"/>
      <c r="AN76" s="160"/>
      <c r="AO76" s="160"/>
      <c r="AP76" s="160"/>
      <c r="AQ76" s="160"/>
      <c r="AR76" s="160"/>
      <c r="AS76" s="160"/>
      <c r="AT76" s="160"/>
      <c r="AU76" s="160"/>
      <c r="AV76" s="160"/>
      <c r="AW76" s="160"/>
      <c r="AY76" s="157"/>
    </row>
    <row r="77" spans="1:51" ht="15" x14ac:dyDescent="0.25">
      <c r="A77" s="155" t="s">
        <v>351</v>
      </c>
      <c r="B77" s="38"/>
      <c r="D77" s="159"/>
      <c r="F77" s="82"/>
      <c r="G77" s="82"/>
      <c r="H77" s="82"/>
      <c r="I77" s="82"/>
      <c r="J77" s="82"/>
      <c r="K77" s="82"/>
      <c r="L77" s="82"/>
      <c r="M77"/>
      <c r="N77"/>
      <c r="O77"/>
      <c r="P77"/>
      <c r="Q77"/>
      <c r="V77" s="35"/>
      <c r="W77" s="35"/>
      <c r="X77" s="35"/>
      <c r="Y77" s="35"/>
      <c r="Z77" s="35"/>
      <c r="AA77" s="35"/>
      <c r="AB77" s="35"/>
      <c r="AC77" s="35"/>
      <c r="AD77" s="160"/>
      <c r="AE77" s="160"/>
      <c r="AF77" s="160"/>
      <c r="AG77" s="160"/>
      <c r="AH77" s="160"/>
      <c r="AI77" s="160"/>
      <c r="AJ77" s="160"/>
      <c r="AK77" s="160"/>
      <c r="AL77" s="160"/>
      <c r="AM77" s="160"/>
      <c r="AN77" s="160"/>
      <c r="AO77" s="160"/>
      <c r="AP77" s="160"/>
      <c r="AQ77" s="160"/>
      <c r="AR77" s="160"/>
      <c r="AS77" s="160"/>
      <c r="AT77" s="160"/>
      <c r="AU77" s="160"/>
      <c r="AV77" s="160"/>
      <c r="AW77" s="160"/>
      <c r="AY77" s="157"/>
    </row>
    <row r="78" spans="1:51" ht="15" x14ac:dyDescent="0.25">
      <c r="A78" s="158" t="str">
        <f t="shared" ref="A78:A92" si="29">"Imports of "&amp;INDEX(FuelNamesLong,MATCH(D78,FuelNamesShort,0))</f>
        <v>Imports of Coal Coking</v>
      </c>
      <c r="B78" s="30" t="str">
        <f>"IMP"&amp;D78</f>
        <v>IMPCOK</v>
      </c>
      <c r="D78" s="159" t="str">
        <f>NameConv!C12</f>
        <v>COK</v>
      </c>
      <c r="E78" s="30">
        <v>0</v>
      </c>
      <c r="F78" s="82">
        <f t="shared" ref="F78" si="30">F60*1.5</f>
        <v>84.78</v>
      </c>
      <c r="G78" s="82">
        <f>G60*1.5</f>
        <v>84.78</v>
      </c>
      <c r="H78" s="82">
        <f t="shared" ref="H78:I78" si="31">H60*1.5</f>
        <v>84.78</v>
      </c>
      <c r="I78" s="82">
        <f t="shared" si="31"/>
        <v>84.78</v>
      </c>
      <c r="J78" s="82">
        <v>3</v>
      </c>
      <c r="K78" s="82"/>
      <c r="L78" s="82"/>
      <c r="M78"/>
      <c r="N78"/>
      <c r="O78"/>
      <c r="P78"/>
      <c r="Q78" t="str">
        <f t="shared" ref="Q78:Q92" si="32">$Q$60</f>
        <v/>
      </c>
      <c r="V78" s="35"/>
      <c r="W78" s="35"/>
      <c r="X78" s="35"/>
      <c r="Y78" s="35"/>
      <c r="Z78" s="35"/>
      <c r="AA78" s="35"/>
      <c r="AB78" s="35"/>
      <c r="AC78" s="35"/>
      <c r="AD78" s="160"/>
      <c r="AE78" s="160"/>
      <c r="AF78" s="160"/>
      <c r="AG78" s="160"/>
      <c r="AH78" s="160"/>
      <c r="AI78" s="160"/>
      <c r="AJ78" s="160"/>
      <c r="AK78" s="160"/>
      <c r="AL78" s="160"/>
      <c r="AM78" s="160"/>
      <c r="AN78" s="160"/>
      <c r="AO78" s="160"/>
      <c r="AP78" s="160"/>
      <c r="AQ78" s="160"/>
      <c r="AR78" s="160"/>
      <c r="AS78" s="160"/>
      <c r="AT78" s="160"/>
      <c r="AU78" s="160"/>
      <c r="AV78" s="160"/>
      <c r="AW78" s="160"/>
      <c r="AY78" s="157"/>
    </row>
    <row r="79" spans="1:51" ht="15" x14ac:dyDescent="0.25">
      <c r="A79" s="158" t="s">
        <v>1059</v>
      </c>
      <c r="B79" s="30"/>
      <c r="D79" s="159" t="str">
        <f>D80</f>
        <v>GRL</v>
      </c>
      <c r="E79" s="30"/>
      <c r="F79" s="82">
        <f>F80/F15</f>
        <v>8.7491242874264614</v>
      </c>
      <c r="G79" s="82">
        <f t="shared" ref="G79:I79" si="33">G80/G15</f>
        <v>9.0144883767620421</v>
      </c>
      <c r="H79" s="82">
        <f t="shared" si="33"/>
        <v>8.3053057450005809</v>
      </c>
      <c r="I79" s="82">
        <f t="shared" si="33"/>
        <v>10.474570265682702</v>
      </c>
      <c r="J79" s="82"/>
      <c r="K79" s="82"/>
      <c r="L79" s="82"/>
      <c r="M79"/>
      <c r="N79"/>
      <c r="O79"/>
      <c r="P79"/>
      <c r="Q79"/>
      <c r="V79" s="35"/>
      <c r="W79" s="35"/>
      <c r="X79" s="35"/>
      <c r="Y79" s="35"/>
      <c r="Z79" s="35"/>
      <c r="AA79" s="35"/>
      <c r="AB79" s="35"/>
      <c r="AC79" s="35"/>
      <c r="AD79" s="160"/>
      <c r="AE79" s="160"/>
      <c r="AF79" s="160"/>
      <c r="AG79" s="160"/>
      <c r="AH79" s="160"/>
      <c r="AI79" s="160"/>
      <c r="AJ79" s="160"/>
      <c r="AK79" s="160"/>
      <c r="AL79" s="160"/>
      <c r="AM79" s="160"/>
      <c r="AN79" s="160"/>
      <c r="AO79" s="160"/>
      <c r="AP79" s="160"/>
      <c r="AQ79" s="160"/>
      <c r="AR79" s="160"/>
      <c r="AS79" s="160"/>
      <c r="AT79" s="160"/>
      <c r="AU79" s="160"/>
      <c r="AV79" s="160"/>
      <c r="AW79" s="160"/>
      <c r="AY79" s="157"/>
    </row>
    <row r="80" spans="1:51" ht="15" x14ac:dyDescent="0.25">
      <c r="A80" s="158" t="str">
        <f t="shared" si="29"/>
        <v>Imports of Gas Regional LNG</v>
      </c>
      <c r="B80" s="30" t="str">
        <f>"IMP"&amp;D80</f>
        <v>IMPGRL</v>
      </c>
      <c r="D80" s="159" t="str">
        <f>NameConv!C22</f>
        <v>GRL</v>
      </c>
      <c r="E80" s="30">
        <v>0</v>
      </c>
      <c r="F80" s="82">
        <f t="shared" ref="F80:I81" si="34">SUMIF($C$37:$C$42,$B80,F$37:F$42)*$E$54</f>
        <v>143.92309452816528</v>
      </c>
      <c r="G80" s="82">
        <f t="shared" si="34"/>
        <v>148.28833379773559</v>
      </c>
      <c r="H80" s="82">
        <f t="shared" si="34"/>
        <v>136.62227950525954</v>
      </c>
      <c r="I80" s="82">
        <f t="shared" si="34"/>
        <v>172.30668087048045</v>
      </c>
      <c r="J80" s="82"/>
      <c r="K80" s="82"/>
      <c r="L80" s="82"/>
      <c r="M80"/>
      <c r="N80"/>
      <c r="O80"/>
      <c r="P80">
        <v>2027</v>
      </c>
      <c r="Q80" t="str">
        <f t="shared" si="32"/>
        <v/>
      </c>
      <c r="V80" s="35"/>
      <c r="W80" s="35"/>
      <c r="X80" s="35"/>
      <c r="Y80" s="35"/>
      <c r="Z80" s="35"/>
      <c r="AA80" s="35"/>
      <c r="AB80" s="35"/>
      <c r="AC80" s="35"/>
      <c r="AD80" s="160"/>
      <c r="AE80" s="160"/>
      <c r="AF80" s="160"/>
      <c r="AG80" s="160"/>
      <c r="AH80" s="160"/>
      <c r="AI80" s="160"/>
      <c r="AJ80" s="160"/>
      <c r="AK80" s="160"/>
      <c r="AL80" s="160"/>
      <c r="AM80" s="160"/>
      <c r="AN80" s="160"/>
      <c r="AO80" s="160"/>
      <c r="AP80" s="160"/>
      <c r="AQ80" s="160"/>
      <c r="AR80" s="160"/>
      <c r="AS80" s="160"/>
      <c r="AT80" s="160"/>
      <c r="AU80" s="160"/>
      <c r="AV80" s="160"/>
      <c r="AW80" s="160"/>
      <c r="AY80" s="157"/>
    </row>
    <row r="81" spans="1:51" ht="15" x14ac:dyDescent="0.25">
      <c r="A81" s="158" t="str">
        <f t="shared" si="29"/>
        <v>Imports of Gas International LNG</v>
      </c>
      <c r="B81" s="30" t="str">
        <f>"IMP"&amp;NameConv!C23</f>
        <v>IMPGWL</v>
      </c>
      <c r="D81" s="159" t="str">
        <f>NameConv!C23</f>
        <v>GWL</v>
      </c>
      <c r="E81" s="30">
        <v>0</v>
      </c>
      <c r="F81" s="82">
        <f t="shared" si="34"/>
        <v>150.16006135280986</v>
      </c>
      <c r="G81" s="82">
        <f t="shared" si="34"/>
        <v>154.52530062238017</v>
      </c>
      <c r="H81" s="82">
        <f t="shared" si="34"/>
        <v>142.85924632990407</v>
      </c>
      <c r="I81" s="82">
        <f t="shared" si="34"/>
        <v>178.543647695125</v>
      </c>
      <c r="J81" s="82" t="s">
        <v>253</v>
      </c>
      <c r="K81" s="82" t="s">
        <v>253</v>
      </c>
      <c r="L81" s="82" t="s">
        <v>253</v>
      </c>
      <c r="M81"/>
      <c r="N81" t="s">
        <v>253</v>
      </c>
      <c r="O81" t="s">
        <v>253</v>
      </c>
      <c r="P81">
        <v>2027</v>
      </c>
      <c r="Q81" t="str">
        <f t="shared" si="32"/>
        <v/>
      </c>
      <c r="U81" s="161"/>
      <c r="V81" s="162"/>
      <c r="W81" s="35"/>
      <c r="X81" s="35"/>
      <c r="Y81" s="35"/>
      <c r="Z81" s="35"/>
      <c r="AA81" s="35"/>
      <c r="AB81" s="35"/>
      <c r="AC81" s="35"/>
      <c r="AD81" s="160"/>
      <c r="AE81" s="160"/>
      <c r="AF81" s="160"/>
      <c r="AG81" s="160"/>
      <c r="AH81" s="160"/>
      <c r="AI81" s="160"/>
      <c r="AJ81" s="160"/>
      <c r="AK81" s="160"/>
      <c r="AL81" s="160"/>
      <c r="AM81" s="160"/>
      <c r="AN81" s="160"/>
      <c r="AO81" s="160"/>
      <c r="AP81" s="160"/>
      <c r="AQ81" s="160"/>
      <c r="AR81" s="160"/>
      <c r="AS81" s="160"/>
      <c r="AT81" s="160"/>
      <c r="AU81" s="160"/>
      <c r="AV81" s="160"/>
      <c r="AW81" s="160"/>
      <c r="AY81" s="157"/>
    </row>
    <row r="82" spans="1:51" ht="15" x14ac:dyDescent="0.25">
      <c r="A82" s="158" t="s">
        <v>1059</v>
      </c>
      <c r="B82" s="30"/>
      <c r="D82" s="159" t="str">
        <f>D81</f>
        <v>GWL</v>
      </c>
      <c r="E82" s="30"/>
      <c r="F82" s="82">
        <f>F81/F15</f>
        <v>9.1282712068577432</v>
      </c>
      <c r="G82" s="82">
        <f t="shared" ref="G82:I82" si="35">G81/G15</f>
        <v>9.3936352961933238</v>
      </c>
      <c r="H82" s="82">
        <f t="shared" si="35"/>
        <v>8.6844526644318591</v>
      </c>
      <c r="I82" s="82">
        <f t="shared" si="35"/>
        <v>10.853717185113982</v>
      </c>
      <c r="J82" s="82"/>
      <c r="K82" s="82"/>
      <c r="L82" s="82"/>
      <c r="M82"/>
      <c r="N82"/>
      <c r="O82"/>
      <c r="P82"/>
      <c r="Q82"/>
      <c r="U82" s="161"/>
      <c r="V82" s="162"/>
      <c r="W82" s="35"/>
      <c r="X82" s="35"/>
      <c r="Y82" s="35"/>
      <c r="Z82" s="35"/>
      <c r="AA82" s="35"/>
      <c r="AB82" s="35"/>
      <c r="AC82" s="35"/>
      <c r="AD82" s="160"/>
      <c r="AE82" s="160"/>
      <c r="AF82" s="160"/>
      <c r="AG82" s="160"/>
      <c r="AH82" s="160"/>
      <c r="AI82" s="160"/>
      <c r="AJ82" s="160"/>
      <c r="AK82" s="160"/>
      <c r="AL82" s="160"/>
      <c r="AM82" s="160"/>
      <c r="AN82" s="160"/>
      <c r="AO82" s="160"/>
      <c r="AP82" s="160"/>
      <c r="AQ82" s="160"/>
      <c r="AR82" s="160"/>
      <c r="AS82" s="160"/>
      <c r="AT82" s="160"/>
      <c r="AU82" s="160"/>
      <c r="AV82" s="160"/>
      <c r="AW82" s="160"/>
      <c r="AY82" s="157"/>
    </row>
    <row r="83" spans="1:51" ht="15" x14ac:dyDescent="0.25">
      <c r="A83" s="158" t="str">
        <f t="shared" si="29"/>
        <v>Imports of Nuclear</v>
      </c>
      <c r="B83" s="30" t="str">
        <f t="shared" ref="B83:B91" si="36">"IMP"&amp;D83</f>
        <v>IMPNUC</v>
      </c>
      <c r="D83" s="159" t="str">
        <f>NameConv!C35</f>
        <v>NUC</v>
      </c>
      <c r="E83" s="30">
        <v>0</v>
      </c>
      <c r="F83" s="82">
        <f>9.1*1.152</f>
        <v>10.483199999999998</v>
      </c>
      <c r="G83" s="82">
        <f>F83</f>
        <v>10.483199999999998</v>
      </c>
      <c r="H83" s="82">
        <f>G83</f>
        <v>10.483199999999998</v>
      </c>
      <c r="I83" s="82">
        <f>H83</f>
        <v>10.483199999999998</v>
      </c>
      <c r="J83" s="82">
        <v>0</v>
      </c>
      <c r="K83" s="82">
        <f t="shared" ref="K83:K85" si="37">SUMIF($C$8:$AZ$8,D83,$C$11:$AZ$11)</f>
        <v>170.374545454545</v>
      </c>
      <c r="L83" s="82"/>
      <c r="M83"/>
      <c r="N83"/>
      <c r="O83"/>
      <c r="P83"/>
      <c r="Q83" t="str">
        <f t="shared" si="32"/>
        <v/>
      </c>
      <c r="T83" s="161" t="s">
        <v>352</v>
      </c>
      <c r="V83" s="35"/>
      <c r="W83" s="35"/>
      <c r="X83" s="35"/>
      <c r="Y83" s="35"/>
      <c r="Z83" s="35"/>
      <c r="AA83" s="35"/>
      <c r="AB83" s="35"/>
      <c r="AC83" s="35"/>
      <c r="AD83" s="160"/>
      <c r="AE83" s="160"/>
      <c r="AF83" s="160"/>
      <c r="AG83" s="160"/>
      <c r="AH83" s="160"/>
      <c r="AI83" s="160"/>
      <c r="AJ83" s="160"/>
      <c r="AK83" s="160"/>
      <c r="AL83" s="160"/>
      <c r="AM83" s="160"/>
      <c r="AN83" s="160"/>
      <c r="AO83" s="160"/>
      <c r="AP83" s="160"/>
      <c r="AQ83" s="160"/>
      <c r="AR83" s="160"/>
      <c r="AS83" s="160"/>
      <c r="AT83" s="160"/>
      <c r="AU83" s="160"/>
      <c r="AV83" s="160"/>
      <c r="AW83" s="160"/>
      <c r="AY83" s="157"/>
    </row>
    <row r="84" spans="1:51" ht="15" x14ac:dyDescent="0.25">
      <c r="A84" s="158" t="str">
        <f t="shared" si="29"/>
        <v>Imports of Oil Av Gasoline</v>
      </c>
      <c r="B84" s="30" t="str">
        <f t="shared" si="36"/>
        <v>IMPOAG</v>
      </c>
      <c r="D84" s="159" t="str">
        <f>NameConv!C36</f>
        <v>OAG</v>
      </c>
      <c r="E84" s="30">
        <v>0</v>
      </c>
      <c r="F84" s="82">
        <f t="shared" ref="F84:I84" si="38">F87</f>
        <v>247.03405739193275</v>
      </c>
      <c r="G84" s="82">
        <f t="shared" si="38"/>
        <v>253.06623635843414</v>
      </c>
      <c r="H84" s="82">
        <f t="shared" si="38"/>
        <v>232.71621829347131</v>
      </c>
      <c r="I84" s="82">
        <f t="shared" si="38"/>
        <v>294.96333237453405</v>
      </c>
      <c r="J84" s="82">
        <v>0</v>
      </c>
      <c r="K84" s="82">
        <f t="shared" si="37"/>
        <v>1.394321535205479</v>
      </c>
      <c r="L84" s="82"/>
      <c r="M84"/>
      <c r="N84"/>
      <c r="O84"/>
      <c r="P84"/>
      <c r="Q84" t="str">
        <f t="shared" si="32"/>
        <v/>
      </c>
      <c r="V84" s="35"/>
      <c r="W84" s="35"/>
      <c r="X84" s="35"/>
      <c r="Y84" s="35"/>
      <c r="Z84" s="35"/>
      <c r="AA84" s="35"/>
      <c r="AB84" s="35"/>
      <c r="AC84" s="35"/>
      <c r="AD84" s="160"/>
      <c r="AE84" s="160"/>
      <c r="AF84" s="160"/>
      <c r="AG84" s="160"/>
      <c r="AH84" s="160"/>
      <c r="AI84" s="160"/>
      <c r="AJ84" s="160"/>
      <c r="AK84" s="160"/>
      <c r="AL84" s="160"/>
      <c r="AM84" s="160"/>
      <c r="AN84" s="160"/>
      <c r="AO84" s="160"/>
      <c r="AP84" s="160"/>
      <c r="AQ84" s="160"/>
      <c r="AR84" s="160"/>
      <c r="AS84" s="160"/>
      <c r="AT84" s="160"/>
      <c r="AU84" s="160"/>
      <c r="AV84" s="160"/>
      <c r="AW84" s="160"/>
      <c r="AY84" s="157"/>
    </row>
    <row r="85" spans="1:51" ht="15" x14ac:dyDescent="0.25">
      <c r="A85" s="158" t="str">
        <f t="shared" si="29"/>
        <v>Imports of Oil Crude</v>
      </c>
      <c r="B85" s="30" t="str">
        <f t="shared" si="36"/>
        <v>IMPOCR</v>
      </c>
      <c r="D85" s="159" t="str">
        <f>NameConv!C37</f>
        <v>OCR</v>
      </c>
      <c r="E85" s="30">
        <v>0</v>
      </c>
      <c r="F85" s="82">
        <f t="shared" ref="F85:I90" si="39">SUMIF($E$22:$E$34,$D85,F$22:F$34)</f>
        <v>196.45298120195667</v>
      </c>
      <c r="G85" s="82">
        <f t="shared" si="39"/>
        <v>202.68138113207547</v>
      </c>
      <c r="H85" s="82">
        <f t="shared" si="39"/>
        <v>186.03605031446543</v>
      </c>
      <c r="I85" s="82">
        <f t="shared" si="39"/>
        <v>236.95117987421381</v>
      </c>
      <c r="J85" s="82">
        <v>0</v>
      </c>
      <c r="K85" s="82">
        <f t="shared" si="37"/>
        <v>941.22622485351599</v>
      </c>
      <c r="L85" s="82"/>
      <c r="M85"/>
      <c r="N85"/>
      <c r="O85"/>
      <c r="P85"/>
      <c r="Q85" t="str">
        <f t="shared" si="32"/>
        <v/>
      </c>
      <c r="V85" s="35"/>
      <c r="W85" s="35"/>
      <c r="X85" s="35"/>
      <c r="Y85" s="35"/>
      <c r="Z85" s="35"/>
      <c r="AA85" s="35"/>
      <c r="AB85" s="35"/>
      <c r="AC85" s="35"/>
      <c r="AD85" s="160"/>
      <c r="AE85" s="160"/>
      <c r="AF85" s="160"/>
      <c r="AG85" s="160"/>
      <c r="AH85" s="160"/>
      <c r="AI85" s="160"/>
      <c r="AJ85" s="160"/>
      <c r="AK85" s="160"/>
      <c r="AL85" s="160"/>
      <c r="AM85" s="160"/>
      <c r="AN85" s="160"/>
      <c r="AO85" s="160"/>
      <c r="AP85" s="160"/>
      <c r="AQ85" s="160"/>
      <c r="AR85" s="160"/>
      <c r="AS85" s="160"/>
      <c r="AT85" s="160"/>
      <c r="AU85" s="160"/>
      <c r="AV85" s="160"/>
      <c r="AW85" s="160"/>
      <c r="AY85" s="157"/>
    </row>
    <row r="86" spans="1:51" ht="15" x14ac:dyDescent="0.25">
      <c r="A86" s="158" t="str">
        <f t="shared" si="29"/>
        <v>Imports of Oil Diesel</v>
      </c>
      <c r="B86" s="30" t="str">
        <f t="shared" si="36"/>
        <v>IMPODS</v>
      </c>
      <c r="D86" s="159" t="str">
        <f>NameConv!C38</f>
        <v>ODS</v>
      </c>
      <c r="E86" s="30">
        <v>0</v>
      </c>
      <c r="F86" s="82">
        <f t="shared" si="39"/>
        <v>236.56389169057414</v>
      </c>
      <c r="G86" s="82">
        <f t="shared" si="39"/>
        <v>244.65407088700817</v>
      </c>
      <c r="H86" s="82">
        <f t="shared" si="39"/>
        <v>224.41968109431471</v>
      </c>
      <c r="I86" s="82">
        <f t="shared" si="39"/>
        <v>286.31310869549469</v>
      </c>
      <c r="J86" s="82">
        <v>0</v>
      </c>
      <c r="K86" s="82">
        <v>162</v>
      </c>
      <c r="L86" s="82"/>
      <c r="M86"/>
      <c r="N86"/>
      <c r="O86"/>
      <c r="P86"/>
      <c r="Q86" t="str">
        <f t="shared" si="32"/>
        <v/>
      </c>
      <c r="V86" s="35"/>
      <c r="W86" s="35"/>
      <c r="X86" s="35"/>
      <c r="Y86" s="35"/>
      <c r="Z86" s="35"/>
      <c r="AA86" s="35"/>
      <c r="AB86" s="35"/>
      <c r="AC86" s="35"/>
      <c r="AD86" s="160"/>
      <c r="AE86" s="160"/>
      <c r="AF86" s="160"/>
      <c r="AG86" s="160"/>
      <c r="AH86" s="160"/>
      <c r="AI86" s="160"/>
      <c r="AJ86" s="160"/>
      <c r="AK86" s="160"/>
      <c r="AL86" s="160"/>
      <c r="AM86" s="160"/>
      <c r="AN86" s="160"/>
      <c r="AO86" s="160"/>
      <c r="AP86" s="160"/>
      <c r="AQ86" s="160"/>
      <c r="AR86" s="160"/>
      <c r="AS86" s="160"/>
      <c r="AT86" s="160"/>
      <c r="AU86" s="160"/>
      <c r="AV86" s="160"/>
      <c r="AW86" s="160"/>
      <c r="AY86" s="157"/>
    </row>
    <row r="87" spans="1:51" ht="15" x14ac:dyDescent="0.25">
      <c r="A87" s="158" t="str">
        <f t="shared" si="29"/>
        <v>Imports of Oil Gasoline</v>
      </c>
      <c r="B87" s="30" t="str">
        <f t="shared" si="36"/>
        <v>IMPOGS</v>
      </c>
      <c r="D87" s="159" t="str">
        <f>NameConv!C39</f>
        <v>OGS</v>
      </c>
      <c r="E87" s="30">
        <v>0</v>
      </c>
      <c r="F87" s="82">
        <f t="shared" si="39"/>
        <v>247.03405739193275</v>
      </c>
      <c r="G87" s="82">
        <f t="shared" si="39"/>
        <v>253.06623635843414</v>
      </c>
      <c r="H87" s="82">
        <f t="shared" si="39"/>
        <v>232.71621829347131</v>
      </c>
      <c r="I87" s="82">
        <f t="shared" si="39"/>
        <v>294.96333237453405</v>
      </c>
      <c r="J87" s="82">
        <v>0</v>
      </c>
      <c r="K87" s="82">
        <v>35.299999999999997</v>
      </c>
      <c r="L87" s="82"/>
      <c r="M87"/>
      <c r="N87"/>
      <c r="O87"/>
      <c r="P87"/>
      <c r="Q87" t="str">
        <f t="shared" si="32"/>
        <v/>
      </c>
      <c r="V87" s="35"/>
      <c r="W87" s="35"/>
      <c r="X87" s="35"/>
      <c r="Y87" s="35"/>
      <c r="Z87" s="35"/>
      <c r="AA87" s="35"/>
      <c r="AB87" s="35"/>
      <c r="AC87" s="35"/>
      <c r="AD87" s="160"/>
      <c r="AE87" s="160"/>
      <c r="AF87" s="160"/>
      <c r="AG87" s="160"/>
      <c r="AH87" s="160"/>
      <c r="AI87" s="160"/>
      <c r="AJ87" s="160"/>
      <c r="AK87" s="160"/>
      <c r="AL87" s="160"/>
      <c r="AM87" s="160"/>
      <c r="AN87" s="160"/>
      <c r="AO87" s="160"/>
      <c r="AP87" s="160"/>
      <c r="AQ87" s="160"/>
      <c r="AR87" s="160"/>
      <c r="AS87" s="160"/>
      <c r="AT87" s="160"/>
      <c r="AU87" s="160"/>
      <c r="AV87" s="160"/>
      <c r="AW87" s="160"/>
      <c r="AY87" s="157"/>
    </row>
    <row r="88" spans="1:51" ht="15" x14ac:dyDescent="0.25">
      <c r="A88" s="158" t="str">
        <f t="shared" si="29"/>
        <v>Imports of Oil HFO</v>
      </c>
      <c r="B88" s="30" t="str">
        <f t="shared" si="36"/>
        <v>IMPOHF</v>
      </c>
      <c r="D88" s="159" t="str">
        <f>NameConv!C40</f>
        <v>OHF</v>
      </c>
      <c r="E88" s="30">
        <v>0</v>
      </c>
      <c r="F88" s="82">
        <f t="shared" si="39"/>
        <v>196.45298120195667</v>
      </c>
      <c r="G88" s="82">
        <f t="shared" si="39"/>
        <v>202.68138113207547</v>
      </c>
      <c r="H88" s="82">
        <f t="shared" si="39"/>
        <v>186.03605031446543</v>
      </c>
      <c r="I88" s="82">
        <f t="shared" si="39"/>
        <v>236.95117987421381</v>
      </c>
      <c r="J88" s="82">
        <v>0</v>
      </c>
      <c r="K88" s="82">
        <v>0</v>
      </c>
      <c r="L88" s="82"/>
      <c r="M88"/>
      <c r="N88"/>
      <c r="O88"/>
      <c r="P88"/>
      <c r="Q88" t="str">
        <f t="shared" si="32"/>
        <v/>
      </c>
      <c r="V88" s="35"/>
      <c r="W88" s="35"/>
      <c r="X88" s="35"/>
      <c r="Y88" s="35"/>
      <c r="Z88" s="35"/>
      <c r="AA88" s="35"/>
      <c r="AB88" s="35"/>
      <c r="AC88" s="35"/>
      <c r="AD88" s="160"/>
      <c r="AE88" s="160"/>
      <c r="AF88" s="160"/>
      <c r="AG88" s="160"/>
      <c r="AH88" s="160"/>
      <c r="AI88" s="160"/>
      <c r="AJ88" s="160"/>
      <c r="AK88" s="160"/>
      <c r="AL88" s="160"/>
      <c r="AM88" s="160"/>
      <c r="AN88" s="160"/>
      <c r="AO88" s="160"/>
      <c r="AP88" s="160"/>
      <c r="AQ88" s="160"/>
      <c r="AR88" s="160"/>
      <c r="AS88" s="160"/>
      <c r="AT88" s="160"/>
      <c r="AU88" s="160"/>
      <c r="AV88" s="160"/>
      <c r="AW88" s="160"/>
      <c r="AY88" s="157"/>
    </row>
    <row r="89" spans="1:51" ht="15" x14ac:dyDescent="0.25">
      <c r="A89" s="158" t="str">
        <f t="shared" si="29"/>
        <v>Imports of Oil LPG</v>
      </c>
      <c r="B89" s="30" t="str">
        <f t="shared" si="36"/>
        <v>IMPOLP</v>
      </c>
      <c r="D89" s="159" t="str">
        <f>NameConv!C42</f>
        <v>OLP</v>
      </c>
      <c r="E89" s="30">
        <v>0</v>
      </c>
      <c r="F89" s="82">
        <f t="shared" si="39"/>
        <v>376.62224144497708</v>
      </c>
      <c r="G89" s="82">
        <f t="shared" si="39"/>
        <v>382.94989907290471</v>
      </c>
      <c r="H89" s="82">
        <f t="shared" si="39"/>
        <v>366.03930314149977</v>
      </c>
      <c r="I89" s="82">
        <f t="shared" si="39"/>
        <v>417.76583187285604</v>
      </c>
      <c r="J89" s="82">
        <v>0</v>
      </c>
      <c r="K89" s="82">
        <v>2.1</v>
      </c>
      <c r="L89" s="82"/>
      <c r="M89"/>
      <c r="N89"/>
      <c r="O89"/>
      <c r="P89"/>
      <c r="Q89" t="str">
        <f t="shared" si="32"/>
        <v/>
      </c>
      <c r="V89" s="35"/>
      <c r="W89" s="35"/>
      <c r="X89" s="35"/>
      <c r="Y89" s="35"/>
      <c r="Z89" s="35"/>
      <c r="AA89" s="35"/>
      <c r="AB89" s="35"/>
      <c r="AC89" s="35"/>
      <c r="AD89" s="160"/>
      <c r="AE89" s="160"/>
      <c r="AF89" s="160"/>
      <c r="AG89" s="160"/>
      <c r="AH89" s="160"/>
      <c r="AI89" s="160"/>
      <c r="AJ89" s="160"/>
      <c r="AK89" s="160"/>
      <c r="AL89" s="160"/>
      <c r="AM89" s="160"/>
      <c r="AN89" s="160"/>
      <c r="AO89" s="160"/>
      <c r="AP89" s="160"/>
      <c r="AQ89" s="160"/>
      <c r="AR89" s="160"/>
      <c r="AS89" s="160"/>
      <c r="AT89" s="160"/>
      <c r="AU89" s="160"/>
      <c r="AV89" s="160"/>
      <c r="AW89" s="160"/>
      <c r="AY89" s="157"/>
    </row>
    <row r="90" spans="1:51" ht="15" x14ac:dyDescent="0.25">
      <c r="A90" s="158" t="str">
        <f t="shared" si="29"/>
        <v>Imports of Oil Kerosene</v>
      </c>
      <c r="B90" s="30" t="str">
        <f t="shared" si="36"/>
        <v>IMPOKE</v>
      </c>
      <c r="D90" s="159" t="str">
        <f>NameConv!C41</f>
        <v>OKE</v>
      </c>
      <c r="E90" s="30">
        <v>0</v>
      </c>
      <c r="F90" s="82">
        <f t="shared" si="39"/>
        <v>243.45484454706207</v>
      </c>
      <c r="G90" s="82">
        <f t="shared" si="39"/>
        <v>250.76740309449676</v>
      </c>
      <c r="H90" s="82">
        <f t="shared" si="39"/>
        <v>231.22467020790273</v>
      </c>
      <c r="I90" s="82">
        <f t="shared" si="39"/>
        <v>291.00244139042559</v>
      </c>
      <c r="J90" s="82">
        <v>0</v>
      </c>
      <c r="K90" s="82">
        <v>15</v>
      </c>
      <c r="L90" s="82"/>
      <c r="M90"/>
      <c r="N90"/>
      <c r="O90"/>
      <c r="P90"/>
      <c r="Q90" t="str">
        <f t="shared" si="32"/>
        <v/>
      </c>
      <c r="V90" s="35"/>
      <c r="W90" s="35"/>
      <c r="X90" s="35"/>
      <c r="Y90" s="35"/>
      <c r="Z90" s="35"/>
      <c r="AA90" s="35"/>
      <c r="AB90" s="35"/>
      <c r="AC90" s="35"/>
      <c r="AD90" s="160"/>
      <c r="AE90" s="160"/>
      <c r="AF90" s="160"/>
      <c r="AG90" s="160"/>
      <c r="AH90" s="160"/>
      <c r="AI90" s="160"/>
      <c r="AJ90" s="160"/>
      <c r="AK90" s="160"/>
      <c r="AL90" s="160"/>
      <c r="AM90" s="160"/>
      <c r="AN90" s="160"/>
      <c r="AO90" s="160"/>
      <c r="AP90" s="160"/>
      <c r="AQ90" s="160"/>
      <c r="AR90" s="160"/>
      <c r="AS90" s="160"/>
      <c r="AT90" s="160"/>
      <c r="AU90" s="160"/>
      <c r="AV90" s="160"/>
      <c r="AW90" s="160"/>
      <c r="AY90" s="157"/>
    </row>
    <row r="91" spans="1:51" ht="15" x14ac:dyDescent="0.25">
      <c r="A91" s="158" t="str">
        <f t="shared" si="29"/>
        <v>Imports of Biodiesel</v>
      </c>
      <c r="B91" s="30" t="str">
        <f t="shared" si="36"/>
        <v>IMPBID</v>
      </c>
      <c r="D91" s="159" t="str">
        <f>NameConv!C7</f>
        <v>BID</v>
      </c>
      <c r="E91" s="30">
        <v>0</v>
      </c>
      <c r="F91" s="82">
        <f>F86*1.05</f>
        <v>248.39208627510286</v>
      </c>
      <c r="G91" s="82">
        <f t="shared" ref="G91:I92" si="40">G86*1.05</f>
        <v>256.88677443135862</v>
      </c>
      <c r="H91" s="82">
        <f t="shared" si="40"/>
        <v>235.64066514903047</v>
      </c>
      <c r="I91" s="82">
        <f t="shared" si="40"/>
        <v>300.62876413026942</v>
      </c>
      <c r="J91" s="82">
        <v>0</v>
      </c>
      <c r="K91" s="82"/>
      <c r="L91" s="82"/>
      <c r="M91"/>
      <c r="N91"/>
      <c r="O91"/>
      <c r="P91"/>
      <c r="Q91" t="str">
        <f t="shared" si="32"/>
        <v/>
      </c>
      <c r="V91" s="35"/>
      <c r="W91" s="35"/>
      <c r="X91" s="35"/>
      <c r="Y91" s="35"/>
      <c r="Z91" s="35"/>
      <c r="AA91" s="35"/>
      <c r="AB91" s="35"/>
      <c r="AC91" s="35"/>
      <c r="AD91" s="160"/>
      <c r="AE91" s="160"/>
      <c r="AF91" s="160"/>
      <c r="AG91" s="160"/>
      <c r="AH91" s="160"/>
      <c r="AI91" s="160"/>
      <c r="AJ91" s="160"/>
      <c r="AK91" s="160"/>
      <c r="AL91" s="160"/>
      <c r="AM91" s="160"/>
      <c r="AN91" s="160"/>
      <c r="AO91" s="160"/>
      <c r="AP91" s="160"/>
      <c r="AQ91" s="160"/>
      <c r="AR91" s="160"/>
      <c r="AS91" s="160"/>
      <c r="AT91" s="160"/>
      <c r="AU91" s="160"/>
      <c r="AV91" s="160"/>
      <c r="AW91" s="160"/>
      <c r="AY91" s="157"/>
    </row>
    <row r="92" spans="1:51" ht="15" x14ac:dyDescent="0.25">
      <c r="A92" s="158" t="str">
        <f t="shared" si="29"/>
        <v>Imports of Bioethanol</v>
      </c>
      <c r="B92" s="30" t="str">
        <f>"IMP"&amp;D92</f>
        <v>IMPBIE</v>
      </c>
      <c r="D92" s="159" t="str">
        <f>NameConv!C6</f>
        <v>BIE</v>
      </c>
      <c r="E92" s="30">
        <v>0</v>
      </c>
      <c r="F92" s="82">
        <f>F87*1.05</f>
        <v>259.38576026152941</v>
      </c>
      <c r="G92" s="82">
        <f t="shared" si="40"/>
        <v>265.71954817635583</v>
      </c>
      <c r="H92" s="82">
        <f t="shared" si="40"/>
        <v>244.3520292081449</v>
      </c>
      <c r="I92" s="82">
        <f t="shared" si="40"/>
        <v>309.71149899326076</v>
      </c>
      <c r="J92" s="82">
        <v>0</v>
      </c>
      <c r="K92" s="82"/>
      <c r="L92" s="82"/>
      <c r="M92"/>
      <c r="N92"/>
      <c r="O92"/>
      <c r="P92"/>
      <c r="Q92" t="str">
        <f t="shared" si="32"/>
        <v/>
      </c>
      <c r="V92" s="35"/>
      <c r="W92" s="35"/>
      <c r="X92" s="35"/>
      <c r="Y92" s="35"/>
      <c r="Z92" s="35"/>
      <c r="AA92" s="35"/>
      <c r="AB92" s="35"/>
      <c r="AC92" s="35"/>
      <c r="AD92" s="160"/>
      <c r="AE92" s="160"/>
      <c r="AF92" s="160"/>
      <c r="AG92" s="160"/>
      <c r="AH92" s="160"/>
      <c r="AI92" s="160"/>
      <c r="AJ92" s="160"/>
      <c r="AK92" s="160"/>
      <c r="AL92" s="160"/>
      <c r="AM92" s="160"/>
      <c r="AN92" s="160"/>
      <c r="AO92" s="160"/>
      <c r="AP92" s="160"/>
      <c r="AQ92" s="160"/>
      <c r="AR92" s="160"/>
      <c r="AS92" s="160"/>
      <c r="AT92" s="160"/>
      <c r="AU92" s="160"/>
      <c r="AV92" s="160"/>
      <c r="AW92" s="160"/>
      <c r="AY92" s="157"/>
    </row>
    <row r="93" spans="1:51" ht="15" x14ac:dyDescent="0.25">
      <c r="A93" s="155" t="s">
        <v>353</v>
      </c>
      <c r="B93" s="38"/>
      <c r="D93" s="159"/>
      <c r="F93" s="82"/>
      <c r="G93" s="82"/>
      <c r="H93" s="82"/>
      <c r="I93" s="82"/>
      <c r="J93" s="82"/>
      <c r="K93" s="82"/>
      <c r="L93" s="82"/>
      <c r="M93"/>
      <c r="N93"/>
      <c r="O93"/>
      <c r="P93"/>
      <c r="Q93"/>
      <c r="V93" s="35"/>
      <c r="W93" s="35"/>
      <c r="X93" s="35"/>
      <c r="Y93" s="35"/>
      <c r="Z93" s="35"/>
      <c r="AA93" s="35"/>
      <c r="AB93" s="35"/>
      <c r="AC93" s="35"/>
      <c r="AD93" s="160"/>
      <c r="AE93" s="160"/>
      <c r="AF93" s="160"/>
      <c r="AG93" s="160"/>
      <c r="AH93" s="160"/>
      <c r="AI93" s="160"/>
      <c r="AJ93" s="160"/>
      <c r="AK93" s="160"/>
      <c r="AL93" s="160"/>
      <c r="AM93" s="160"/>
      <c r="AN93" s="160"/>
      <c r="AO93" s="160"/>
      <c r="AP93" s="160"/>
      <c r="AQ93" s="160"/>
      <c r="AR93" s="160"/>
      <c r="AS93" s="160"/>
      <c r="AT93" s="160"/>
      <c r="AU93" s="160"/>
      <c r="AV93" s="160"/>
      <c r="AW93" s="160"/>
      <c r="AY93" s="157"/>
    </row>
    <row r="94" spans="1:51" ht="15" x14ac:dyDescent="0.25">
      <c r="A94" s="158" t="str">
        <f>"Extraction of "&amp;INDEX(FuelNamesLong,MATCH(D94,FuelNamesShort,0))</f>
        <v>Extraction of Gas Southern Mozambique</v>
      </c>
      <c r="B94" s="30" t="str">
        <f>$B$49&amp;RIGHT($D94,3)</f>
        <v>MIRGRS</v>
      </c>
      <c r="D94" s="159" t="str">
        <f>NameConv!C20</f>
        <v>GRS</v>
      </c>
      <c r="E94" s="30">
        <v>0</v>
      </c>
      <c r="F94" s="82">
        <v>70</v>
      </c>
      <c r="G94" s="82">
        <v>120</v>
      </c>
      <c r="H94" s="82">
        <f>G94</f>
        <v>120</v>
      </c>
      <c r="I94" s="82">
        <f>H94</f>
        <v>120</v>
      </c>
      <c r="J94" s="82">
        <v>3</v>
      </c>
      <c r="K94" s="82">
        <v>156</v>
      </c>
      <c r="L94" s="82"/>
      <c r="M94"/>
      <c r="N94"/>
      <c r="O94"/>
      <c r="P94"/>
      <c r="Q94">
        <v>4500</v>
      </c>
      <c r="V94" s="35"/>
      <c r="W94" s="35"/>
      <c r="X94" s="35"/>
      <c r="Y94" s="35"/>
      <c r="Z94" s="35"/>
      <c r="AA94" s="35"/>
      <c r="AB94" s="35"/>
      <c r="AC94" s="35"/>
      <c r="AD94" s="160"/>
      <c r="AE94" s="160"/>
      <c r="AF94" s="160"/>
      <c r="AG94" s="160"/>
      <c r="AH94" s="160"/>
      <c r="AI94" s="160"/>
      <c r="AJ94" s="160"/>
      <c r="AK94" s="160"/>
      <c r="AL94" s="160"/>
      <c r="AM94" s="160"/>
      <c r="AN94" s="160"/>
      <c r="AO94" s="160"/>
      <c r="AP94" s="160"/>
      <c r="AQ94" s="160"/>
      <c r="AR94" s="160"/>
      <c r="AS94" s="160"/>
      <c r="AT94" s="160"/>
      <c r="AU94" s="160"/>
      <c r="AV94" s="160"/>
      <c r="AW94" s="160"/>
      <c r="AY94" s="157"/>
    </row>
    <row r="95" spans="1:51" ht="15" x14ac:dyDescent="0.25">
      <c r="A95" s="158" t="str">
        <f>"Extraction of "&amp;INDEX(FuelNamesLong,MATCH(D95,FuelNamesShort,0))</f>
        <v>Extraction of Gas Northern Mozambique</v>
      </c>
      <c r="B95" s="30" t="str">
        <f>$B$49&amp;RIGHT($D95,3)</f>
        <v>MIRGRM</v>
      </c>
      <c r="D95" s="159" t="str">
        <f>NameConv!C24</f>
        <v>GRM</v>
      </c>
      <c r="E95" s="30">
        <v>0</v>
      </c>
      <c r="F95" s="82">
        <f>F81-(1.5*F15)</f>
        <v>125.48506135280986</v>
      </c>
      <c r="G95" s="82">
        <f t="shared" ref="G95:I95" si="41">G81-(1.5*G15)</f>
        <v>129.85030062238019</v>
      </c>
      <c r="H95" s="82">
        <f t="shared" si="41"/>
        <v>118.18424632990407</v>
      </c>
      <c r="I95" s="82">
        <f t="shared" si="41"/>
        <v>153.86864769512499</v>
      </c>
      <c r="J95" s="82"/>
      <c r="K95" s="82"/>
      <c r="L95" s="82"/>
      <c r="M95"/>
      <c r="N95"/>
      <c r="O95"/>
      <c r="P95">
        <v>2030</v>
      </c>
      <c r="Q95">
        <v>170000</v>
      </c>
      <c r="V95" s="35"/>
      <c r="W95" s="35"/>
      <c r="X95" s="35"/>
      <c r="Y95" s="35"/>
      <c r="Z95" s="35"/>
      <c r="AA95" s="35"/>
      <c r="AB95" s="35"/>
      <c r="AC95" s="35"/>
      <c r="AD95" s="160"/>
      <c r="AE95" s="160"/>
      <c r="AF95" s="160"/>
      <c r="AG95" s="160"/>
      <c r="AH95" s="160"/>
      <c r="AI95" s="160"/>
      <c r="AJ95" s="160"/>
      <c r="AK95" s="160"/>
      <c r="AL95" s="160"/>
      <c r="AM95" s="160"/>
      <c r="AN95" s="160"/>
      <c r="AO95" s="160"/>
      <c r="AP95" s="160"/>
      <c r="AQ95" s="160"/>
      <c r="AR95" s="160"/>
      <c r="AS95" s="160"/>
      <c r="AT95" s="160"/>
      <c r="AU95" s="160"/>
      <c r="AV95" s="160"/>
      <c r="AW95" s="160"/>
      <c r="AY95" s="157"/>
    </row>
    <row r="96" spans="1:51" ht="15" x14ac:dyDescent="0.25">
      <c r="A96" s="155" t="s">
        <v>354</v>
      </c>
      <c r="B96" s="38">
        <v>-0.95</v>
      </c>
      <c r="D96" s="159"/>
      <c r="F96" s="82"/>
      <c r="G96" s="82"/>
      <c r="H96" s="82"/>
      <c r="I96" s="82"/>
      <c r="J96" s="82"/>
      <c r="K96" s="82"/>
      <c r="L96" s="82"/>
      <c r="M96"/>
      <c r="N96"/>
      <c r="O96"/>
      <c r="P96"/>
      <c r="Q96"/>
      <c r="V96" s="35"/>
      <c r="W96" s="35"/>
      <c r="X96" s="35"/>
      <c r="Y96" s="35"/>
      <c r="Z96" s="35"/>
      <c r="AA96" s="35"/>
      <c r="AB96" s="35"/>
      <c r="AC96" s="35"/>
      <c r="AD96" s="160"/>
      <c r="AE96" s="160"/>
      <c r="AF96" s="160"/>
      <c r="AG96" s="160"/>
      <c r="AH96" s="160"/>
      <c r="AI96" s="160"/>
      <c r="AJ96" s="160"/>
      <c r="AK96" s="160"/>
      <c r="AL96" s="160"/>
      <c r="AM96" s="160"/>
      <c r="AN96" s="160"/>
      <c r="AO96" s="160"/>
      <c r="AP96" s="160"/>
      <c r="AQ96" s="160"/>
      <c r="AR96" s="160"/>
      <c r="AS96" s="160"/>
      <c r="AT96" s="160"/>
      <c r="AU96" s="160"/>
      <c r="AV96" s="160"/>
      <c r="AW96" s="160"/>
      <c r="AY96" s="157"/>
    </row>
    <row r="97" spans="1:51" ht="15" x14ac:dyDescent="0.25">
      <c r="A97" s="158" t="str">
        <f t="shared" ref="A97:A104" si="42">"Exports of "&amp;INDEX(FuelNamesLong,MATCH(C97,FuelNamesShort,0))</f>
        <v>Exports of Coal</v>
      </c>
      <c r="B97" s="30" t="str">
        <f t="shared" ref="B97:B104" si="43">"PEX"&amp;C97</f>
        <v>PEXCOA</v>
      </c>
      <c r="C97" s="159" t="str">
        <f>NameConv!C11</f>
        <v>COA</v>
      </c>
      <c r="E97" s="30">
        <v>3</v>
      </c>
      <c r="F97" s="82">
        <f>F60*$B$96</f>
        <v>-53.694000000000003</v>
      </c>
      <c r="G97" s="82">
        <f>G60*$B$96</f>
        <v>-53.694000000000003</v>
      </c>
      <c r="H97" s="82">
        <f>H60*$B$96</f>
        <v>-53.694000000000003</v>
      </c>
      <c r="I97" s="82">
        <f>I60*$B$96</f>
        <v>-53.694000000000003</v>
      </c>
      <c r="J97" s="82">
        <v>3</v>
      </c>
      <c r="K97" s="82">
        <v>1727</v>
      </c>
      <c r="L97" s="82"/>
      <c r="M97"/>
      <c r="N97">
        <v>1000</v>
      </c>
      <c r="O97">
        <v>500</v>
      </c>
      <c r="P97"/>
      <c r="Q97" t="str">
        <f t="shared" ref="Q97:Q104" si="44">$Q$60</f>
        <v/>
      </c>
      <c r="V97" s="35"/>
      <c r="W97" s="35"/>
      <c r="X97" s="35"/>
      <c r="Y97" s="35"/>
      <c r="Z97" s="35"/>
      <c r="AA97" s="35"/>
      <c r="AB97" s="35"/>
      <c r="AC97" s="35"/>
      <c r="AD97" s="160"/>
      <c r="AE97" s="160"/>
      <c r="AF97" s="160"/>
      <c r="AG97" s="160"/>
      <c r="AH97" s="160"/>
      <c r="AI97" s="160"/>
      <c r="AJ97" s="160"/>
      <c r="AK97" s="160"/>
      <c r="AL97" s="160"/>
      <c r="AM97" s="160"/>
      <c r="AN97" s="160"/>
      <c r="AO97" s="160"/>
      <c r="AP97" s="160"/>
      <c r="AQ97" s="160"/>
      <c r="AR97" s="160"/>
      <c r="AS97" s="160"/>
      <c r="AT97" s="160"/>
      <c r="AU97" s="160"/>
      <c r="AV97" s="160"/>
      <c r="AW97" s="160"/>
      <c r="AY97" s="157"/>
    </row>
    <row r="98" spans="1:51" ht="15" x14ac:dyDescent="0.25">
      <c r="A98" s="158" t="str">
        <f t="shared" si="42"/>
        <v>Exports of Coal Coking</v>
      </c>
      <c r="B98" s="30" t="str">
        <f t="shared" si="43"/>
        <v>PEXCOK</v>
      </c>
      <c r="C98" s="159" t="str">
        <f>NameConv!C12</f>
        <v>COK</v>
      </c>
      <c r="E98" s="30">
        <v>0</v>
      </c>
      <c r="F98" s="82">
        <f>F78*$B$96</f>
        <v>-80.540999999999997</v>
      </c>
      <c r="G98" s="82">
        <f>G78*$B$96</f>
        <v>-80.540999999999997</v>
      </c>
      <c r="H98" s="82">
        <f>H78*$B$96</f>
        <v>-80.540999999999997</v>
      </c>
      <c r="I98" s="82">
        <f>I78*$B$96</f>
        <v>-80.540999999999997</v>
      </c>
      <c r="J98" s="82">
        <v>0</v>
      </c>
      <c r="K98" s="393">
        <f>SUMIF($C$8:$AZ$8,C98,$C$12:$AZ$12)</f>
        <v>20.834015000000001</v>
      </c>
      <c r="L98" s="82"/>
      <c r="M98"/>
      <c r="N98"/>
      <c r="O98"/>
      <c r="P98"/>
      <c r="Q98" t="str">
        <f t="shared" si="44"/>
        <v/>
      </c>
      <c r="V98" s="35"/>
      <c r="W98" s="35"/>
      <c r="X98" s="35"/>
      <c r="Y98" s="35"/>
      <c r="Z98" s="35"/>
      <c r="AA98" s="35"/>
      <c r="AB98" s="35"/>
      <c r="AC98" s="35"/>
      <c r="AD98" s="160"/>
      <c r="AE98" s="160"/>
      <c r="AF98" s="160"/>
      <c r="AG98" s="160"/>
      <c r="AH98" s="160"/>
      <c r="AI98" s="160"/>
      <c r="AJ98" s="160"/>
      <c r="AK98" s="160"/>
      <c r="AL98" s="160"/>
      <c r="AM98" s="160"/>
      <c r="AN98" s="160"/>
      <c r="AO98" s="160"/>
      <c r="AP98" s="160"/>
      <c r="AQ98" s="160"/>
      <c r="AR98" s="160"/>
      <c r="AS98" s="160"/>
      <c r="AT98" s="160"/>
      <c r="AU98" s="160"/>
      <c r="AV98" s="160"/>
      <c r="AW98" s="160"/>
      <c r="AY98" s="157"/>
    </row>
    <row r="99" spans="1:51" ht="15" x14ac:dyDescent="0.25">
      <c r="A99" s="158" t="str">
        <f t="shared" si="42"/>
        <v>Exports of Oil Av Gasoline</v>
      </c>
      <c r="B99" s="30" t="str">
        <f t="shared" si="43"/>
        <v>PEXOAG</v>
      </c>
      <c r="C99" s="159" t="str">
        <f>NameConv!C36</f>
        <v>OAG</v>
      </c>
      <c r="E99" s="30">
        <v>0</v>
      </c>
      <c r="F99" s="82">
        <f t="shared" ref="F99:I99" si="45">F102</f>
        <v>-234.68235452233611</v>
      </c>
      <c r="G99" s="82">
        <f t="shared" si="45"/>
        <v>-240.41292454051242</v>
      </c>
      <c r="H99" s="82">
        <f t="shared" si="45"/>
        <v>-221.08040737879773</v>
      </c>
      <c r="I99" s="82">
        <f t="shared" si="45"/>
        <v>-280.21516575580733</v>
      </c>
      <c r="J99" s="82">
        <v>0</v>
      </c>
      <c r="K99" s="393">
        <f>SUMIF($C$8:$AZ$8,C99,$C$12:$AZ$12)</f>
        <v>0.22564281164383562</v>
      </c>
      <c r="L99" s="82"/>
      <c r="M99"/>
      <c r="N99"/>
      <c r="O99"/>
      <c r="P99"/>
      <c r="Q99" t="str">
        <f t="shared" si="44"/>
        <v/>
      </c>
      <c r="V99" s="35"/>
      <c r="W99" s="35"/>
      <c r="X99" s="35"/>
      <c r="Y99" s="35"/>
      <c r="Z99" s="35"/>
      <c r="AA99" s="35"/>
      <c r="AB99" s="35"/>
      <c r="AC99" s="35"/>
      <c r="AD99" s="160"/>
      <c r="AE99" s="160"/>
      <c r="AF99" s="160"/>
      <c r="AG99" s="160"/>
      <c r="AH99" s="160"/>
      <c r="AI99" s="160"/>
      <c r="AJ99" s="160"/>
      <c r="AK99" s="160"/>
      <c r="AL99" s="160"/>
      <c r="AM99" s="160"/>
      <c r="AN99" s="160"/>
      <c r="AO99" s="160"/>
      <c r="AP99" s="160"/>
      <c r="AQ99" s="160"/>
      <c r="AR99" s="160"/>
      <c r="AS99" s="160"/>
      <c r="AT99" s="160"/>
      <c r="AU99" s="160"/>
      <c r="AV99" s="160"/>
      <c r="AW99" s="160"/>
      <c r="AY99" s="157"/>
    </row>
    <row r="100" spans="1:51" ht="15" x14ac:dyDescent="0.25">
      <c r="A100" s="158" t="str">
        <f t="shared" si="42"/>
        <v>Exports of Oil Crude</v>
      </c>
      <c r="B100" s="30" t="str">
        <f t="shared" si="43"/>
        <v>PEXOCR</v>
      </c>
      <c r="C100" s="159" t="str">
        <f>NameConv!C37</f>
        <v>OCR</v>
      </c>
      <c r="E100" s="30">
        <v>0</v>
      </c>
      <c r="F100" s="82">
        <f t="shared" ref="F100:I104" si="46">SUMIF($E$22:$E$34,$C100,F$22:F$34)*$B$96</f>
        <v>-186.63033214185884</v>
      </c>
      <c r="G100" s="82">
        <f t="shared" si="46"/>
        <v>-192.54731207547169</v>
      </c>
      <c r="H100" s="82">
        <f t="shared" si="46"/>
        <v>-176.73424779874216</v>
      </c>
      <c r="I100" s="82">
        <f t="shared" si="46"/>
        <v>-225.10362088050312</v>
      </c>
      <c r="J100" s="82">
        <v>0</v>
      </c>
      <c r="K100" s="393">
        <f>SUMIF($C$8:$AZ$8,C100,$C$12:$AZ$12)</f>
        <v>20.83803412968</v>
      </c>
      <c r="L100" s="82"/>
      <c r="M100"/>
      <c r="N100"/>
      <c r="O100"/>
      <c r="P100"/>
      <c r="Q100" t="str">
        <f t="shared" si="44"/>
        <v/>
      </c>
      <c r="V100" s="35"/>
      <c r="W100" s="35"/>
      <c r="X100" s="35"/>
      <c r="Y100" s="35"/>
      <c r="Z100" s="35"/>
      <c r="AA100" s="35"/>
      <c r="AB100" s="35"/>
      <c r="AC100" s="35"/>
      <c r="AD100" s="160"/>
      <c r="AE100" s="160"/>
      <c r="AF100" s="160"/>
      <c r="AG100" s="160"/>
      <c r="AH100" s="160"/>
      <c r="AI100" s="160"/>
      <c r="AJ100" s="160"/>
      <c r="AK100" s="160"/>
      <c r="AL100" s="160"/>
      <c r="AM100" s="160"/>
      <c r="AN100" s="160"/>
      <c r="AO100" s="160"/>
      <c r="AP100" s="160"/>
      <c r="AQ100" s="160"/>
      <c r="AR100" s="160"/>
      <c r="AS100" s="160"/>
      <c r="AT100" s="160"/>
      <c r="AU100" s="160"/>
      <c r="AV100" s="160"/>
      <c r="AW100" s="160"/>
      <c r="AY100" s="157"/>
    </row>
    <row r="101" spans="1:51" ht="15" x14ac:dyDescent="0.25">
      <c r="A101" s="158" t="str">
        <f t="shared" si="42"/>
        <v>Exports of Oil Diesel</v>
      </c>
      <c r="B101" s="30" t="str">
        <f t="shared" si="43"/>
        <v>PEXODS</v>
      </c>
      <c r="C101" s="159" t="str">
        <f>NameConv!C38</f>
        <v>ODS</v>
      </c>
      <c r="E101" s="30">
        <v>0</v>
      </c>
      <c r="F101" s="82">
        <f t="shared" si="46"/>
        <v>-224.73569710604542</v>
      </c>
      <c r="G101" s="82">
        <f t="shared" si="46"/>
        <v>-232.42136734265776</v>
      </c>
      <c r="H101" s="82">
        <f t="shared" si="46"/>
        <v>-213.19869703959895</v>
      </c>
      <c r="I101" s="82">
        <f t="shared" si="46"/>
        <v>-271.99745326071996</v>
      </c>
      <c r="J101" s="82">
        <v>0</v>
      </c>
      <c r="K101" s="393">
        <f>SUMIF($C$8:$AZ$8,C101,$C$12:$AZ$12)</f>
        <v>28.73659252275862</v>
      </c>
      <c r="L101" s="82"/>
      <c r="M101"/>
      <c r="N101"/>
      <c r="O101"/>
      <c r="P101"/>
      <c r="Q101" t="str">
        <f t="shared" si="44"/>
        <v/>
      </c>
      <c r="V101" s="35"/>
      <c r="W101" s="35"/>
      <c r="X101" s="35"/>
      <c r="Y101" s="35"/>
      <c r="Z101" s="35"/>
      <c r="AA101" s="35"/>
      <c r="AB101" s="35"/>
      <c r="AC101" s="35"/>
      <c r="AD101" s="160"/>
      <c r="AE101" s="160"/>
      <c r="AF101" s="160"/>
      <c r="AG101" s="160"/>
      <c r="AH101" s="160"/>
      <c r="AI101" s="160"/>
      <c r="AJ101" s="160"/>
      <c r="AK101" s="160"/>
      <c r="AL101" s="160"/>
      <c r="AM101" s="160"/>
      <c r="AN101" s="160"/>
      <c r="AO101" s="160"/>
      <c r="AP101" s="160"/>
      <c r="AQ101" s="160"/>
      <c r="AR101" s="160"/>
      <c r="AS101" s="160"/>
      <c r="AT101" s="160"/>
      <c r="AU101" s="160"/>
      <c r="AV101" s="160"/>
      <c r="AW101" s="160"/>
      <c r="AY101" s="157"/>
    </row>
    <row r="102" spans="1:51" ht="15" x14ac:dyDescent="0.25">
      <c r="A102" s="158" t="str">
        <f t="shared" si="42"/>
        <v>Exports of Oil Gasoline</v>
      </c>
      <c r="B102" s="30" t="str">
        <f t="shared" si="43"/>
        <v>PEXOGS</v>
      </c>
      <c r="C102" s="159" t="str">
        <f>NameConv!C39</f>
        <v>OGS</v>
      </c>
      <c r="E102" s="30">
        <v>0</v>
      </c>
      <c r="F102" s="82">
        <f t="shared" si="46"/>
        <v>-234.68235452233611</v>
      </c>
      <c r="G102" s="82">
        <f t="shared" si="46"/>
        <v>-240.41292454051242</v>
      </c>
      <c r="H102" s="82">
        <f t="shared" si="46"/>
        <v>-221.08040737879773</v>
      </c>
      <c r="I102" s="82">
        <f t="shared" si="46"/>
        <v>-280.21516575580733</v>
      </c>
      <c r="J102" s="82">
        <v>0</v>
      </c>
      <c r="K102" s="393">
        <f>SUMIF($C$8:$AZ$8,C102,$C$12:$AZ$12)</f>
        <v>3.5488458656756761</v>
      </c>
      <c r="L102" s="82"/>
      <c r="M102"/>
      <c r="N102"/>
      <c r="O102"/>
      <c r="P102"/>
      <c r="Q102" t="str">
        <f t="shared" si="44"/>
        <v/>
      </c>
      <c r="V102" s="35"/>
      <c r="W102" s="35"/>
      <c r="X102" s="35"/>
      <c r="Y102" s="35"/>
      <c r="Z102" s="35"/>
      <c r="AA102" s="35"/>
      <c r="AB102" s="35"/>
      <c r="AC102" s="35"/>
      <c r="AD102" s="160"/>
      <c r="AE102" s="160"/>
      <c r="AF102" s="160"/>
      <c r="AG102" s="160"/>
      <c r="AH102" s="160"/>
      <c r="AI102" s="160"/>
      <c r="AJ102" s="160"/>
      <c r="AK102" s="160"/>
      <c r="AL102" s="160"/>
      <c r="AM102" s="160"/>
      <c r="AN102" s="160"/>
      <c r="AO102" s="160"/>
      <c r="AP102" s="160"/>
      <c r="AQ102" s="160"/>
      <c r="AR102" s="160"/>
      <c r="AS102" s="160"/>
      <c r="AT102" s="160"/>
      <c r="AU102" s="160"/>
      <c r="AV102" s="160"/>
      <c r="AW102" s="160"/>
      <c r="AY102" s="157"/>
    </row>
    <row r="103" spans="1:51" ht="15" x14ac:dyDescent="0.25">
      <c r="A103" s="158" t="str">
        <f t="shared" si="42"/>
        <v>Exports of Oil HFO</v>
      </c>
      <c r="B103" s="30" t="str">
        <f t="shared" si="43"/>
        <v>PEXOHF</v>
      </c>
      <c r="C103" s="159" t="str">
        <f>NameConv!C40</f>
        <v>OHF</v>
      </c>
      <c r="E103" s="30">
        <v>0</v>
      </c>
      <c r="F103" s="82">
        <f t="shared" si="46"/>
        <v>-186.63033214185884</v>
      </c>
      <c r="G103" s="82">
        <f t="shared" si="46"/>
        <v>-192.54731207547169</v>
      </c>
      <c r="H103" s="82">
        <f t="shared" si="46"/>
        <v>-176.73424779874216</v>
      </c>
      <c r="I103" s="82">
        <f t="shared" si="46"/>
        <v>-225.10362088050312</v>
      </c>
      <c r="J103" s="82">
        <v>0</v>
      </c>
      <c r="K103" s="393"/>
      <c r="L103" s="82"/>
      <c r="M103"/>
      <c r="N103"/>
      <c r="O103"/>
      <c r="P103"/>
      <c r="Q103" t="str">
        <f t="shared" si="44"/>
        <v/>
      </c>
      <c r="V103" s="35"/>
      <c r="W103" s="35"/>
      <c r="X103" s="35"/>
      <c r="Y103" s="35"/>
      <c r="Z103" s="35"/>
      <c r="AA103" s="35"/>
      <c r="AB103" s="35"/>
      <c r="AC103" s="35"/>
      <c r="AD103" s="160"/>
      <c r="AE103" s="160"/>
      <c r="AF103" s="160"/>
      <c r="AG103" s="160"/>
      <c r="AH103" s="160"/>
      <c r="AI103" s="160"/>
      <c r="AJ103" s="160"/>
      <c r="AK103" s="160"/>
      <c r="AL103" s="160"/>
      <c r="AM103" s="160"/>
      <c r="AN103" s="160"/>
      <c r="AO103" s="160"/>
      <c r="AP103" s="160"/>
      <c r="AQ103" s="160"/>
      <c r="AR103" s="160"/>
      <c r="AS103" s="160"/>
      <c r="AT103" s="160"/>
      <c r="AU103" s="160"/>
      <c r="AV103" s="160"/>
      <c r="AW103" s="160"/>
      <c r="AY103" s="157"/>
    </row>
    <row r="104" spans="1:51" ht="15" x14ac:dyDescent="0.25">
      <c r="A104" s="158" t="str">
        <f t="shared" si="42"/>
        <v>Exports of Oil Kerosene</v>
      </c>
      <c r="B104" s="30" t="str">
        <f t="shared" si="43"/>
        <v>PEXOKE</v>
      </c>
      <c r="C104" s="159" t="str">
        <f>NameConv!C41</f>
        <v>OKE</v>
      </c>
      <c r="E104" s="30">
        <v>0</v>
      </c>
      <c r="F104" s="82">
        <f t="shared" si="46"/>
        <v>-231.28210231970894</v>
      </c>
      <c r="G104" s="82">
        <f t="shared" si="46"/>
        <v>-238.22903293977191</v>
      </c>
      <c r="H104" s="82">
        <f t="shared" si="46"/>
        <v>-219.66343669750759</v>
      </c>
      <c r="I104" s="82">
        <f t="shared" si="46"/>
        <v>-276.45231932090428</v>
      </c>
      <c r="J104" s="82">
        <v>0</v>
      </c>
      <c r="K104" s="393">
        <f>SUMIF($C$8:$AZ$8,C104,$C$12:$AZ$12)</f>
        <v>5.0273560461728382</v>
      </c>
      <c r="L104" s="82"/>
      <c r="M104"/>
      <c r="N104"/>
      <c r="O104"/>
      <c r="P104"/>
      <c r="Q104" t="str">
        <f t="shared" si="44"/>
        <v/>
      </c>
      <c r="V104" s="35"/>
      <c r="W104" s="35"/>
      <c r="X104" s="35"/>
      <c r="Y104" s="35"/>
      <c r="Z104" s="35"/>
      <c r="AA104" s="35"/>
      <c r="AB104" s="35"/>
      <c r="AC104" s="35"/>
      <c r="AD104" s="160"/>
      <c r="AE104" s="160"/>
      <c r="AF104" s="160"/>
      <c r="AG104" s="160"/>
      <c r="AH104" s="160"/>
      <c r="AI104" s="160"/>
      <c r="AJ104" s="160"/>
      <c r="AK104" s="160"/>
      <c r="AL104" s="160"/>
      <c r="AM104" s="160"/>
      <c r="AN104" s="160"/>
      <c r="AO104" s="160"/>
      <c r="AP104" s="160"/>
      <c r="AQ104" s="160"/>
      <c r="AR104" s="160"/>
      <c r="AS104" s="160"/>
      <c r="AT104" s="160"/>
      <c r="AU104" s="160"/>
      <c r="AV104" s="160"/>
      <c r="AW104" s="160"/>
      <c r="AY104" s="157"/>
    </row>
    <row r="105" spans="1:51" x14ac:dyDescent="0.2">
      <c r="A105" s="163"/>
      <c r="B105" s="157"/>
      <c r="E105" s="164"/>
      <c r="F105" s="164"/>
      <c r="G105" s="164"/>
      <c r="H105" s="164"/>
      <c r="I105" s="164"/>
      <c r="J105" s="164"/>
      <c r="K105" s="165"/>
      <c r="L105" s="165"/>
      <c r="M105" s="160"/>
      <c r="N105" s="160"/>
      <c r="O105" s="160"/>
      <c r="P105" s="160"/>
      <c r="Q105" s="160"/>
      <c r="R105" s="160"/>
      <c r="S105" s="160"/>
      <c r="T105" s="160"/>
      <c r="U105" s="160"/>
      <c r="V105" s="160"/>
      <c r="W105" s="160"/>
      <c r="X105" s="160"/>
      <c r="Y105" s="160"/>
      <c r="Z105" s="160"/>
      <c r="AA105" s="160"/>
      <c r="AB105" s="160"/>
      <c r="AC105" s="160"/>
      <c r="AD105" s="160"/>
      <c r="AE105" s="160"/>
      <c r="AF105" s="160"/>
      <c r="AG105" s="160"/>
      <c r="AH105" s="160"/>
      <c r="AI105" s="160"/>
      <c r="AJ105" s="160"/>
      <c r="AK105" s="160"/>
      <c r="AL105" s="160"/>
      <c r="AM105" s="160"/>
      <c r="AN105" s="160"/>
      <c r="AO105" s="160"/>
      <c r="AP105" s="160"/>
      <c r="AQ105" s="160"/>
      <c r="AR105" s="160"/>
      <c r="AS105" s="160"/>
      <c r="AT105" s="160"/>
      <c r="AU105" s="160"/>
      <c r="AW105" s="157"/>
    </row>
    <row r="106" spans="1:51" x14ac:dyDescent="0.2">
      <c r="A106" s="163"/>
      <c r="B106" s="157"/>
      <c r="E106" s="164"/>
      <c r="F106" s="164"/>
      <c r="G106" s="164"/>
      <c r="H106" s="166"/>
      <c r="I106" s="167"/>
      <c r="J106" s="165"/>
      <c r="K106" s="165"/>
      <c r="L106" s="160"/>
      <c r="M106" s="160"/>
      <c r="N106" s="160"/>
      <c r="O106" s="160"/>
      <c r="P106" s="160"/>
      <c r="Q106" s="160"/>
      <c r="R106" s="160"/>
      <c r="S106" s="160"/>
      <c r="T106" s="160"/>
      <c r="U106" s="160"/>
      <c r="V106" s="160"/>
      <c r="W106" s="160"/>
      <c r="X106" s="160"/>
      <c r="Y106" s="160"/>
      <c r="Z106" s="160"/>
      <c r="AA106" s="160"/>
      <c r="AB106" s="160"/>
      <c r="AC106" s="160"/>
      <c r="AD106" s="160"/>
      <c r="AE106" s="160"/>
      <c r="AF106" s="160"/>
      <c r="AG106" s="160"/>
      <c r="AH106" s="160"/>
      <c r="AI106" s="160"/>
      <c r="AJ106" s="160"/>
      <c r="AK106" s="160"/>
      <c r="AL106" s="160"/>
      <c r="AM106" s="160"/>
      <c r="AN106" s="160"/>
      <c r="AO106" s="160"/>
      <c r="AP106" s="160"/>
      <c r="AQ106" s="160"/>
      <c r="AR106" s="160"/>
      <c r="AS106" s="160"/>
      <c r="AT106" s="160"/>
      <c r="AV106" s="157"/>
    </row>
    <row r="107" spans="1:51" x14ac:dyDescent="0.2">
      <c r="A107" s="163"/>
      <c r="B107" s="157"/>
      <c r="E107" s="164"/>
      <c r="F107" s="164"/>
      <c r="G107" s="164"/>
      <c r="H107" s="164"/>
      <c r="I107" s="164"/>
      <c r="J107" s="165"/>
      <c r="K107" s="165"/>
      <c r="L107" s="160"/>
      <c r="M107" s="160"/>
      <c r="N107" s="160"/>
      <c r="O107" s="160"/>
      <c r="P107" s="160"/>
      <c r="Q107" s="160"/>
      <c r="R107" s="160"/>
      <c r="S107" s="160"/>
      <c r="T107" s="160"/>
      <c r="U107" s="160"/>
      <c r="V107" s="160"/>
      <c r="W107" s="160"/>
      <c r="X107" s="160"/>
      <c r="Y107" s="160"/>
      <c r="Z107" s="160"/>
      <c r="AA107" s="160"/>
      <c r="AB107" s="160"/>
      <c r="AC107" s="160"/>
      <c r="AD107" s="160"/>
      <c r="AE107" s="160"/>
      <c r="AF107" s="160"/>
      <c r="AG107" s="160"/>
      <c r="AH107" s="160"/>
      <c r="AI107" s="160"/>
      <c r="AJ107" s="160"/>
      <c r="AK107" s="160"/>
      <c r="AL107" s="160"/>
      <c r="AM107" s="160"/>
      <c r="AN107" s="160"/>
      <c r="AO107" s="160"/>
      <c r="AP107" s="160"/>
      <c r="AQ107" s="160"/>
      <c r="AR107" s="160"/>
      <c r="AS107" s="160"/>
      <c r="AT107" s="160"/>
    </row>
    <row r="108" spans="1:51" x14ac:dyDescent="0.2">
      <c r="A108" s="163"/>
      <c r="B108" s="157"/>
      <c r="E108" s="164"/>
      <c r="F108" s="164"/>
      <c r="G108" s="164"/>
      <c r="H108" s="166"/>
      <c r="I108" s="164"/>
      <c r="J108" s="165"/>
      <c r="K108" s="165"/>
      <c r="L108" s="160"/>
      <c r="M108" s="160"/>
      <c r="N108" s="160"/>
      <c r="O108" s="160"/>
      <c r="P108" s="160"/>
      <c r="Q108" s="160"/>
      <c r="R108" s="160"/>
      <c r="S108" s="160"/>
      <c r="T108" s="160"/>
      <c r="U108" s="160"/>
      <c r="V108" s="160"/>
      <c r="W108" s="160"/>
      <c r="X108" s="160"/>
      <c r="Y108" s="160"/>
      <c r="Z108" s="160"/>
      <c r="AA108" s="160"/>
      <c r="AB108" s="160"/>
      <c r="AC108" s="160"/>
      <c r="AD108" s="160"/>
      <c r="AE108" s="160"/>
      <c r="AF108" s="160"/>
      <c r="AG108" s="160"/>
      <c r="AH108" s="160"/>
      <c r="AI108" s="160"/>
      <c r="AJ108" s="160"/>
      <c r="AK108" s="160"/>
      <c r="AL108" s="160"/>
      <c r="AM108" s="160"/>
      <c r="AN108" s="160"/>
      <c r="AO108" s="160"/>
      <c r="AP108" s="160"/>
      <c r="AQ108" s="160"/>
      <c r="AR108" s="160"/>
      <c r="AS108" s="160"/>
      <c r="AT108" s="160"/>
      <c r="AV108" s="157"/>
    </row>
    <row r="109" spans="1:51" x14ac:dyDescent="0.2">
      <c r="A109" s="163"/>
      <c r="B109" s="157"/>
      <c r="E109" s="164"/>
      <c r="F109" s="164"/>
      <c r="G109" s="164"/>
      <c r="H109" s="167"/>
      <c r="I109" s="167"/>
      <c r="J109" s="160"/>
      <c r="K109" s="160"/>
      <c r="L109" s="160"/>
      <c r="M109" s="160"/>
      <c r="N109" s="160"/>
      <c r="O109" s="160"/>
      <c r="P109" s="160"/>
      <c r="Q109" s="160"/>
      <c r="R109" s="160"/>
      <c r="S109" s="160"/>
      <c r="T109" s="160"/>
      <c r="U109" s="160"/>
      <c r="V109" s="160"/>
      <c r="W109" s="160"/>
      <c r="X109" s="160"/>
      <c r="Y109" s="160"/>
      <c r="Z109" s="160"/>
      <c r="AA109" s="160"/>
      <c r="AB109" s="160"/>
      <c r="AC109" s="160"/>
      <c r="AD109" s="160"/>
      <c r="AE109" s="160"/>
      <c r="AF109" s="160"/>
      <c r="AG109" s="160"/>
      <c r="AH109" s="160"/>
      <c r="AI109" s="160"/>
      <c r="AJ109" s="160"/>
      <c r="AK109" s="160"/>
      <c r="AL109" s="160"/>
      <c r="AM109" s="160"/>
      <c r="AN109" s="160"/>
      <c r="AO109" s="160"/>
      <c r="AP109" s="160"/>
      <c r="AQ109" s="160"/>
      <c r="AR109" s="160"/>
    </row>
    <row r="149" spans="8:8" x14ac:dyDescent="0.2">
      <c r="H149" s="168" t="s">
        <v>356</v>
      </c>
    </row>
  </sheetData>
  <mergeCells count="3">
    <mergeCell ref="B3:D3"/>
    <mergeCell ref="AR56:AX56"/>
    <mergeCell ref="AS57:AX57"/>
  </mergeCells>
  <dataValidations count="2">
    <dataValidation type="list" allowBlank="1" showInputMessage="1" showErrorMessage="1" sqref="D16" xr:uid="{9343D23E-47C4-4F9D-81EE-6AC025431A59}">
      <formula1>$M$15:$M$24</formula1>
    </dataValidation>
    <dataValidation type="list" allowBlank="1" showInputMessage="1" showErrorMessage="1" sqref="D36" xr:uid="{A725FED7-1EB6-40C4-B182-FF7DCE6262A9}">
      <formula1>$O$36:$U$36</formula1>
    </dataValidation>
  </dataValidations>
  <hyperlinks>
    <hyperlink ref="H149" r:id="rId1" xr:uid="{105F8A1A-2045-426E-A14E-9F3A8FDE32C2}"/>
  </hyperlinks>
  <pageMargins left="0.7" right="0.7" top="0.75" bottom="0.75" header="0.3" footer="0.3"/>
  <pageSetup orientation="portrait" r:id="rId2"/>
  <drawing r:id="rId3"/>
  <legacyDrawing r:id="rId4"/>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6E58A0-FFF8-4DF6-8635-3DA2772065A8}">
  <sheetPr codeName="Sheet8">
    <tabColor theme="4"/>
  </sheetPr>
  <dimension ref="A1:V43"/>
  <sheetViews>
    <sheetView workbookViewId="0">
      <selection activeCell="J13" sqref="J13"/>
    </sheetView>
  </sheetViews>
  <sheetFormatPr defaultColWidth="11.42578125" defaultRowHeight="12.75" x14ac:dyDescent="0.2"/>
  <cols>
    <col min="1" max="1" width="47" style="28" customWidth="1"/>
    <col min="2" max="2" width="17.28515625" style="28" customWidth="1"/>
    <col min="3" max="8" width="10" style="28" customWidth="1"/>
    <col min="9" max="9" width="11" style="28" customWidth="1"/>
    <col min="10" max="11" width="10" style="28" customWidth="1"/>
    <col min="12" max="12" width="9.7109375" style="28" customWidth="1"/>
    <col min="13" max="13" width="7.28515625" style="28" customWidth="1"/>
    <col min="14" max="15" width="11.42578125" style="28"/>
    <col min="16" max="16" width="16.85546875" style="28" customWidth="1"/>
    <col min="17" max="16384" width="11.42578125" style="28"/>
  </cols>
  <sheetData>
    <row r="1" spans="1:17" ht="18" thickBot="1" x14ac:dyDescent="0.35">
      <c r="A1" s="36"/>
      <c r="B1" s="398" t="s">
        <v>1092</v>
      </c>
      <c r="C1" s="398"/>
      <c r="D1" s="37"/>
      <c r="E1" s="37"/>
      <c r="F1" s="29"/>
      <c r="G1" s="36"/>
      <c r="H1" s="36"/>
      <c r="I1" s="36"/>
    </row>
    <row r="2" spans="1:17" ht="13.5" thickTop="1" x14ac:dyDescent="0.2">
      <c r="A2" s="30"/>
      <c r="B2" s="38"/>
      <c r="C2" s="38"/>
      <c r="D2" s="38"/>
      <c r="E2" s="38"/>
      <c r="F2" s="30"/>
      <c r="G2" s="38"/>
      <c r="H2" s="38"/>
      <c r="I2" s="38"/>
      <c r="J2" s="30" t="s">
        <v>1084</v>
      </c>
      <c r="K2" s="38">
        <f>SUP!F15</f>
        <v>16.45</v>
      </c>
      <c r="L2" s="38"/>
    </row>
    <row r="3" spans="1:17" ht="15" x14ac:dyDescent="0.25">
      <c r="A3" s="296"/>
      <c r="B3" s="296"/>
      <c r="C3" s="296"/>
      <c r="D3" s="296" t="s">
        <v>333</v>
      </c>
      <c r="E3" s="296"/>
      <c r="F3" s="296"/>
      <c r="G3" s="296"/>
      <c r="H3" s="296"/>
      <c r="I3" s="296"/>
      <c r="J3" s="296"/>
      <c r="K3" s="296"/>
      <c r="L3" s="296"/>
      <c r="M3" s="296"/>
      <c r="N3" s="296"/>
      <c r="O3" s="296"/>
      <c r="P3" s="296"/>
    </row>
    <row r="4" spans="1:17" ht="42.75" customHeight="1" x14ac:dyDescent="0.25">
      <c r="A4" s="388" t="s">
        <v>334</v>
      </c>
      <c r="B4" s="386" t="s">
        <v>335</v>
      </c>
      <c r="C4" s="386" t="s">
        <v>336</v>
      </c>
      <c r="D4" s="386" t="s">
        <v>337</v>
      </c>
      <c r="E4" s="386" t="s">
        <v>131</v>
      </c>
      <c r="F4" s="386" t="s">
        <v>594</v>
      </c>
      <c r="G4" s="388" t="s">
        <v>1033</v>
      </c>
      <c r="H4" s="388" t="s">
        <v>1034</v>
      </c>
      <c r="I4" s="386" t="s">
        <v>1040</v>
      </c>
      <c r="J4" s="386" t="s">
        <v>1019</v>
      </c>
      <c r="K4" s="386" t="s">
        <v>595</v>
      </c>
      <c r="L4" s="386" t="s">
        <v>1041</v>
      </c>
      <c r="M4" s="386" t="s">
        <v>1018</v>
      </c>
      <c r="N4" s="386" t="s">
        <v>1020</v>
      </c>
      <c r="O4" s="296" t="s">
        <v>1090</v>
      </c>
      <c r="P4" s="296" t="s">
        <v>1091</v>
      </c>
      <c r="Q4" s="28" t="s">
        <v>1035</v>
      </c>
    </row>
    <row r="5" spans="1:17" ht="26.25" thickBot="1" x14ac:dyDescent="0.25">
      <c r="A5" s="66" t="s">
        <v>347</v>
      </c>
      <c r="B5" s="150"/>
      <c r="C5" s="150"/>
      <c r="D5" s="150"/>
      <c r="E5" s="399" t="s">
        <v>816</v>
      </c>
      <c r="F5" s="399" t="s">
        <v>1016</v>
      </c>
      <c r="G5" s="140" t="s">
        <v>1015</v>
      </c>
      <c r="H5" s="140" t="s">
        <v>1015</v>
      </c>
      <c r="I5" s="140"/>
      <c r="J5" s="140"/>
      <c r="K5" s="140" t="s">
        <v>1083</v>
      </c>
      <c r="L5" s="140"/>
      <c r="M5" s="140" t="s">
        <v>816</v>
      </c>
      <c r="N5" s="151"/>
      <c r="O5" s="151"/>
      <c r="P5" s="151"/>
    </row>
    <row r="6" spans="1:17" x14ac:dyDescent="0.2">
      <c r="A6" s="163" t="s">
        <v>817</v>
      </c>
      <c r="B6" s="157" t="s">
        <v>1028</v>
      </c>
      <c r="C6" s="28" t="s">
        <v>177</v>
      </c>
      <c r="D6" s="28" t="s">
        <v>187</v>
      </c>
      <c r="E6" s="394">
        <f>R19</f>
        <v>10</v>
      </c>
      <c r="F6" s="167">
        <v>0.96</v>
      </c>
      <c r="G6" s="396">
        <f>J19</f>
        <v>0.5</v>
      </c>
      <c r="H6" s="167"/>
      <c r="I6" s="167">
        <f>L19/24</f>
        <v>4.7222222222222232</v>
      </c>
      <c r="J6" s="394">
        <v>2027</v>
      </c>
      <c r="K6" s="396">
        <f>N19*$K$2</f>
        <v>253.79999999999995</v>
      </c>
      <c r="L6" s="396">
        <f>P19*$K$2</f>
        <v>154.39499999999998</v>
      </c>
      <c r="M6" s="394">
        <v>-2</v>
      </c>
      <c r="N6" s="160"/>
      <c r="O6" s="379">
        <f>K19</f>
        <v>9.7222222222222232</v>
      </c>
    </row>
    <row r="7" spans="1:17" x14ac:dyDescent="0.2">
      <c r="A7" s="163" t="s">
        <v>815</v>
      </c>
      <c r="B7" s="157" t="s">
        <v>1027</v>
      </c>
      <c r="C7" s="28" t="s">
        <v>177</v>
      </c>
      <c r="D7" s="28" t="s">
        <v>187</v>
      </c>
      <c r="E7" s="394">
        <f>R20</f>
        <v>50</v>
      </c>
      <c r="F7" s="167">
        <v>0.96</v>
      </c>
      <c r="G7" s="396">
        <f>J20</f>
        <v>0.9</v>
      </c>
      <c r="H7" s="167"/>
      <c r="I7" s="167">
        <f>L20/24</f>
        <v>8.0000000000000018</v>
      </c>
      <c r="J7" s="394">
        <v>2030</v>
      </c>
      <c r="K7" s="396">
        <f>N20*$K$2</f>
        <v>1727.1936000000001</v>
      </c>
      <c r="L7" s="396">
        <f>P20*$K$2</f>
        <v>34.543872</v>
      </c>
      <c r="M7" s="394">
        <v>-4</v>
      </c>
      <c r="N7" s="160"/>
      <c r="O7" s="379">
        <f>K20</f>
        <v>12.152777777777777</v>
      </c>
    </row>
    <row r="8" spans="1:17" x14ac:dyDescent="0.2">
      <c r="A8" s="163"/>
      <c r="B8" s="157"/>
      <c r="E8" s="164"/>
      <c r="F8" s="164"/>
      <c r="G8" s="164"/>
      <c r="H8" s="164"/>
      <c r="I8" s="164"/>
      <c r="J8" s="164"/>
      <c r="K8" s="164"/>
      <c r="L8" s="167"/>
      <c r="M8" s="160"/>
    </row>
    <row r="17" spans="1:22" ht="15" x14ac:dyDescent="0.25">
      <c r="A17"/>
      <c r="B17" t="s">
        <v>1072</v>
      </c>
      <c r="C17"/>
      <c r="D17"/>
      <c r="E17" t="s">
        <v>1076</v>
      </c>
      <c r="F17"/>
      <c r="G17"/>
      <c r="H17"/>
      <c r="I17" t="s">
        <v>613</v>
      </c>
      <c r="J17" t="s">
        <v>1078</v>
      </c>
      <c r="K17" t="s">
        <v>851</v>
      </c>
      <c r="L17" t="s">
        <v>1049</v>
      </c>
      <c r="M17" t="s">
        <v>1079</v>
      </c>
      <c r="O17" t="s">
        <v>880</v>
      </c>
      <c r="Q17" t="s">
        <v>1082</v>
      </c>
      <c r="R17" t="s">
        <v>131</v>
      </c>
      <c r="S17" s="28" t="s">
        <v>1060</v>
      </c>
      <c r="T17" s="28" t="s">
        <v>1086</v>
      </c>
      <c r="U17" t="s">
        <v>1046</v>
      </c>
    </row>
    <row r="18" spans="1:22" ht="15" x14ac:dyDescent="0.25">
      <c r="A18"/>
      <c r="B18" t="s">
        <v>1073</v>
      </c>
      <c r="C18" t="s">
        <v>240</v>
      </c>
      <c r="D18" t="s">
        <v>654</v>
      </c>
      <c r="E18" t="s">
        <v>1075</v>
      </c>
      <c r="F18" t="s">
        <v>1071</v>
      </c>
      <c r="G18" t="s">
        <v>1042</v>
      </c>
      <c r="H18" t="s">
        <v>1080</v>
      </c>
      <c r="I18" t="s">
        <v>1077</v>
      </c>
      <c r="J18"/>
      <c r="K18" t="s">
        <v>967</v>
      </c>
      <c r="L18"/>
      <c r="M18" t="s">
        <v>1044</v>
      </c>
      <c r="N18" s="28" t="s">
        <v>1048</v>
      </c>
      <c r="O18" t="s">
        <v>1081</v>
      </c>
      <c r="P18" s="28" t="s">
        <v>1085</v>
      </c>
      <c r="Q18"/>
      <c r="T18" s="28" t="s">
        <v>1044</v>
      </c>
      <c r="U18" t="s">
        <v>1043</v>
      </c>
      <c r="V18" s="28" t="s">
        <v>813</v>
      </c>
    </row>
    <row r="19" spans="1:22" ht="15" x14ac:dyDescent="0.25">
      <c r="A19" t="s">
        <v>266</v>
      </c>
      <c r="B19" s="288">
        <v>170000</v>
      </c>
      <c r="C19" s="298">
        <f>B19*C$22</f>
        <v>3.9666666666666672</v>
      </c>
      <c r="D19">
        <f>C19/3.6*1000</f>
        <v>1101.8518518518522</v>
      </c>
      <c r="E19">
        <v>800</v>
      </c>
      <c r="F19">
        <f>365/2</f>
        <v>182.5</v>
      </c>
      <c r="G19">
        <f>E19*F19*1.05/1000</f>
        <v>153.30000000000001</v>
      </c>
      <c r="H19" s="57">
        <f>G19/48</f>
        <v>3.1937500000000001</v>
      </c>
      <c r="I19" s="256">
        <f>G19/38.2</f>
        <v>4.0130890052356021</v>
      </c>
      <c r="J19">
        <f>F19/365</f>
        <v>0.5</v>
      </c>
      <c r="K19" s="256">
        <f>G19/31.536/J19</f>
        <v>9.7222222222222232</v>
      </c>
      <c r="L19" s="82">
        <f>D19/K19</f>
        <v>113.33333333333336</v>
      </c>
      <c r="M19">
        <v>150</v>
      </c>
      <c r="N19" s="125">
        <f>M19/K19</f>
        <v>15.428571428571427</v>
      </c>
      <c r="O19">
        <f>0.25*365</f>
        <v>91.25</v>
      </c>
      <c r="P19" s="125">
        <f>O19/K19</f>
        <v>9.3857142857142843</v>
      </c>
      <c r="Q19" s="332">
        <v>8.2000000000000003E-2</v>
      </c>
      <c r="R19">
        <v>10</v>
      </c>
      <c r="S19" s="411">
        <f>-PMT(Q19,R19,1,0,1)</f>
        <v>0.13898026228355856</v>
      </c>
      <c r="T19" s="125">
        <f>M19*S19+O19</f>
        <v>112.09703934253378</v>
      </c>
      <c r="U19" s="72">
        <f>T19/G19</f>
        <v>0.73122661019265345</v>
      </c>
      <c r="V19" s="125">
        <f>U19*$K$2</f>
        <v>12.028677737669149</v>
      </c>
    </row>
    <row r="20" spans="1:22" ht="15" x14ac:dyDescent="0.25">
      <c r="A20" t="s">
        <v>265</v>
      </c>
      <c r="B20" s="288">
        <v>360000</v>
      </c>
      <c r="C20" s="298">
        <f>B20*C$22</f>
        <v>8.4</v>
      </c>
      <c r="D20">
        <f>C20/3.6*1000</f>
        <v>2333.3333333333335</v>
      </c>
      <c r="E20">
        <v>1000</v>
      </c>
      <c r="F20">
        <f>365*0.9</f>
        <v>328.5</v>
      </c>
      <c r="G20">
        <f>E20*F20*1.05/1000</f>
        <v>344.92500000000001</v>
      </c>
      <c r="H20" s="57">
        <f>G20/48</f>
        <v>7.1859375000000005</v>
      </c>
      <c r="I20" s="256">
        <f>G20/38.2</f>
        <v>9.029450261780104</v>
      </c>
      <c r="J20">
        <f>F20/365</f>
        <v>0.9</v>
      </c>
      <c r="K20" s="256">
        <f>G20/31.536/J20</f>
        <v>12.152777777777777</v>
      </c>
      <c r="L20" s="82">
        <f>D20/K20</f>
        <v>192.00000000000003</v>
      </c>
      <c r="M20">
        <f>1100*1.16</f>
        <v>1276</v>
      </c>
      <c r="N20">
        <f>M20/K20</f>
        <v>104.99657142857144</v>
      </c>
      <c r="O20">
        <f>2%*M20</f>
        <v>25.52</v>
      </c>
      <c r="P20" s="82">
        <f>O20/K20</f>
        <v>2.0999314285714288</v>
      </c>
      <c r="Q20" s="332">
        <v>8.2000000000000003E-2</v>
      </c>
      <c r="R20">
        <v>50</v>
      </c>
      <c r="S20" s="411">
        <f>-PMT(Q20,R20,1,0,1)</f>
        <v>7.7287852981086286E-2</v>
      </c>
      <c r="T20" s="125">
        <f>M20*S20+O20</f>
        <v>124.1393004038661</v>
      </c>
      <c r="U20" s="72">
        <f>T20/G20</f>
        <v>0.35990229877180863</v>
      </c>
      <c r="V20" s="125">
        <f>U20*$K$2</f>
        <v>5.9203928147962515</v>
      </c>
    </row>
    <row r="21" spans="1:22" ht="15" x14ac:dyDescent="0.25">
      <c r="A21"/>
      <c r="B21"/>
      <c r="C21" t="s">
        <v>1074</v>
      </c>
      <c r="D21"/>
      <c r="E21"/>
      <c r="F21"/>
      <c r="G21"/>
      <c r="H21"/>
      <c r="I21"/>
      <c r="J21"/>
      <c r="K21"/>
      <c r="L21"/>
      <c r="M21"/>
      <c r="N21"/>
      <c r="O21"/>
      <c r="P21"/>
    </row>
    <row r="22" spans="1:22" ht="15" x14ac:dyDescent="0.25">
      <c r="A22"/>
      <c r="B22"/>
      <c r="C22">
        <f>1.05/45000</f>
        <v>2.3333333333333336E-5</v>
      </c>
      <c r="D22"/>
      <c r="E22"/>
      <c r="F22"/>
      <c r="G22"/>
      <c r="H22"/>
      <c r="I22"/>
      <c r="J22"/>
      <c r="K22"/>
      <c r="L22"/>
      <c r="M22"/>
      <c r="N22"/>
      <c r="O22"/>
      <c r="P22"/>
    </row>
    <row r="26" spans="1:22" x14ac:dyDescent="0.2">
      <c r="C26" s="411"/>
    </row>
    <row r="28" spans="1:22" x14ac:dyDescent="0.2">
      <c r="A28" s="28" t="s">
        <v>1087</v>
      </c>
      <c r="B28" s="28" t="s">
        <v>1047</v>
      </c>
      <c r="L28" s="28" t="s">
        <v>1089</v>
      </c>
    </row>
    <row r="30" spans="1:22" x14ac:dyDescent="0.2">
      <c r="C30" s="125"/>
    </row>
    <row r="43" spans="2:2" x14ac:dyDescent="0.2">
      <c r="B43" s="28" t="s">
        <v>1088</v>
      </c>
    </row>
  </sheetData>
  <pageMargins left="0.7" right="0.7" top="0.75" bottom="0.75" header="0.3" footer="0.3"/>
  <pageSetup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080F6A-D340-446D-BCAD-82AB63A596B0}">
  <sheetPr codeName="Sheet15">
    <tabColor theme="4"/>
  </sheetPr>
  <dimension ref="A1:R38"/>
  <sheetViews>
    <sheetView workbookViewId="0">
      <selection activeCell="J8" sqref="J8"/>
    </sheetView>
  </sheetViews>
  <sheetFormatPr defaultColWidth="11.42578125" defaultRowHeight="12.75" x14ac:dyDescent="0.2"/>
  <cols>
    <col min="1" max="1" width="47" style="28" customWidth="1"/>
    <col min="2" max="2" width="17.28515625" style="28" customWidth="1"/>
    <col min="3" max="10" width="10" style="28" customWidth="1"/>
    <col min="11" max="11" width="11.28515625" style="28" customWidth="1"/>
    <col min="12" max="12" width="7.28515625" style="28" customWidth="1"/>
    <col min="13" max="16" width="11.42578125" style="28"/>
    <col min="17" max="17" width="16" style="28" customWidth="1"/>
    <col min="18" max="16384" width="11.42578125" style="28"/>
  </cols>
  <sheetData>
    <row r="1" spans="1:18" ht="18" thickBot="1" x14ac:dyDescent="0.35">
      <c r="A1" s="36"/>
      <c r="B1" s="398" t="s">
        <v>1093</v>
      </c>
      <c r="C1" s="398"/>
      <c r="D1" s="37"/>
      <c r="E1" s="37"/>
      <c r="F1" s="29"/>
      <c r="G1" s="36"/>
      <c r="H1" s="36"/>
    </row>
    <row r="2" spans="1:18" ht="13.5" thickTop="1" x14ac:dyDescent="0.2">
      <c r="A2" s="30"/>
      <c r="B2" s="38"/>
      <c r="C2" s="38"/>
      <c r="D2" s="38"/>
      <c r="E2" s="38"/>
      <c r="F2" s="30"/>
      <c r="G2" s="38"/>
      <c r="H2" s="38"/>
      <c r="I2" s="30" t="s">
        <v>1084</v>
      </c>
      <c r="J2" s="38">
        <f>SUP!F15</f>
        <v>16.45</v>
      </c>
      <c r="K2" s="38"/>
    </row>
    <row r="3" spans="1:18" ht="15" x14ac:dyDescent="0.25">
      <c r="A3" s="296"/>
      <c r="B3" s="296"/>
      <c r="C3" s="296"/>
      <c r="D3" s="296" t="s">
        <v>333</v>
      </c>
      <c r="E3" s="296"/>
      <c r="F3" s="296"/>
      <c r="G3" s="296"/>
      <c r="H3" s="296"/>
      <c r="I3" s="296"/>
      <c r="J3" s="296"/>
      <c r="K3" s="296"/>
      <c r="L3" s="296"/>
      <c r="M3" s="296"/>
      <c r="N3" s="296"/>
      <c r="O3" s="296"/>
      <c r="P3" s="296"/>
      <c r="Q3" s="296"/>
    </row>
    <row r="4" spans="1:18" ht="42.75" customHeight="1" x14ac:dyDescent="0.25">
      <c r="A4" s="388" t="s">
        <v>334</v>
      </c>
      <c r="B4" s="386" t="s">
        <v>335</v>
      </c>
      <c r="C4" s="386" t="s">
        <v>336</v>
      </c>
      <c r="D4" s="386" t="s">
        <v>337</v>
      </c>
      <c r="E4" s="386" t="s">
        <v>131</v>
      </c>
      <c r="F4" s="386" t="s">
        <v>594</v>
      </c>
      <c r="G4" s="388" t="s">
        <v>1033</v>
      </c>
      <c r="H4" s="388" t="s">
        <v>1034</v>
      </c>
      <c r="I4" s="386" t="s">
        <v>1019</v>
      </c>
      <c r="J4" s="386" t="s">
        <v>595</v>
      </c>
      <c r="K4" s="386" t="s">
        <v>1041</v>
      </c>
      <c r="L4" s="386" t="s">
        <v>1018</v>
      </c>
      <c r="M4" s="386" t="s">
        <v>1020</v>
      </c>
      <c r="N4" s="296" t="str">
        <f>"NCAP_BND~"&amp;N5</f>
        <v>NCAP_BND~0</v>
      </c>
      <c r="O4" s="296" t="s">
        <v>1017</v>
      </c>
      <c r="P4" s="296" t="s">
        <v>1090</v>
      </c>
      <c r="Q4" s="296" t="s">
        <v>1091</v>
      </c>
      <c r="R4" s="28" t="s">
        <v>1035</v>
      </c>
    </row>
    <row r="5" spans="1:18" ht="26.25" thickBot="1" x14ac:dyDescent="0.25">
      <c r="A5" s="66" t="s">
        <v>347</v>
      </c>
      <c r="B5" s="150"/>
      <c r="C5" s="150"/>
      <c r="D5" s="150"/>
      <c r="E5" s="399" t="s">
        <v>816</v>
      </c>
      <c r="F5" s="399" t="s">
        <v>1016</v>
      </c>
      <c r="G5" s="140" t="s">
        <v>1015</v>
      </c>
      <c r="H5" s="140" t="s">
        <v>1015</v>
      </c>
      <c r="I5" s="140"/>
      <c r="J5" s="140" t="s">
        <v>1014</v>
      </c>
      <c r="K5" s="140"/>
      <c r="L5" s="140" t="s">
        <v>816</v>
      </c>
      <c r="M5" s="151"/>
      <c r="N5" s="151">
        <v>0</v>
      </c>
      <c r="O5" s="151">
        <v>0</v>
      </c>
      <c r="P5" s="151"/>
      <c r="Q5" s="151"/>
    </row>
    <row r="6" spans="1:18" ht="15" x14ac:dyDescent="0.25">
      <c r="A6" s="163" t="s">
        <v>1029</v>
      </c>
      <c r="B6" s="157" t="s">
        <v>1030</v>
      </c>
      <c r="C6" s="28" t="s">
        <v>187</v>
      </c>
      <c r="D6" s="28" t="s">
        <v>171</v>
      </c>
      <c r="E6" s="394">
        <v>80</v>
      </c>
      <c r="F6" s="397">
        <v>0.99</v>
      </c>
      <c r="G6" s="396">
        <v>1</v>
      </c>
      <c r="H6" s="396"/>
      <c r="I6" s="394">
        <v>2027</v>
      </c>
      <c r="J6" s="400">
        <f>785*1.16*J2/160</f>
        <v>93.621062499999979</v>
      </c>
      <c r="K6" s="400"/>
      <c r="L6" s="394">
        <v>-4</v>
      </c>
      <c r="M6" s="160"/>
      <c r="P6" s="28">
        <v>160</v>
      </c>
    </row>
    <row r="7" spans="1:18" x14ac:dyDescent="0.2">
      <c r="A7" s="163" t="s">
        <v>1031</v>
      </c>
      <c r="B7" s="157" t="s">
        <v>1032</v>
      </c>
      <c r="C7" s="28" t="s">
        <v>183</v>
      </c>
      <c r="D7" s="28" t="s">
        <v>187</v>
      </c>
      <c r="E7" s="394">
        <v>80</v>
      </c>
      <c r="F7" s="397">
        <v>0.99</v>
      </c>
      <c r="G7" s="396">
        <v>1</v>
      </c>
      <c r="H7" s="396"/>
      <c r="I7" s="394">
        <v>2027</v>
      </c>
      <c r="J7" s="396" t="str">
        <f>IFERROR(HLOOKUP(B7,#REF!,#REF!,FALSE),"")</f>
        <v/>
      </c>
      <c r="K7" s="396"/>
      <c r="L7" s="394">
        <v>-4</v>
      </c>
      <c r="M7" s="160"/>
    </row>
    <row r="8" spans="1:18" x14ac:dyDescent="0.2">
      <c r="A8" s="163" t="s">
        <v>1021</v>
      </c>
      <c r="B8" s="157" t="s">
        <v>1022</v>
      </c>
      <c r="C8" s="28" t="s">
        <v>181</v>
      </c>
      <c r="D8" s="28" t="s">
        <v>171</v>
      </c>
      <c r="E8" s="394">
        <v>80</v>
      </c>
      <c r="F8" s="167">
        <v>0.99</v>
      </c>
      <c r="G8" s="396">
        <v>1</v>
      </c>
      <c r="H8" s="396"/>
      <c r="I8" s="395">
        <v>2030</v>
      </c>
      <c r="J8" s="396">
        <f>5000*J2/500</f>
        <v>164.5</v>
      </c>
      <c r="K8" s="396"/>
      <c r="L8" s="394">
        <v>-4</v>
      </c>
      <c r="M8" s="160"/>
      <c r="N8" s="28">
        <v>5</v>
      </c>
      <c r="O8" s="28">
        <v>0</v>
      </c>
      <c r="P8" s="28">
        <v>500</v>
      </c>
    </row>
    <row r="9" spans="1:18" x14ac:dyDescent="0.2">
      <c r="A9" s="163" t="s">
        <v>1023</v>
      </c>
      <c r="B9" s="157" t="s">
        <v>1024</v>
      </c>
      <c r="C9" s="28" t="s">
        <v>173</v>
      </c>
      <c r="D9" s="28" t="s">
        <v>171</v>
      </c>
      <c r="E9" s="394">
        <v>80</v>
      </c>
      <c r="F9" s="167">
        <v>0.99</v>
      </c>
      <c r="G9" s="396">
        <v>1</v>
      </c>
      <c r="H9" s="396"/>
      <c r="I9" s="394"/>
      <c r="J9" s="396">
        <f>C38</f>
        <v>12.530380337750408</v>
      </c>
      <c r="K9" s="396"/>
      <c r="L9" s="394">
        <v>-4</v>
      </c>
      <c r="M9" s="160">
        <v>160</v>
      </c>
      <c r="N9" s="28">
        <v>5</v>
      </c>
      <c r="O9" s="28">
        <v>0</v>
      </c>
    </row>
    <row r="10" spans="1:18" x14ac:dyDescent="0.2">
      <c r="A10" s="163" t="s">
        <v>1025</v>
      </c>
      <c r="B10" s="157" t="s">
        <v>1026</v>
      </c>
      <c r="C10" s="28" t="s">
        <v>185</v>
      </c>
      <c r="D10" s="28" t="s">
        <v>171</v>
      </c>
      <c r="E10" s="394">
        <v>80</v>
      </c>
      <c r="F10" s="167">
        <f>F8</f>
        <v>0.99</v>
      </c>
      <c r="G10" s="396">
        <v>1</v>
      </c>
      <c r="H10" s="396"/>
      <c r="I10" s="394">
        <v>2030</v>
      </c>
      <c r="J10" s="396" t="str">
        <f>IFERROR(HLOOKUP(B10,#REF!,#REF!,FALSE),"")</f>
        <v/>
      </c>
      <c r="K10" s="396"/>
      <c r="L10" s="394">
        <v>-4</v>
      </c>
      <c r="M10" s="160"/>
      <c r="N10" s="160"/>
    </row>
    <row r="11" spans="1:18" x14ac:dyDescent="0.2">
      <c r="A11" s="163"/>
      <c r="B11" s="157"/>
      <c r="E11" s="394"/>
      <c r="F11" s="396"/>
      <c r="G11" s="396"/>
      <c r="H11" s="167"/>
      <c r="I11" s="394"/>
      <c r="J11" s="396"/>
      <c r="K11" s="396"/>
      <c r="L11" s="394"/>
      <c r="M11" s="160"/>
      <c r="N11" s="160"/>
    </row>
    <row r="12" spans="1:18" x14ac:dyDescent="0.2">
      <c r="A12" s="163"/>
      <c r="B12" s="157"/>
      <c r="E12" s="394"/>
      <c r="F12" s="396"/>
      <c r="G12" s="396"/>
      <c r="H12" s="167"/>
      <c r="I12" s="394"/>
      <c r="J12" s="396"/>
      <c r="K12" s="396"/>
      <c r="L12" s="394"/>
      <c r="M12" s="160"/>
      <c r="N12" s="160"/>
    </row>
    <row r="13" spans="1:18" x14ac:dyDescent="0.2">
      <c r="A13" s="163"/>
      <c r="B13" s="157"/>
      <c r="E13" s="164"/>
      <c r="F13" s="164"/>
      <c r="G13" s="164"/>
      <c r="H13" s="164"/>
      <c r="I13" s="164"/>
      <c r="J13" s="164"/>
      <c r="K13" s="167"/>
      <c r="L13" s="160"/>
    </row>
    <row r="28" spans="1:3" x14ac:dyDescent="0.2">
      <c r="A28" s="28" t="s">
        <v>1066</v>
      </c>
    </row>
    <row r="29" spans="1:3" x14ac:dyDescent="0.2">
      <c r="A29" s="28" t="s">
        <v>1065</v>
      </c>
    </row>
    <row r="30" spans="1:3" x14ac:dyDescent="0.2">
      <c r="A30" s="28" t="s">
        <v>1061</v>
      </c>
      <c r="B30" s="28" t="s">
        <v>1044</v>
      </c>
      <c r="C30" s="28">
        <v>300</v>
      </c>
    </row>
    <row r="31" spans="1:3" x14ac:dyDescent="0.2">
      <c r="B31" s="28" t="s">
        <v>1060</v>
      </c>
      <c r="C31" s="411">
        <f>-PMT(10%,5,1)</f>
        <v>0.26379748079474541</v>
      </c>
    </row>
    <row r="32" spans="1:3" x14ac:dyDescent="0.2">
      <c r="A32" s="28" t="s">
        <v>1045</v>
      </c>
      <c r="B32" s="28" t="s">
        <v>1044</v>
      </c>
      <c r="C32" s="28">
        <f>C31*C30</f>
        <v>79.139244238423629</v>
      </c>
    </row>
    <row r="33" spans="1:5" x14ac:dyDescent="0.2">
      <c r="B33" s="28" t="s">
        <v>1063</v>
      </c>
      <c r="C33" s="28">
        <f>C32*19</f>
        <v>1503.6456405300489</v>
      </c>
    </row>
    <row r="34" spans="1:5" x14ac:dyDescent="0.2">
      <c r="A34" s="28" t="s">
        <v>1062</v>
      </c>
      <c r="B34" s="28" t="s">
        <v>240</v>
      </c>
      <c r="C34" s="28">
        <v>120</v>
      </c>
      <c r="D34" s="28" t="s">
        <v>1069</v>
      </c>
      <c r="E34" s="28" t="s">
        <v>1070</v>
      </c>
    </row>
    <row r="35" spans="1:5" x14ac:dyDescent="0.2">
      <c r="A35" s="28" t="s">
        <v>1064</v>
      </c>
      <c r="B35" s="28" t="s">
        <v>254</v>
      </c>
      <c r="C35" s="125">
        <f>C33/C34</f>
        <v>12.530380337750408</v>
      </c>
    </row>
    <row r="36" spans="1:5" x14ac:dyDescent="0.2">
      <c r="A36" s="28" t="s">
        <v>1067</v>
      </c>
      <c r="B36" s="28" t="s">
        <v>254</v>
      </c>
      <c r="C36" s="28">
        <v>70</v>
      </c>
    </row>
    <row r="37" spans="1:5" x14ac:dyDescent="0.2">
      <c r="A37" s="28" t="s">
        <v>1068</v>
      </c>
      <c r="B37" s="28" t="s">
        <v>254</v>
      </c>
      <c r="C37" s="28">
        <v>120</v>
      </c>
    </row>
    <row r="38" spans="1:5" x14ac:dyDescent="0.2">
      <c r="A38" s="28" t="s">
        <v>814</v>
      </c>
      <c r="C38" s="28">
        <f>C33/C34</f>
        <v>12.530380337750408</v>
      </c>
    </row>
  </sheetData>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A465E-558B-405F-8956-D2AB42D3ADE9}">
  <sheetPr codeName="Sheet10">
    <tabColor theme="5"/>
  </sheetPr>
  <dimension ref="A2:AE144"/>
  <sheetViews>
    <sheetView workbookViewId="0">
      <selection activeCell="B3" sqref="B3"/>
    </sheetView>
  </sheetViews>
  <sheetFormatPr defaultColWidth="9.28515625" defaultRowHeight="15" x14ac:dyDescent="0.25"/>
  <cols>
    <col min="1" max="1" width="22.28515625" customWidth="1"/>
    <col min="2" max="2" width="25.7109375" customWidth="1"/>
    <col min="3" max="3" width="12.5703125" customWidth="1"/>
    <col min="4" max="4" width="18" customWidth="1"/>
    <col min="5" max="5" width="13.7109375" customWidth="1"/>
    <col min="6" max="7" width="25.28515625" customWidth="1"/>
    <col min="8" max="8" width="10.7109375" customWidth="1"/>
    <col min="9" max="9" width="13.28515625" customWidth="1"/>
    <col min="10" max="11" width="18.28515625" customWidth="1"/>
    <col min="12" max="12" width="17" customWidth="1"/>
    <col min="13" max="13" width="22.5703125" customWidth="1"/>
    <col min="14" max="14" width="15.28515625" customWidth="1"/>
    <col min="15" max="15" width="13.42578125" customWidth="1"/>
    <col min="16" max="16" width="11.28515625" customWidth="1"/>
    <col min="17" max="17" width="13.28515625" customWidth="1"/>
    <col min="18" max="18" width="23" customWidth="1"/>
    <col min="19" max="19" width="7.7109375" customWidth="1"/>
    <col min="20" max="20" width="6" customWidth="1"/>
    <col min="21" max="21" width="10.28515625" customWidth="1"/>
    <col min="22" max="22" width="15.5703125" customWidth="1"/>
    <col min="23" max="23" width="10" customWidth="1"/>
  </cols>
  <sheetData>
    <row r="2" spans="1:31" ht="18" thickBot="1" x14ac:dyDescent="0.35">
      <c r="B2" s="169" t="s">
        <v>988</v>
      </c>
      <c r="C2" s="169"/>
      <c r="D2" s="169"/>
      <c r="E2" s="169"/>
    </row>
    <row r="3" spans="1:31" ht="15.75" thickTop="1" x14ac:dyDescent="0.25"/>
    <row r="6" spans="1:31" ht="15" customHeight="1" x14ac:dyDescent="0.25">
      <c r="A6" t="s">
        <v>360</v>
      </c>
      <c r="U6" s="173" t="s">
        <v>361</v>
      </c>
      <c r="V6" s="174">
        <v>15.3</v>
      </c>
      <c r="W6" s="175" t="s">
        <v>362</v>
      </c>
      <c r="AC6" s="433" t="s">
        <v>363</v>
      </c>
      <c r="AD6" s="433"/>
      <c r="AE6" s="433"/>
    </row>
    <row r="7" spans="1:31" ht="15.75" customHeight="1" x14ac:dyDescent="0.25">
      <c r="A7" s="434" t="s">
        <v>364</v>
      </c>
      <c r="B7" s="436" t="s">
        <v>365</v>
      </c>
      <c r="C7" s="438" t="s">
        <v>366</v>
      </c>
      <c r="D7" s="439"/>
      <c r="E7" s="440"/>
      <c r="F7" s="443" t="s">
        <v>367</v>
      </c>
      <c r="G7" s="176"/>
      <c r="H7" s="176"/>
      <c r="I7" s="176"/>
      <c r="J7" s="176"/>
      <c r="U7" s="173" t="s">
        <v>368</v>
      </c>
      <c r="V7" s="174">
        <v>18.235131074122162</v>
      </c>
      <c r="W7" s="175" t="s">
        <v>369</v>
      </c>
      <c r="AC7" s="177" t="s">
        <v>370</v>
      </c>
      <c r="AD7" s="178">
        <f>AD8*AD9/10^3</f>
        <v>5.4839199999999998E-2</v>
      </c>
      <c r="AE7" s="179" t="s">
        <v>240</v>
      </c>
    </row>
    <row r="8" spans="1:31" x14ac:dyDescent="0.25">
      <c r="A8" s="435"/>
      <c r="B8" s="437"/>
      <c r="C8" s="441"/>
      <c r="D8" s="442"/>
      <c r="E8" s="442"/>
      <c r="F8" s="444"/>
      <c r="G8" s="176"/>
      <c r="H8" s="176"/>
      <c r="I8" s="176"/>
      <c r="J8" s="176"/>
      <c r="V8" t="s">
        <v>371</v>
      </c>
      <c r="W8" t="s">
        <v>371</v>
      </c>
      <c r="X8" t="s">
        <v>371</v>
      </c>
      <c r="Y8" t="s">
        <v>372</v>
      </c>
      <c r="Z8" t="s">
        <v>372</v>
      </c>
      <c r="AA8" t="s">
        <v>372</v>
      </c>
      <c r="AC8" s="180" t="s">
        <v>373</v>
      </c>
      <c r="AD8" s="178">
        <v>52</v>
      </c>
      <c r="AE8" s="179" t="s">
        <v>374</v>
      </c>
    </row>
    <row r="9" spans="1:31" x14ac:dyDescent="0.25">
      <c r="A9" s="181"/>
      <c r="B9" s="182"/>
      <c r="C9" s="183" t="s">
        <v>375</v>
      </c>
      <c r="D9" s="184" t="s">
        <v>376</v>
      </c>
      <c r="E9" s="184" t="s">
        <v>377</v>
      </c>
      <c r="F9" s="185"/>
      <c r="G9" t="s">
        <v>378</v>
      </c>
      <c r="H9" s="186" t="s">
        <v>379</v>
      </c>
      <c r="I9" s="176"/>
      <c r="J9" s="176"/>
      <c r="O9" t="s">
        <v>380</v>
      </c>
      <c r="R9" s="187" t="s">
        <v>381</v>
      </c>
      <c r="S9" t="s">
        <v>382</v>
      </c>
      <c r="T9" t="s">
        <v>383</v>
      </c>
      <c r="U9" t="s">
        <v>384</v>
      </c>
      <c r="V9" s="188">
        <v>7.0000000000000001E-3</v>
      </c>
      <c r="W9" s="188">
        <v>0.02</v>
      </c>
      <c r="X9" s="189">
        <v>0.05</v>
      </c>
      <c r="Y9" s="190">
        <v>0.02</v>
      </c>
      <c r="Z9" s="190">
        <v>0.04</v>
      </c>
      <c r="AA9" s="190">
        <v>0.05</v>
      </c>
      <c r="AC9" s="180" t="s">
        <v>385</v>
      </c>
      <c r="AD9" s="178">
        <v>1.0546</v>
      </c>
      <c r="AE9" s="179" t="s">
        <v>240</v>
      </c>
    </row>
    <row r="10" spans="1:31" x14ac:dyDescent="0.25">
      <c r="A10" s="191" t="s">
        <v>386</v>
      </c>
      <c r="B10" s="10" t="s">
        <v>387</v>
      </c>
      <c r="C10" s="192">
        <v>7</v>
      </c>
      <c r="D10" s="193">
        <v>9</v>
      </c>
      <c r="E10" s="193">
        <f>(C10+D10)/2</f>
        <v>8</v>
      </c>
      <c r="F10" s="194"/>
      <c r="G10" t="s">
        <v>388</v>
      </c>
      <c r="H10" s="186" t="s">
        <v>379</v>
      </c>
      <c r="I10" s="57"/>
      <c r="J10" s="57"/>
      <c r="O10" s="5" t="s">
        <v>389</v>
      </c>
      <c r="Q10" s="10" t="s">
        <v>311</v>
      </c>
      <c r="R10" s="15" t="s">
        <v>390</v>
      </c>
      <c r="S10" s="195">
        <v>1</v>
      </c>
      <c r="T10" s="196">
        <v>0</v>
      </c>
      <c r="U10" s="197">
        <v>0</v>
      </c>
      <c r="V10" s="198">
        <f>$V$7*V$9*$S$10+0.001*$V$7</f>
        <v>0.14588104859297729</v>
      </c>
      <c r="W10" s="198">
        <f>$V$7*W$9*$S$10+0.001*$V$7</f>
        <v>0.38293775255656542</v>
      </c>
      <c r="X10" s="198">
        <f>$V$7*X$9*$S$10+0.001*$V$7</f>
        <v>0.9299916847802302</v>
      </c>
      <c r="Y10" s="199">
        <f>(1-$S$10)*$V$6*Y$9</f>
        <v>0</v>
      </c>
      <c r="Z10" s="199">
        <f>(1-$S$10)*$V$6*Z$9</f>
        <v>0</v>
      </c>
      <c r="AA10" s="199">
        <f>(1-$S$10)*$V$6*AA$9</f>
        <v>0</v>
      </c>
      <c r="AC10" s="180" t="s">
        <v>373</v>
      </c>
      <c r="AD10" s="178">
        <v>5.7272999999999996</v>
      </c>
      <c r="AE10" s="179" t="s">
        <v>391</v>
      </c>
    </row>
    <row r="11" spans="1:31" x14ac:dyDescent="0.25">
      <c r="A11" s="73" t="s">
        <v>392</v>
      </c>
      <c r="B11" s="10" t="s">
        <v>387</v>
      </c>
      <c r="C11" s="61">
        <v>4.8</v>
      </c>
      <c r="D11" s="57">
        <v>13.9</v>
      </c>
      <c r="E11" s="57">
        <f>(C11+D11)/2</f>
        <v>9.35</v>
      </c>
      <c r="F11" s="200">
        <v>65.3</v>
      </c>
      <c r="G11" t="s">
        <v>393</v>
      </c>
      <c r="H11" s="186" t="s">
        <v>379</v>
      </c>
      <c r="I11" s="57"/>
      <c r="J11" s="57"/>
      <c r="O11" s="201">
        <f>Index!C5</f>
        <v>0</v>
      </c>
      <c r="Q11" s="16" t="s">
        <v>311</v>
      </c>
      <c r="R11" s="11" t="s">
        <v>394</v>
      </c>
      <c r="S11" s="202">
        <v>0.5</v>
      </c>
      <c r="T11" s="203">
        <v>0.5</v>
      </c>
      <c r="U11" s="204">
        <v>0</v>
      </c>
      <c r="V11" s="198">
        <f>$V$7*V$9*$S$11+0.001*$V$7</f>
        <v>8.205808983354973E-2</v>
      </c>
      <c r="W11" s="198">
        <f>$V$7*W$9*$S$11+0.001*$V$7</f>
        <v>0.2005864418153438</v>
      </c>
      <c r="X11" s="198">
        <f>$V$7*X$9*$S$11+0.001*$V$7</f>
        <v>0.47411340792717621</v>
      </c>
      <c r="Y11" s="199">
        <f>($T$11)*$V$6*Y$9</f>
        <v>0.153</v>
      </c>
      <c r="Z11" s="199">
        <f>($T$11)*$V$6*Z$9</f>
        <v>0.30599999999999999</v>
      </c>
      <c r="AA11" s="199">
        <f>($T$11)*$V$6*AA$9</f>
        <v>0.38250000000000006</v>
      </c>
      <c r="AC11" s="180" t="s">
        <v>395</v>
      </c>
      <c r="AD11" s="178">
        <v>11</v>
      </c>
      <c r="AE11" s="179" t="s">
        <v>240</v>
      </c>
    </row>
    <row r="12" spans="1:31" x14ac:dyDescent="0.25">
      <c r="A12" s="73" t="s">
        <v>396</v>
      </c>
      <c r="B12" s="10" t="s">
        <v>387</v>
      </c>
      <c r="C12" s="61">
        <v>9.4</v>
      </c>
      <c r="D12" s="57">
        <v>9.4</v>
      </c>
      <c r="E12" s="57">
        <f>(C12+D12)/2</f>
        <v>9.4</v>
      </c>
      <c r="F12" s="200"/>
      <c r="G12" t="s">
        <v>397</v>
      </c>
      <c r="H12" s="186" t="s">
        <v>379</v>
      </c>
      <c r="I12" s="57"/>
      <c r="J12" s="57"/>
      <c r="N12" t="s">
        <v>398</v>
      </c>
      <c r="O12" s="1">
        <f>IF($O$11=1,(1-V19),IF($O$11=2,(1-W19),1))</f>
        <v>1</v>
      </c>
      <c r="Q12" s="16" t="s">
        <v>311</v>
      </c>
      <c r="R12" s="11" t="s">
        <v>399</v>
      </c>
      <c r="S12" s="205">
        <v>0</v>
      </c>
      <c r="T12" s="206">
        <v>0.1</v>
      </c>
      <c r="U12" s="207">
        <v>0.9</v>
      </c>
      <c r="V12" s="198">
        <f>$V$7*V$9*$S$12+0.001*$V$7</f>
        <v>1.8235131074122161E-2</v>
      </c>
      <c r="W12" s="198">
        <f>$V$7*W$9*$S$12+0.001*$V$7</f>
        <v>1.8235131074122161E-2</v>
      </c>
      <c r="X12" s="198">
        <f>$V$7*X$9*$S$12+0.001*$V$7</f>
        <v>1.8235131074122161E-2</v>
      </c>
      <c r="Y12" s="199">
        <f>($T$12)*$V$6*Y$9</f>
        <v>3.0600000000000006E-2</v>
      </c>
      <c r="Z12" s="199">
        <f>($T$12)*$V$6*Z$9</f>
        <v>6.1200000000000011E-2</v>
      </c>
      <c r="AA12" s="199">
        <f>($T$12)*$V$6*AA$9</f>
        <v>7.6500000000000012E-2</v>
      </c>
      <c r="AC12" s="180" t="s">
        <v>400</v>
      </c>
      <c r="AD12" s="178">
        <v>37</v>
      </c>
      <c r="AE12" s="179" t="s">
        <v>401</v>
      </c>
    </row>
    <row r="13" spans="1:31" x14ac:dyDescent="0.25">
      <c r="A13" s="73" t="s">
        <v>402</v>
      </c>
      <c r="B13" s="10" t="s">
        <v>387</v>
      </c>
      <c r="C13" s="61">
        <v>13</v>
      </c>
      <c r="D13" s="57">
        <v>15</v>
      </c>
      <c r="E13" s="57">
        <f>(C13+D13)/2</f>
        <v>14</v>
      </c>
      <c r="F13" s="200">
        <v>71.7</v>
      </c>
      <c r="G13" t="s">
        <v>403</v>
      </c>
      <c r="H13" s="186" t="s">
        <v>379</v>
      </c>
      <c r="I13" s="57"/>
      <c r="J13" s="57"/>
      <c r="N13" t="s">
        <v>404</v>
      </c>
      <c r="O13" s="1">
        <f>IF($O$11=1,(0.96-V19),IF($O$11=2,(0.96-W19),0.96))</f>
        <v>0.96</v>
      </c>
      <c r="Q13" s="208" t="s">
        <v>311</v>
      </c>
      <c r="R13" s="14" t="s">
        <v>405</v>
      </c>
      <c r="S13" s="202">
        <v>0</v>
      </c>
      <c r="T13" s="203">
        <v>0</v>
      </c>
      <c r="U13" s="204">
        <v>1</v>
      </c>
      <c r="V13" s="198">
        <f>$V$7*V$9*$S$13+0.001*$V$7</f>
        <v>1.8235131074122161E-2</v>
      </c>
      <c r="W13" s="198">
        <f>$V$7*W$9*$S$13+0.001*$V$7</f>
        <v>1.8235131074122161E-2</v>
      </c>
      <c r="X13" s="198">
        <f>$V$7*X$9*$S$13+0.001*$V$7</f>
        <v>1.8235131074122161E-2</v>
      </c>
      <c r="Y13" s="199">
        <f>($T$13)*$V$6*Y$9</f>
        <v>0</v>
      </c>
      <c r="Z13" s="199">
        <f>($T$13)*$V$6*Z$9</f>
        <v>0</v>
      </c>
      <c r="AA13" s="199">
        <f>($T$13)*$V$6*AA$9</f>
        <v>0</v>
      </c>
      <c r="AC13" s="180" t="s">
        <v>406</v>
      </c>
      <c r="AD13" s="209">
        <f>AD10/AD8/AD9</f>
        <v>0.10443806620081986</v>
      </c>
      <c r="AE13" s="179" t="s">
        <v>407</v>
      </c>
    </row>
    <row r="14" spans="1:31" ht="15" customHeight="1" x14ac:dyDescent="0.25">
      <c r="A14" s="73" t="s">
        <v>408</v>
      </c>
      <c r="B14" s="10" t="s">
        <v>387</v>
      </c>
      <c r="C14" s="61">
        <v>41.7</v>
      </c>
      <c r="D14" s="57">
        <v>41.7</v>
      </c>
      <c r="E14" s="57">
        <f>(C14+D14)/2</f>
        <v>41.7</v>
      </c>
      <c r="F14" s="200">
        <v>99.6</v>
      </c>
      <c r="G14" t="s">
        <v>409</v>
      </c>
      <c r="H14" s="186" t="s">
        <v>379</v>
      </c>
      <c r="I14" s="57"/>
      <c r="J14" s="57"/>
      <c r="V14" s="188">
        <v>2E-3</v>
      </c>
      <c r="W14" s="188">
        <v>7.0000000000000001E-3</v>
      </c>
      <c r="X14" s="189">
        <v>0.02</v>
      </c>
      <c r="Y14" s="190">
        <v>5.0000000000000001E-3</v>
      </c>
      <c r="Z14" s="190">
        <v>0.01</v>
      </c>
      <c r="AA14" s="190">
        <v>0.02</v>
      </c>
      <c r="AC14" s="180" t="s">
        <v>410</v>
      </c>
      <c r="AD14" s="178">
        <v>21</v>
      </c>
      <c r="AE14" s="179" t="s">
        <v>411</v>
      </c>
    </row>
    <row r="15" spans="1:31" x14ac:dyDescent="0.25">
      <c r="A15" s="73" t="s">
        <v>412</v>
      </c>
      <c r="B15" s="10" t="s">
        <v>387</v>
      </c>
      <c r="C15" s="61"/>
      <c r="D15" s="57"/>
      <c r="F15" s="200">
        <v>72</v>
      </c>
      <c r="G15" t="s">
        <v>413</v>
      </c>
      <c r="H15" s="186" t="s">
        <v>379</v>
      </c>
      <c r="I15" s="57"/>
      <c r="J15" s="57"/>
      <c r="Q15" s="10" t="s">
        <v>414</v>
      </c>
      <c r="R15" s="10" t="s">
        <v>390</v>
      </c>
      <c r="S15" s="205">
        <v>1</v>
      </c>
      <c r="T15" s="206">
        <v>0</v>
      </c>
      <c r="U15" s="207">
        <v>0</v>
      </c>
      <c r="V15" s="198">
        <f>$V$7*V$14*$S$15+0.001*$V$7</f>
        <v>5.4705393222366484E-2</v>
      </c>
      <c r="W15" s="198">
        <f>$V$7*W$14*$S$15+0.001*$V$7</f>
        <v>0.14588104859297729</v>
      </c>
      <c r="X15" s="198">
        <f>$V$7*X$14*$S$15+0.001*$V$7</f>
        <v>0.38293775255656542</v>
      </c>
      <c r="Y15">
        <v>0</v>
      </c>
      <c r="Z15">
        <v>0</v>
      </c>
      <c r="AA15">
        <v>0</v>
      </c>
      <c r="AC15" s="180" t="s">
        <v>415</v>
      </c>
      <c r="AD15" s="178"/>
      <c r="AE15" s="179" t="s">
        <v>416</v>
      </c>
    </row>
    <row r="16" spans="1:31" x14ac:dyDescent="0.25">
      <c r="A16" s="73" t="s">
        <v>417</v>
      </c>
      <c r="B16" s="10" t="s">
        <v>387</v>
      </c>
      <c r="C16" s="61"/>
      <c r="D16" s="57"/>
      <c r="F16" s="200">
        <v>66</v>
      </c>
      <c r="G16" t="s">
        <v>418</v>
      </c>
      <c r="H16" s="186" t="s">
        <v>379</v>
      </c>
      <c r="I16" s="57"/>
      <c r="J16" s="57"/>
      <c r="Q16" s="16"/>
      <c r="R16" s="16" t="s">
        <v>394</v>
      </c>
      <c r="S16" s="205">
        <v>0.5</v>
      </c>
      <c r="T16" s="206">
        <v>0.5</v>
      </c>
      <c r="U16" s="207">
        <v>0</v>
      </c>
      <c r="V16" s="198">
        <f>$V$7*V$14*$S$16+0.001*$V$7</f>
        <v>3.6470262148244323E-2</v>
      </c>
      <c r="W16" s="198">
        <f>$V$7*W$14*$S$16+0.001*$V$7</f>
        <v>8.205808983354973E-2</v>
      </c>
      <c r="X16" s="198">
        <f>$V$7*X$14*$S$16+0.001*$V$7</f>
        <v>0.2005864418153438</v>
      </c>
      <c r="Y16" s="199">
        <f>($T$16)*$V$6*Y$14</f>
        <v>3.8249999999999999E-2</v>
      </c>
      <c r="Z16" s="199">
        <f>($T$16)*$V$6*Z$14</f>
        <v>7.6499999999999999E-2</v>
      </c>
      <c r="AA16" s="199">
        <f>($T$16)*$V$6*AA$14</f>
        <v>0.153</v>
      </c>
      <c r="AC16" s="180" t="s">
        <v>419</v>
      </c>
      <c r="AD16" s="178">
        <v>20</v>
      </c>
      <c r="AE16" s="179" t="s">
        <v>420</v>
      </c>
    </row>
    <row r="17" spans="1:31" x14ac:dyDescent="0.25">
      <c r="A17" s="210" t="s">
        <v>421</v>
      </c>
      <c r="B17" s="8" t="s">
        <v>387</v>
      </c>
      <c r="C17" s="211"/>
      <c r="D17" s="212"/>
      <c r="E17" s="13"/>
      <c r="F17" s="213">
        <v>61</v>
      </c>
      <c r="G17" t="s">
        <v>422</v>
      </c>
      <c r="H17" s="186" t="s">
        <v>379</v>
      </c>
      <c r="I17" s="57"/>
      <c r="J17" s="57"/>
      <c r="Q17" s="16"/>
      <c r="R17" s="16" t="s">
        <v>399</v>
      </c>
      <c r="S17" s="205">
        <v>0</v>
      </c>
      <c r="T17" s="206">
        <v>0.1</v>
      </c>
      <c r="U17" s="207">
        <v>0.9</v>
      </c>
      <c r="V17" s="198">
        <f>$V$7*V$14*$S$17+0.001*$V$7</f>
        <v>1.8235131074122161E-2</v>
      </c>
      <c r="W17" s="198">
        <f>$V$7*W$14*$S$17+0.001*$V$7</f>
        <v>1.8235131074122161E-2</v>
      </c>
      <c r="X17" s="198">
        <f>$V$7*X$14*$S$17+0.001*$V$7</f>
        <v>1.8235131074122161E-2</v>
      </c>
      <c r="Y17" s="199">
        <f>($T$17)*$V$6*Y$14</f>
        <v>7.6500000000000014E-3</v>
      </c>
      <c r="Z17" s="199">
        <f>($T$17)*$V$6*Z$14</f>
        <v>1.5300000000000003E-2</v>
      </c>
      <c r="AA17" s="199">
        <f>($T$17)*$V$6*AA$14</f>
        <v>3.0600000000000006E-2</v>
      </c>
      <c r="AC17" s="180" t="s">
        <v>423</v>
      </c>
      <c r="AD17" s="178">
        <f>AD16*1055*10^-3</f>
        <v>21.1</v>
      </c>
      <c r="AE17" s="179" t="s">
        <v>240</v>
      </c>
    </row>
    <row r="18" spans="1:31" x14ac:dyDescent="0.25">
      <c r="C18" s="57"/>
      <c r="D18" s="57"/>
      <c r="F18" s="57"/>
      <c r="H18" s="186"/>
      <c r="I18" s="57"/>
      <c r="J18" s="57"/>
      <c r="Q18" s="208"/>
      <c r="R18" s="208" t="s">
        <v>405</v>
      </c>
      <c r="S18" s="214">
        <v>0</v>
      </c>
      <c r="T18" s="215">
        <v>0</v>
      </c>
      <c r="U18" s="216">
        <v>1</v>
      </c>
      <c r="V18" s="198">
        <f>$V$7*V$14*$S$18+0.001*$V$7</f>
        <v>1.8235131074122161E-2</v>
      </c>
      <c r="W18" s="198">
        <f>$V$7*W$14*$S$18+0.001*$V$7</f>
        <v>1.8235131074122161E-2</v>
      </c>
      <c r="X18" s="198">
        <f>$V$7*X$14*$S$18+0.001*$V$7</f>
        <v>1.8235131074122161E-2</v>
      </c>
      <c r="Y18">
        <v>0</v>
      </c>
      <c r="Z18">
        <v>0</v>
      </c>
      <c r="AA18">
        <v>0</v>
      </c>
      <c r="AC18" s="180" t="s">
        <v>424</v>
      </c>
      <c r="AD18" s="178">
        <f>1/(AD8*AD17)</f>
        <v>9.1141086401749902E-4</v>
      </c>
      <c r="AE18" s="179" t="s">
        <v>425</v>
      </c>
    </row>
    <row r="19" spans="1:31" x14ac:dyDescent="0.25">
      <c r="C19" s="57"/>
      <c r="D19" s="57"/>
      <c r="F19" s="57"/>
      <c r="H19" s="186"/>
      <c r="I19" s="57"/>
      <c r="J19" s="57"/>
      <c r="V19" s="188">
        <v>1E-3</v>
      </c>
      <c r="W19" s="188">
        <v>3.0000000000000001E-3</v>
      </c>
      <c r="X19" s="188">
        <v>5.0000000000000001E-3</v>
      </c>
      <c r="AC19" s="180" t="s">
        <v>400</v>
      </c>
      <c r="AD19" s="178">
        <v>0.66200000000000003</v>
      </c>
      <c r="AE19" s="179" t="s">
        <v>426</v>
      </c>
    </row>
    <row r="20" spans="1:31" x14ac:dyDescent="0.25">
      <c r="C20" s="57"/>
      <c r="D20" s="57"/>
      <c r="F20" s="57"/>
      <c r="H20" s="186"/>
      <c r="I20" s="57"/>
      <c r="J20" s="57"/>
      <c r="Q20" t="s">
        <v>427</v>
      </c>
      <c r="V20">
        <f>R47</f>
        <v>6.9986433062480854E-2</v>
      </c>
      <c r="W20">
        <f>R48</f>
        <v>9.9454404878262279E-2</v>
      </c>
      <c r="X20">
        <f>W20</f>
        <v>9.9454404878262279E-2</v>
      </c>
      <c r="AC20" s="180" t="s">
        <v>428</v>
      </c>
      <c r="AD20" s="178">
        <v>31.536000000000001</v>
      </c>
      <c r="AE20" s="179" t="s">
        <v>429</v>
      </c>
    </row>
    <row r="21" spans="1:31" x14ac:dyDescent="0.25">
      <c r="C21" s="57"/>
      <c r="D21" s="57"/>
      <c r="F21" s="57"/>
      <c r="H21" s="186"/>
      <c r="I21" s="57"/>
      <c r="J21" s="57"/>
      <c r="Q21" t="s">
        <v>398</v>
      </c>
      <c r="V21">
        <f>V20</f>
        <v>6.9986433062480854E-2</v>
      </c>
      <c r="W21">
        <f>W20</f>
        <v>9.9454404878262279E-2</v>
      </c>
      <c r="X21">
        <f>W21</f>
        <v>9.9454404878262279E-2</v>
      </c>
      <c r="AC21" s="180" t="s">
        <v>430</v>
      </c>
      <c r="AD21" s="178">
        <f>AD11/'[9]MSW Source'!E62</f>
        <v>66.094195755779722</v>
      </c>
      <c r="AE21" s="179" t="s">
        <v>431</v>
      </c>
    </row>
    <row r="22" spans="1:31" x14ac:dyDescent="0.25">
      <c r="C22" s="57"/>
      <c r="D22" s="57"/>
      <c r="F22" s="57"/>
      <c r="H22" s="186"/>
      <c r="I22" s="57"/>
      <c r="J22" s="57"/>
      <c r="AC22" s="180" t="s">
        <v>432</v>
      </c>
      <c r="AD22" s="178">
        <v>5.8</v>
      </c>
      <c r="AE22" s="179" t="s">
        <v>240</v>
      </c>
    </row>
    <row r="23" spans="1:31" x14ac:dyDescent="0.25">
      <c r="C23" s="57"/>
      <c r="D23" s="57"/>
      <c r="F23" s="57"/>
      <c r="H23" s="186"/>
      <c r="I23" s="57"/>
      <c r="J23" s="57"/>
      <c r="AC23" s="180"/>
      <c r="AD23" s="178"/>
      <c r="AE23" s="179"/>
    </row>
    <row r="24" spans="1:31" x14ac:dyDescent="0.25">
      <c r="C24" s="57"/>
      <c r="D24" s="57"/>
      <c r="F24" s="57"/>
      <c r="H24" s="186"/>
      <c r="I24" s="57"/>
      <c r="J24" s="57"/>
    </row>
    <row r="25" spans="1:31" x14ac:dyDescent="0.25">
      <c r="C25" s="57"/>
      <c r="D25" s="57"/>
      <c r="F25" s="57"/>
      <c r="H25" s="186"/>
      <c r="I25" s="57"/>
      <c r="J25" s="57"/>
      <c r="V25" s="217"/>
      <c r="AC25" s="432" t="s">
        <v>433</v>
      </c>
      <c r="AD25" s="432"/>
      <c r="AE25" s="432"/>
    </row>
    <row r="26" spans="1:31" x14ac:dyDescent="0.25">
      <c r="C26" s="57"/>
      <c r="D26" s="57"/>
      <c r="F26" s="57"/>
      <c r="H26" s="186"/>
      <c r="I26" s="57"/>
      <c r="J26" s="57"/>
      <c r="AC26" s="173" t="s">
        <v>368</v>
      </c>
      <c r="AD26" s="174">
        <f>1/AD7</f>
        <v>18.235131074122162</v>
      </c>
      <c r="AE26" s="218" t="s">
        <v>369</v>
      </c>
    </row>
    <row r="27" spans="1:31" x14ac:dyDescent="0.25">
      <c r="C27" s="57"/>
      <c r="D27" s="57"/>
      <c r="F27" s="57"/>
      <c r="H27" s="186"/>
      <c r="I27" s="57"/>
      <c r="J27" s="57"/>
      <c r="AC27" s="173" t="s">
        <v>361</v>
      </c>
      <c r="AD27" s="218">
        <f>15.3*0.001*1000</f>
        <v>15.3</v>
      </c>
      <c r="AE27" s="218" t="s">
        <v>362</v>
      </c>
    </row>
    <row r="28" spans="1:31" x14ac:dyDescent="0.25">
      <c r="C28" s="57"/>
      <c r="D28" s="57"/>
      <c r="F28" s="57"/>
      <c r="H28" s="186"/>
      <c r="I28" s="57"/>
      <c r="J28" s="57"/>
      <c r="AC28" s="173" t="s">
        <v>434</v>
      </c>
      <c r="AD28" s="219">
        <f>20*0.001</f>
        <v>0.02</v>
      </c>
      <c r="AE28" s="218" t="s">
        <v>435</v>
      </c>
    </row>
    <row r="29" spans="1:31" x14ac:dyDescent="0.25">
      <c r="C29" s="57"/>
      <c r="D29" s="57"/>
      <c r="F29" s="57"/>
      <c r="H29" s="186"/>
      <c r="I29" s="57"/>
      <c r="J29" s="57"/>
      <c r="AC29" s="173" t="s">
        <v>436</v>
      </c>
      <c r="AD29" s="218">
        <f>12/16</f>
        <v>0.75</v>
      </c>
      <c r="AE29" s="218" t="s">
        <v>362</v>
      </c>
    </row>
    <row r="30" spans="1:31" x14ac:dyDescent="0.25">
      <c r="C30" s="57"/>
      <c r="D30" s="57"/>
    </row>
    <row r="31" spans="1:31" ht="18.75" customHeight="1" thickBot="1" x14ac:dyDescent="0.3">
      <c r="H31" s="428"/>
      <c r="I31" s="428"/>
      <c r="R31" t="s">
        <v>371</v>
      </c>
      <c r="S31" t="s">
        <v>371</v>
      </c>
      <c r="T31" t="s">
        <v>371</v>
      </c>
      <c r="U31" t="s">
        <v>372</v>
      </c>
      <c r="V31" t="s">
        <v>372</v>
      </c>
      <c r="W31" t="s">
        <v>372</v>
      </c>
    </row>
    <row r="32" spans="1:31" ht="17.25" customHeight="1" x14ac:dyDescent="0.25">
      <c r="L32" s="420" t="s">
        <v>437</v>
      </c>
      <c r="M32" s="429" t="s">
        <v>438</v>
      </c>
      <c r="N32" s="220" t="s">
        <v>439</v>
      </c>
      <c r="O32" s="221" t="s">
        <v>440</v>
      </c>
      <c r="P32" s="222" t="s">
        <v>439</v>
      </c>
      <c r="Q32" s="223" t="s">
        <v>440</v>
      </c>
      <c r="R32" s="420" t="s">
        <v>390</v>
      </c>
      <c r="S32" s="420" t="s">
        <v>394</v>
      </c>
      <c r="T32" s="420" t="s">
        <v>441</v>
      </c>
      <c r="U32" s="420" t="s">
        <v>390</v>
      </c>
      <c r="V32" s="420" t="s">
        <v>394</v>
      </c>
      <c r="W32" s="420" t="s">
        <v>441</v>
      </c>
    </row>
    <row r="33" spans="1:24" x14ac:dyDescent="0.25">
      <c r="A33" t="s">
        <v>442</v>
      </c>
      <c r="C33" t="s">
        <v>443</v>
      </c>
      <c r="D33" t="s">
        <v>443</v>
      </c>
      <c r="E33" t="s">
        <v>443</v>
      </c>
      <c r="F33" s="142" t="s">
        <v>444</v>
      </c>
      <c r="G33" s="142" t="s">
        <v>445</v>
      </c>
      <c r="H33" s="427" t="s">
        <v>446</v>
      </c>
      <c r="I33" s="427"/>
      <c r="J33" s="142" t="s">
        <v>444</v>
      </c>
      <c r="K33" t="s">
        <v>445</v>
      </c>
      <c r="L33" s="421"/>
      <c r="M33" s="430"/>
      <c r="N33" s="16"/>
      <c r="O33" s="73"/>
      <c r="P33" s="73"/>
      <c r="Q33" s="224"/>
      <c r="R33" s="421"/>
      <c r="S33" s="421"/>
      <c r="T33" s="421"/>
      <c r="U33" s="421"/>
      <c r="V33" s="421"/>
      <c r="W33" s="421"/>
    </row>
    <row r="34" spans="1:24" ht="15.75" thickBot="1" x14ac:dyDescent="0.3">
      <c r="A34" t="s">
        <v>447</v>
      </c>
      <c r="F34" s="142" t="s">
        <v>448</v>
      </c>
      <c r="G34" s="142" t="s">
        <v>449</v>
      </c>
      <c r="H34" s="142"/>
      <c r="I34" s="142"/>
      <c r="J34" s="142" t="s">
        <v>448</v>
      </c>
      <c r="K34" t="s">
        <v>448</v>
      </c>
      <c r="L34" s="422"/>
      <c r="M34" s="431"/>
      <c r="N34" s="225" t="s">
        <v>450</v>
      </c>
      <c r="O34" s="226" t="s">
        <v>450</v>
      </c>
      <c r="P34" s="95" t="s">
        <v>450</v>
      </c>
      <c r="Q34" s="227" t="s">
        <v>450</v>
      </c>
      <c r="R34" s="422"/>
      <c r="S34" s="422"/>
      <c r="T34" s="422"/>
      <c r="U34" s="422"/>
      <c r="V34" s="422"/>
      <c r="W34" s="422"/>
    </row>
    <row r="35" spans="1:24" ht="15.75" thickBot="1" x14ac:dyDescent="0.3">
      <c r="A35" s="228" t="s">
        <v>451</v>
      </c>
      <c r="B35" s="229" t="s">
        <v>340</v>
      </c>
      <c r="C35" s="230" t="s">
        <v>375</v>
      </c>
      <c r="D35" s="231" t="s">
        <v>376</v>
      </c>
      <c r="E35" s="8" t="s">
        <v>377</v>
      </c>
      <c r="F35" s="232">
        <v>0.9</v>
      </c>
      <c r="G35" s="232">
        <v>0.1</v>
      </c>
      <c r="H35" s="142"/>
      <c r="I35" s="142"/>
      <c r="J35" s="142"/>
      <c r="L35" s="233"/>
      <c r="M35" s="176"/>
      <c r="R35" s="234"/>
      <c r="S35" s="235"/>
      <c r="T35" s="236"/>
      <c r="U35" s="233"/>
      <c r="V35" s="233"/>
      <c r="W35" s="233"/>
    </row>
    <row r="36" spans="1:24" x14ac:dyDescent="0.25">
      <c r="A36" s="191" t="s">
        <v>452</v>
      </c>
      <c r="B36" s="107" t="s">
        <v>386</v>
      </c>
      <c r="C36" s="107">
        <v>0.9</v>
      </c>
      <c r="D36" s="15">
        <v>2.9</v>
      </c>
      <c r="E36" s="8">
        <f>AVERAGE(C36:D36)</f>
        <v>1.9</v>
      </c>
      <c r="F36">
        <f>D36*$F$35/25</f>
        <v>0.10439999999999999</v>
      </c>
      <c r="G36">
        <f>D36*$G$35</f>
        <v>0.28999999999999998</v>
      </c>
      <c r="H36" s="237">
        <f>F36*25+G36</f>
        <v>2.9</v>
      </c>
      <c r="I36" s="237"/>
      <c r="L36" s="423" t="str">
        <f>A36</f>
        <v>Well completion</v>
      </c>
      <c r="M36" s="222" t="str">
        <f>B36</f>
        <v>Stephenson et al. (2011)</v>
      </c>
      <c r="N36" s="222">
        <f>C36/25</f>
        <v>3.6000000000000004E-2</v>
      </c>
      <c r="O36" s="222">
        <f>(D36*90%)/25</f>
        <v>0.10439999999999999</v>
      </c>
      <c r="P36" s="238">
        <f>N36/18</f>
        <v>2E-3</v>
      </c>
      <c r="Q36" s="238">
        <f>O36/18</f>
        <v>5.7999999999999996E-3</v>
      </c>
      <c r="R36" s="222">
        <f t="shared" ref="R36:R41" si="0">$V$7*Q36*$S$10+1%*$V$7*Q36</f>
        <v>0.10682139783220762</v>
      </c>
      <c r="S36" s="239">
        <f t="shared" ref="S36:S41" si="1">Q36*$V$7*$S$11+1%*$V$7*Q36</f>
        <v>5.3939517717253353E-2</v>
      </c>
      <c r="T36" s="222">
        <f>Q36*$V$7*1%</f>
        <v>1.0576376022990853E-3</v>
      </c>
      <c r="U36" s="222">
        <f>Q36*$V$6*$T$10</f>
        <v>0</v>
      </c>
      <c r="V36" s="222">
        <f>$V$6*Q36*$T$11</f>
        <v>4.437E-2</v>
      </c>
      <c r="W36" s="223">
        <f>$T$13*Q36*$V$6</f>
        <v>0</v>
      </c>
      <c r="X36" t="s">
        <v>453</v>
      </c>
    </row>
    <row r="37" spans="1:24" ht="15" customHeight="1" x14ac:dyDescent="0.25">
      <c r="A37" s="73"/>
      <c r="B37" t="s">
        <v>454</v>
      </c>
      <c r="C37">
        <v>0.1</v>
      </c>
      <c r="D37" s="11">
        <v>9.1999999999999993</v>
      </c>
      <c r="E37" s="8">
        <f t="shared" ref="E37:E49" si="2">AVERAGE(C37:D37)</f>
        <v>4.6499999999999995</v>
      </c>
      <c r="F37">
        <f t="shared" ref="F37:F49" si="3">D37*90%/25</f>
        <v>0.33119999999999999</v>
      </c>
      <c r="G37">
        <f t="shared" ref="G37:G49" si="4">D37*10%</f>
        <v>0.91999999999999993</v>
      </c>
      <c r="H37" s="237">
        <f>F37*25+G37</f>
        <v>9.1999999999999993</v>
      </c>
      <c r="I37" s="237"/>
      <c r="L37" s="424"/>
      <c r="M37" t="str">
        <f t="shared" ref="M37:M45" si="5">B37</f>
        <v>Jiang et al. (2011)</v>
      </c>
      <c r="N37">
        <f t="shared" ref="N37:N45" si="6">C37/25</f>
        <v>4.0000000000000001E-3</v>
      </c>
      <c r="O37">
        <f t="shared" ref="O37:O48" si="7">(D37*90%)/25</f>
        <v>0.33119999999999999</v>
      </c>
      <c r="P37" s="240">
        <f t="shared" ref="P37:Q48" si="8">N37/18</f>
        <v>2.2222222222222223E-4</v>
      </c>
      <c r="Q37" s="240">
        <f>O37/18</f>
        <v>1.84E-2</v>
      </c>
      <c r="R37">
        <f t="shared" si="0"/>
        <v>0.33888167588148627</v>
      </c>
      <c r="S37" s="241">
        <f t="shared" si="1"/>
        <v>0.17111846999956237</v>
      </c>
      <c r="T37">
        <f t="shared" ref="T37:T45" si="9">Q37*$V$7*1%</f>
        <v>3.3552641176384781E-3</v>
      </c>
      <c r="U37">
        <f>Q37*$V$6*$T$10</f>
        <v>0</v>
      </c>
      <c r="V37">
        <f t="shared" ref="V37:V48" si="10">$AD$27*Q37*9%</f>
        <v>2.53368E-2</v>
      </c>
      <c r="W37" s="242">
        <f t="shared" ref="W37:W48" si="11">$T$13*Q37*$V$6</f>
        <v>0</v>
      </c>
    </row>
    <row r="38" spans="1:24" x14ac:dyDescent="0.25">
      <c r="A38" s="73"/>
      <c r="B38" t="s">
        <v>396</v>
      </c>
      <c r="D38" s="11">
        <v>7.8</v>
      </c>
      <c r="E38" s="8">
        <f t="shared" si="2"/>
        <v>7.8</v>
      </c>
      <c r="F38">
        <f>D38*90%/25</f>
        <v>0.28079999999999999</v>
      </c>
      <c r="G38">
        <f t="shared" si="4"/>
        <v>0.78</v>
      </c>
      <c r="H38" s="237">
        <f t="shared" ref="H38:H49" si="12">F38*25+G38</f>
        <v>7.8</v>
      </c>
      <c r="I38" s="237"/>
      <c r="L38" s="424"/>
      <c r="M38" t="str">
        <f t="shared" si="5"/>
        <v>Skone et al. (2011)</v>
      </c>
      <c r="N38">
        <f t="shared" si="6"/>
        <v>0</v>
      </c>
      <c r="O38">
        <f t="shared" si="7"/>
        <v>0.28079999999999999</v>
      </c>
      <c r="P38" s="240">
        <f t="shared" si="8"/>
        <v>0</v>
      </c>
      <c r="Q38" s="240">
        <f>O38/18</f>
        <v>1.5599999999999999E-2</v>
      </c>
      <c r="R38">
        <f t="shared" si="0"/>
        <v>0.28731272520386875</v>
      </c>
      <c r="S38" s="241">
        <f t="shared" si="1"/>
        <v>0.14507870282571592</v>
      </c>
      <c r="T38">
        <f t="shared" si="9"/>
        <v>2.8446804475630574E-3</v>
      </c>
      <c r="U38">
        <f t="shared" ref="U38:U48" si="13">Q38*$V$6*$T$10</f>
        <v>0</v>
      </c>
      <c r="V38">
        <f t="shared" si="10"/>
        <v>2.1481199999999999E-2</v>
      </c>
      <c r="W38" s="242">
        <f t="shared" si="11"/>
        <v>0</v>
      </c>
    </row>
    <row r="39" spans="1:24" x14ac:dyDescent="0.25">
      <c r="A39" s="243" t="s">
        <v>455</v>
      </c>
      <c r="B39" s="237" t="s">
        <v>408</v>
      </c>
      <c r="C39" s="237"/>
      <c r="D39" s="244">
        <v>23.4</v>
      </c>
      <c r="E39" s="245">
        <f t="shared" si="2"/>
        <v>23.4</v>
      </c>
      <c r="F39">
        <f t="shared" si="3"/>
        <v>0.84239999999999993</v>
      </c>
      <c r="G39">
        <f t="shared" si="4"/>
        <v>2.34</v>
      </c>
      <c r="H39" s="237">
        <f t="shared" si="12"/>
        <v>23.4</v>
      </c>
      <c r="I39" s="237"/>
      <c r="K39" s="237"/>
      <c r="L39" s="424"/>
      <c r="M39" t="str">
        <f t="shared" si="5"/>
        <v>Howarth et al. (2011)</v>
      </c>
      <c r="N39">
        <f t="shared" si="6"/>
        <v>0</v>
      </c>
      <c r="O39">
        <f t="shared" si="7"/>
        <v>0.84239999999999993</v>
      </c>
      <c r="P39" s="240">
        <f t="shared" si="8"/>
        <v>0</v>
      </c>
      <c r="Q39" s="240">
        <f>O39/18</f>
        <v>4.6799999999999994E-2</v>
      </c>
      <c r="R39">
        <f t="shared" si="0"/>
        <v>0.86193817561160624</v>
      </c>
      <c r="S39" s="241">
        <f t="shared" si="1"/>
        <v>0.43523610847714767</v>
      </c>
      <c r="T39">
        <f t="shared" si="9"/>
        <v>8.5340413426891713E-3</v>
      </c>
      <c r="U39">
        <f t="shared" si="13"/>
        <v>0</v>
      </c>
      <c r="V39">
        <f t="shared" si="10"/>
        <v>6.444359999999999E-2</v>
      </c>
      <c r="W39" s="242">
        <f t="shared" si="11"/>
        <v>0</v>
      </c>
    </row>
    <row r="40" spans="1:24" x14ac:dyDescent="0.25">
      <c r="A40" s="73"/>
      <c r="B40" t="s">
        <v>456</v>
      </c>
      <c r="D40" s="11">
        <v>17.899999999999999</v>
      </c>
      <c r="E40" s="8">
        <f t="shared" si="2"/>
        <v>17.899999999999999</v>
      </c>
      <c r="F40">
        <f t="shared" si="3"/>
        <v>0.64439999999999997</v>
      </c>
      <c r="G40">
        <f t="shared" si="4"/>
        <v>1.79</v>
      </c>
      <c r="H40" s="237">
        <f t="shared" si="12"/>
        <v>17.899999999999999</v>
      </c>
      <c r="I40" s="237"/>
      <c r="L40" s="424"/>
      <c r="M40" t="str">
        <f t="shared" si="5"/>
        <v>Lechtenbohmer et al. (2005)</v>
      </c>
      <c r="N40">
        <f t="shared" si="6"/>
        <v>0</v>
      </c>
      <c r="O40">
        <f t="shared" si="7"/>
        <v>0.64439999999999997</v>
      </c>
      <c r="P40" s="240">
        <f t="shared" si="8"/>
        <v>0</v>
      </c>
      <c r="Q40" s="240">
        <f>O40/18</f>
        <v>3.5799999999999998E-2</v>
      </c>
      <c r="R40">
        <f t="shared" si="0"/>
        <v>0.65934586937810913</v>
      </c>
      <c r="S40" s="241">
        <f t="shared" si="1"/>
        <v>0.3329370231513224</v>
      </c>
      <c r="T40">
        <f t="shared" si="9"/>
        <v>6.5281769245357337E-3</v>
      </c>
      <c r="U40">
        <f t="shared" si="13"/>
        <v>0</v>
      </c>
      <c r="V40">
        <f t="shared" si="10"/>
        <v>4.9296599999999996E-2</v>
      </c>
      <c r="W40" s="242">
        <f t="shared" si="11"/>
        <v>0</v>
      </c>
    </row>
    <row r="41" spans="1:24" ht="15.75" thickBot="1" x14ac:dyDescent="0.3">
      <c r="A41" s="210"/>
      <c r="B41" s="13" t="s">
        <v>457</v>
      </c>
      <c r="C41" s="13">
        <v>3</v>
      </c>
      <c r="D41" s="14">
        <v>16.899999999999999</v>
      </c>
      <c r="E41" s="8">
        <f t="shared" si="2"/>
        <v>9.9499999999999993</v>
      </c>
      <c r="F41">
        <f>D41*90%/25</f>
        <v>0.60839999999999994</v>
      </c>
      <c r="G41">
        <f t="shared" si="4"/>
        <v>1.69</v>
      </c>
      <c r="H41" s="237">
        <f t="shared" si="12"/>
        <v>16.899999999999999</v>
      </c>
      <c r="I41" s="237"/>
      <c r="L41" s="425"/>
      <c r="M41" s="95" t="str">
        <f t="shared" si="5"/>
        <v>Broderick et al. (2011)</v>
      </c>
      <c r="N41" s="95">
        <f t="shared" si="6"/>
        <v>0.12</v>
      </c>
      <c r="O41" s="95">
        <f t="shared" si="7"/>
        <v>0.60839999999999994</v>
      </c>
      <c r="P41" s="246">
        <f t="shared" si="8"/>
        <v>6.6666666666666662E-3</v>
      </c>
      <c r="Q41" s="246">
        <f>O41/18</f>
        <v>3.3799999999999997E-2</v>
      </c>
      <c r="R41" s="95">
        <f t="shared" si="0"/>
        <v>0.62251090460838232</v>
      </c>
      <c r="S41" s="247">
        <f t="shared" si="1"/>
        <v>0.31433718945571781</v>
      </c>
      <c r="T41" s="95">
        <f t="shared" si="9"/>
        <v>6.1634743030532903E-3</v>
      </c>
      <c r="U41" s="95">
        <f t="shared" si="13"/>
        <v>0</v>
      </c>
      <c r="V41" s="95">
        <f t="shared" si="10"/>
        <v>4.654259999999999E-2</v>
      </c>
      <c r="W41" s="227">
        <f t="shared" si="11"/>
        <v>0</v>
      </c>
    </row>
    <row r="42" spans="1:24" x14ac:dyDescent="0.25">
      <c r="A42" s="191" t="s">
        <v>458</v>
      </c>
      <c r="B42" s="107" t="s">
        <v>386</v>
      </c>
      <c r="C42" s="107"/>
      <c r="D42" s="15">
        <v>4.2</v>
      </c>
      <c r="E42" s="8">
        <f t="shared" si="2"/>
        <v>4.2</v>
      </c>
      <c r="F42">
        <f t="shared" si="3"/>
        <v>0.1512</v>
      </c>
      <c r="G42">
        <f t="shared" si="4"/>
        <v>0.42000000000000004</v>
      </c>
      <c r="H42" s="237">
        <f t="shared" si="12"/>
        <v>4.2</v>
      </c>
      <c r="I42" s="237"/>
      <c r="L42" s="423" t="s">
        <v>414</v>
      </c>
      <c r="M42" s="222" t="str">
        <f t="shared" si="5"/>
        <v>Stephenson et al. (2011)</v>
      </c>
      <c r="N42" s="222">
        <f t="shared" si="6"/>
        <v>0</v>
      </c>
      <c r="O42" s="222">
        <f t="shared" si="7"/>
        <v>0.1512</v>
      </c>
      <c r="P42" s="238">
        <f t="shared" si="8"/>
        <v>0</v>
      </c>
      <c r="Q42" s="238">
        <f t="shared" si="8"/>
        <v>8.3999999999999995E-3</v>
      </c>
      <c r="R42" s="222">
        <f t="shared" ref="R42:R48" si="14">$V$7*Q42+1%*$V$7*Q42</f>
        <v>0.15470685203285242</v>
      </c>
      <c r="S42" s="239">
        <f>Q42*$V$7+1%*$V$7*Q42</f>
        <v>0.15470685203285242</v>
      </c>
      <c r="T42" s="222">
        <f>Q42*$V$7*1%</f>
        <v>1.5317510102262617E-3</v>
      </c>
      <c r="U42" s="222">
        <f t="shared" si="13"/>
        <v>0</v>
      </c>
      <c r="V42" s="222">
        <f t="shared" si="10"/>
        <v>1.1566799999999999E-2</v>
      </c>
      <c r="W42" s="223">
        <f t="shared" si="11"/>
        <v>0</v>
      </c>
    </row>
    <row r="43" spans="1:24" x14ac:dyDescent="0.25">
      <c r="A43" s="73"/>
      <c r="B43" t="s">
        <v>396</v>
      </c>
      <c r="D43" s="11">
        <v>3.5</v>
      </c>
      <c r="E43" s="8">
        <f t="shared" si="2"/>
        <v>3.5</v>
      </c>
      <c r="F43">
        <f t="shared" si="3"/>
        <v>0.126</v>
      </c>
      <c r="G43">
        <f t="shared" si="4"/>
        <v>0.35000000000000003</v>
      </c>
      <c r="H43" s="237">
        <f t="shared" si="12"/>
        <v>3.5</v>
      </c>
      <c r="I43" s="237"/>
      <c r="L43" s="424"/>
      <c r="M43" t="str">
        <f t="shared" si="5"/>
        <v>Skone et al. (2011)</v>
      </c>
      <c r="N43">
        <f t="shared" si="6"/>
        <v>0</v>
      </c>
      <c r="O43">
        <f t="shared" si="7"/>
        <v>0.126</v>
      </c>
      <c r="P43" s="240">
        <f t="shared" si="8"/>
        <v>0</v>
      </c>
      <c r="Q43" s="240">
        <f t="shared" si="8"/>
        <v>7.0000000000000001E-3</v>
      </c>
      <c r="R43">
        <f t="shared" si="14"/>
        <v>0.12892237669404366</v>
      </c>
      <c r="S43" s="241">
        <f>Q43*$V$7+1%*$V$7*Q43</f>
        <v>0.12892237669404366</v>
      </c>
      <c r="T43">
        <f t="shared" si="9"/>
        <v>1.2764591751885514E-3</v>
      </c>
      <c r="U43">
        <f t="shared" si="13"/>
        <v>0</v>
      </c>
      <c r="V43">
        <f t="shared" si="10"/>
        <v>9.639E-3</v>
      </c>
      <c r="W43" s="242">
        <f t="shared" si="11"/>
        <v>0</v>
      </c>
    </row>
    <row r="44" spans="1:24" x14ac:dyDescent="0.25">
      <c r="A44" s="243" t="str">
        <f>A39</f>
        <v>to high ignored</v>
      </c>
      <c r="B44" s="237" t="s">
        <v>408</v>
      </c>
      <c r="C44" s="237"/>
      <c r="D44" s="244">
        <v>2.2000000000000002</v>
      </c>
      <c r="E44" s="245">
        <f t="shared" si="2"/>
        <v>2.2000000000000002</v>
      </c>
      <c r="F44">
        <f t="shared" si="3"/>
        <v>7.9200000000000007E-2</v>
      </c>
      <c r="G44">
        <f t="shared" si="4"/>
        <v>0.22000000000000003</v>
      </c>
      <c r="H44" s="237">
        <f t="shared" si="12"/>
        <v>2.2000000000000002</v>
      </c>
      <c r="I44" s="237"/>
      <c r="K44" s="237"/>
      <c r="L44" s="424"/>
      <c r="M44" t="str">
        <f t="shared" si="5"/>
        <v>Howarth et al. (2011)</v>
      </c>
      <c r="N44">
        <f t="shared" si="6"/>
        <v>0</v>
      </c>
      <c r="O44">
        <f t="shared" si="7"/>
        <v>7.9200000000000007E-2</v>
      </c>
      <c r="P44" s="240">
        <f t="shared" si="8"/>
        <v>0</v>
      </c>
      <c r="Q44" s="240">
        <f t="shared" si="8"/>
        <v>4.4000000000000003E-3</v>
      </c>
      <c r="R44">
        <f t="shared" si="14"/>
        <v>8.1036922493398889E-2</v>
      </c>
      <c r="S44" s="241">
        <f>Q44*$V$7+1%*$V$7*Q44</f>
        <v>8.1036922493398889E-2</v>
      </c>
      <c r="T44">
        <f t="shared" si="9"/>
        <v>8.0234576726137519E-4</v>
      </c>
      <c r="U44">
        <f t="shared" si="13"/>
        <v>0</v>
      </c>
      <c r="V44">
        <f t="shared" si="10"/>
        <v>6.0588000000000005E-3</v>
      </c>
      <c r="W44" s="242">
        <f t="shared" si="11"/>
        <v>0</v>
      </c>
    </row>
    <row r="45" spans="1:24" ht="15.75" thickBot="1" x14ac:dyDescent="0.3">
      <c r="A45" s="210"/>
      <c r="B45" s="13" t="s">
        <v>456</v>
      </c>
      <c r="C45" s="13"/>
      <c r="D45" s="14">
        <v>8.9</v>
      </c>
      <c r="E45" s="8">
        <f t="shared" si="2"/>
        <v>8.9</v>
      </c>
      <c r="F45">
        <f t="shared" si="3"/>
        <v>0.32040000000000002</v>
      </c>
      <c r="G45">
        <f t="shared" si="4"/>
        <v>0.89000000000000012</v>
      </c>
      <c r="H45" s="237">
        <f t="shared" si="12"/>
        <v>8.9</v>
      </c>
      <c r="I45" s="237"/>
      <c r="L45" s="425"/>
      <c r="M45" s="95" t="str">
        <f t="shared" si="5"/>
        <v>Lechtenbohmer et al. (2005)</v>
      </c>
      <c r="N45" s="95">
        <f t="shared" si="6"/>
        <v>0</v>
      </c>
      <c r="O45" s="95">
        <f t="shared" si="7"/>
        <v>0.32040000000000002</v>
      </c>
      <c r="P45" s="246">
        <f t="shared" si="8"/>
        <v>0</v>
      </c>
      <c r="Q45" s="246">
        <f t="shared" si="8"/>
        <v>1.78E-2</v>
      </c>
      <c r="R45">
        <f t="shared" si="14"/>
        <v>0.32783118645056825</v>
      </c>
      <c r="S45" s="241">
        <f>Q45*$V$7+1%*$V$7*Q45</f>
        <v>0.32783118645056825</v>
      </c>
      <c r="T45" s="95">
        <f t="shared" si="9"/>
        <v>3.2458533311937451E-3</v>
      </c>
      <c r="U45" s="95">
        <f>Q45*$V$6*$T$10</f>
        <v>0</v>
      </c>
      <c r="V45" s="95">
        <f t="shared" si="10"/>
        <v>2.45106E-2</v>
      </c>
      <c r="W45" s="227">
        <f t="shared" si="11"/>
        <v>0</v>
      </c>
    </row>
    <row r="46" spans="1:24" ht="15.75" thickBot="1" x14ac:dyDescent="0.3">
      <c r="A46" s="248" t="s">
        <v>459</v>
      </c>
      <c r="B46" s="249" t="s">
        <v>460</v>
      </c>
      <c r="C46" s="249"/>
      <c r="D46" s="250"/>
      <c r="E46" s="8"/>
      <c r="F46">
        <f t="shared" si="3"/>
        <v>0</v>
      </c>
      <c r="G46">
        <f t="shared" si="4"/>
        <v>0</v>
      </c>
      <c r="H46" s="237">
        <f t="shared" si="12"/>
        <v>0</v>
      </c>
      <c r="I46" s="237"/>
      <c r="L46" s="423" t="str">
        <f>A47</f>
        <v>Transport, storage and distribution</v>
      </c>
      <c r="M46" s="222" t="str">
        <f>B47</f>
        <v>Stephenson et al. (2011)</v>
      </c>
      <c r="N46" s="222">
        <f>C47/25</f>
        <v>0</v>
      </c>
      <c r="O46" s="222">
        <f t="shared" si="7"/>
        <v>0</v>
      </c>
      <c r="P46" s="238">
        <f t="shared" si="8"/>
        <v>0</v>
      </c>
      <c r="Q46" s="238">
        <f t="shared" si="8"/>
        <v>0</v>
      </c>
      <c r="R46" s="222">
        <f t="shared" si="14"/>
        <v>0</v>
      </c>
      <c r="S46" s="222">
        <f>$V$7*Q46+1%*$V$7*Q46</f>
        <v>0</v>
      </c>
      <c r="T46" s="222">
        <f>$V$7*Q46+1%*$V$7*Q46</f>
        <v>0</v>
      </c>
      <c r="U46" s="222">
        <f t="shared" si="13"/>
        <v>0</v>
      </c>
      <c r="V46" s="222">
        <f t="shared" si="10"/>
        <v>0</v>
      </c>
      <c r="W46" s="223">
        <f t="shared" si="11"/>
        <v>0</v>
      </c>
    </row>
    <row r="47" spans="1:24" ht="15.75" thickBot="1" x14ac:dyDescent="0.3">
      <c r="A47" s="73" t="s">
        <v>461</v>
      </c>
      <c r="B47" t="s">
        <v>386</v>
      </c>
      <c r="D47" s="11">
        <v>1.9</v>
      </c>
      <c r="E47" s="8">
        <f t="shared" si="2"/>
        <v>1.9</v>
      </c>
      <c r="F47">
        <f t="shared" si="3"/>
        <v>6.8400000000000002E-2</v>
      </c>
      <c r="G47">
        <f t="shared" si="4"/>
        <v>0.19</v>
      </c>
      <c r="H47" s="237">
        <f t="shared" si="12"/>
        <v>1.9</v>
      </c>
      <c r="I47" s="237"/>
      <c r="L47" s="424"/>
      <c r="M47" t="str">
        <f>B48</f>
        <v>Skone et al. (2011)</v>
      </c>
      <c r="N47">
        <f>C48/25</f>
        <v>0</v>
      </c>
      <c r="O47">
        <f t="shared" si="7"/>
        <v>6.8400000000000002E-2</v>
      </c>
      <c r="P47" s="240">
        <f t="shared" si="8"/>
        <v>0</v>
      </c>
      <c r="Q47" s="240">
        <f t="shared" si="8"/>
        <v>3.8E-3</v>
      </c>
      <c r="R47">
        <f t="shared" si="14"/>
        <v>6.9986433062480854E-2</v>
      </c>
      <c r="S47" s="222">
        <f>$V$7*Q47+1%*$V$7*Q47</f>
        <v>6.9986433062480854E-2</v>
      </c>
      <c r="T47" s="222">
        <f>$V$7*Q47+1%*$V$7*Q47</f>
        <v>6.9986433062480854E-2</v>
      </c>
      <c r="U47">
        <f t="shared" si="13"/>
        <v>0</v>
      </c>
      <c r="V47">
        <f t="shared" si="10"/>
        <v>5.2326000000000004E-3</v>
      </c>
      <c r="W47" s="242">
        <f t="shared" si="11"/>
        <v>0</v>
      </c>
    </row>
    <row r="48" spans="1:24" ht="15.75" thickBot="1" x14ac:dyDescent="0.3">
      <c r="A48" s="73"/>
      <c r="B48" t="s">
        <v>396</v>
      </c>
      <c r="D48" s="11">
        <v>2.7</v>
      </c>
      <c r="E48" s="8">
        <f t="shared" si="2"/>
        <v>2.7</v>
      </c>
      <c r="F48">
        <f t="shared" si="3"/>
        <v>9.7200000000000009E-2</v>
      </c>
      <c r="G48">
        <f t="shared" si="4"/>
        <v>0.27</v>
      </c>
      <c r="H48" s="237">
        <f t="shared" si="12"/>
        <v>2.7</v>
      </c>
      <c r="I48" s="237"/>
      <c r="L48" s="425"/>
      <c r="M48" s="95" t="str">
        <f>B49</f>
        <v>Howarth et al. (2011)</v>
      </c>
      <c r="N48" s="95">
        <f>C49/25</f>
        <v>0</v>
      </c>
      <c r="O48" s="95">
        <f t="shared" si="7"/>
        <v>9.7200000000000009E-2</v>
      </c>
      <c r="P48" s="246">
        <f t="shared" si="8"/>
        <v>0</v>
      </c>
      <c r="Q48" s="246">
        <f t="shared" si="8"/>
        <v>5.4000000000000003E-3</v>
      </c>
      <c r="R48">
        <f t="shared" si="14"/>
        <v>9.9454404878262279E-2</v>
      </c>
      <c r="S48" s="222">
        <f>$V$7*Q48+1%*$V$7*Q48</f>
        <v>9.9454404878262279E-2</v>
      </c>
      <c r="T48" s="222">
        <f>$V$7*Q48+1%*$V$7*Q48</f>
        <v>9.9454404878262279E-2</v>
      </c>
      <c r="U48" s="95">
        <f t="shared" si="13"/>
        <v>0</v>
      </c>
      <c r="V48" s="95">
        <f t="shared" si="10"/>
        <v>7.4358000000000011E-3</v>
      </c>
      <c r="W48" s="227">
        <f t="shared" si="11"/>
        <v>0</v>
      </c>
    </row>
    <row r="49" spans="1:18" x14ac:dyDescent="0.25">
      <c r="A49" s="251" t="s">
        <v>455</v>
      </c>
      <c r="B49" s="252" t="s">
        <v>408</v>
      </c>
      <c r="C49" s="252"/>
      <c r="D49" s="253">
        <v>16.2</v>
      </c>
      <c r="E49" s="245">
        <f t="shared" si="2"/>
        <v>16.2</v>
      </c>
      <c r="F49">
        <f t="shared" si="3"/>
        <v>0.58320000000000005</v>
      </c>
      <c r="G49">
        <f t="shared" si="4"/>
        <v>1.62</v>
      </c>
      <c r="H49" s="237">
        <f t="shared" si="12"/>
        <v>16.200000000000003</v>
      </c>
      <c r="I49" s="237"/>
      <c r="K49" s="237"/>
    </row>
    <row r="50" spans="1:18" x14ac:dyDescent="0.25">
      <c r="A50" t="s">
        <v>462</v>
      </c>
      <c r="O50" s="237"/>
      <c r="P50" s="237"/>
      <c r="R50" s="237"/>
    </row>
    <row r="52" spans="1:18" x14ac:dyDescent="0.25">
      <c r="A52" t="s">
        <v>463</v>
      </c>
    </row>
    <row r="53" spans="1:18" x14ac:dyDescent="0.25">
      <c r="A53" t="s">
        <v>464</v>
      </c>
      <c r="F53" t="s">
        <v>465</v>
      </c>
      <c r="G53" t="s">
        <v>466</v>
      </c>
      <c r="H53" t="s">
        <v>467</v>
      </c>
    </row>
    <row r="54" spans="1:18" x14ac:dyDescent="0.25">
      <c r="A54" t="s">
        <v>357</v>
      </c>
      <c r="B54" t="s">
        <v>468</v>
      </c>
      <c r="C54" s="254">
        <v>0.8</v>
      </c>
      <c r="F54" t="s">
        <v>469</v>
      </c>
      <c r="G54">
        <v>56</v>
      </c>
      <c r="H54">
        <f t="shared" ref="H54:H59" si="15">G54*10^9/10^9</f>
        <v>56</v>
      </c>
    </row>
    <row r="55" spans="1:18" x14ac:dyDescent="0.25">
      <c r="A55" t="s">
        <v>470</v>
      </c>
      <c r="B55" t="s">
        <v>372</v>
      </c>
      <c r="F55" t="s">
        <v>471</v>
      </c>
      <c r="G55">
        <v>77</v>
      </c>
      <c r="H55">
        <f t="shared" si="15"/>
        <v>77</v>
      </c>
    </row>
    <row r="56" spans="1:18" x14ac:dyDescent="0.25">
      <c r="A56" t="s">
        <v>472</v>
      </c>
      <c r="B56" t="s">
        <v>473</v>
      </c>
      <c r="F56" t="s">
        <v>474</v>
      </c>
      <c r="G56">
        <v>69</v>
      </c>
      <c r="H56">
        <f t="shared" si="15"/>
        <v>69</v>
      </c>
    </row>
    <row r="57" spans="1:18" x14ac:dyDescent="0.25">
      <c r="A57" t="s">
        <v>475</v>
      </c>
      <c r="B57" t="s">
        <v>476</v>
      </c>
      <c r="F57" t="s">
        <v>477</v>
      </c>
      <c r="G57">
        <v>74</v>
      </c>
      <c r="H57">
        <f t="shared" si="15"/>
        <v>74</v>
      </c>
    </row>
    <row r="58" spans="1:18" x14ac:dyDescent="0.25">
      <c r="A58" t="s">
        <v>478</v>
      </c>
      <c r="B58" t="s">
        <v>479</v>
      </c>
      <c r="F58" t="s">
        <v>480</v>
      </c>
      <c r="G58">
        <v>63</v>
      </c>
      <c r="H58">
        <f t="shared" si="15"/>
        <v>63</v>
      </c>
    </row>
    <row r="59" spans="1:18" x14ac:dyDescent="0.25">
      <c r="A59" t="s">
        <v>481</v>
      </c>
      <c r="B59" t="s">
        <v>482</v>
      </c>
      <c r="F59" t="s">
        <v>156</v>
      </c>
      <c r="G59">
        <v>96</v>
      </c>
      <c r="H59">
        <f t="shared" si="15"/>
        <v>96</v>
      </c>
    </row>
    <row r="60" spans="1:18" x14ac:dyDescent="0.25">
      <c r="A60" t="s">
        <v>483</v>
      </c>
      <c r="B60" t="s">
        <v>484</v>
      </c>
    </row>
    <row r="63" spans="1:18" x14ac:dyDescent="0.25">
      <c r="A63" t="s">
        <v>485</v>
      </c>
    </row>
    <row r="66" spans="1:7" x14ac:dyDescent="0.25">
      <c r="A66" s="255" t="s">
        <v>486</v>
      </c>
    </row>
    <row r="67" spans="1:7" x14ac:dyDescent="0.25">
      <c r="A67" t="s">
        <v>487</v>
      </c>
      <c r="D67" t="str">
        <f>AC12</f>
        <v>1 m3 CH4 =</v>
      </c>
      <c r="E67" s="256">
        <f>AD19</f>
        <v>0.66200000000000003</v>
      </c>
      <c r="F67" s="256" t="str">
        <f>AE19</f>
        <v>kg CH4</v>
      </c>
    </row>
    <row r="68" spans="1:7" x14ac:dyDescent="0.25">
      <c r="A68" s="257" t="s">
        <v>488</v>
      </c>
      <c r="B68" s="57">
        <v>1333</v>
      </c>
      <c r="C68" t="s">
        <v>489</v>
      </c>
      <c r="D68" t="s">
        <v>490</v>
      </c>
      <c r="E68">
        <f>0.77*0.662</f>
        <v>0.50974000000000008</v>
      </c>
      <c r="F68" s="256" t="s">
        <v>491</v>
      </c>
    </row>
    <row r="69" spans="1:7" x14ac:dyDescent="0.25">
      <c r="A69">
        <f>B69/$B$68</f>
        <v>5.7764441110277572E-4</v>
      </c>
      <c r="B69">
        <v>0.77</v>
      </c>
      <c r="C69" t="s">
        <v>489</v>
      </c>
      <c r="D69" t="str">
        <f>D67</f>
        <v>1 m3 CH4 =</v>
      </c>
      <c r="E69" s="256">
        <f>AD12</f>
        <v>37</v>
      </c>
      <c r="F69" t="s">
        <v>401</v>
      </c>
      <c r="G69">
        <f>1/37</f>
        <v>2.7027027027027029E-2</v>
      </c>
    </row>
    <row r="70" spans="1:7" x14ac:dyDescent="0.25">
      <c r="A70">
        <f>B70/$B$68</f>
        <v>1.350337584396099E-4</v>
      </c>
      <c r="B70">
        <v>0.18</v>
      </c>
      <c r="C70" t="s">
        <v>489</v>
      </c>
      <c r="D70" t="str">
        <f>D68</f>
        <v xml:space="preserve">0.77 m3 CH4 = </v>
      </c>
      <c r="E70">
        <f>E68/(1000*1000)</f>
        <v>5.0974000000000012E-7</v>
      </c>
      <c r="F70" t="s">
        <v>492</v>
      </c>
    </row>
    <row r="71" spans="1:7" x14ac:dyDescent="0.25">
      <c r="D71" t="str">
        <f>D69</f>
        <v>1 m3 CH4 =</v>
      </c>
      <c r="E71">
        <f>E70/(0.0243/1000)</f>
        <v>2.0976954732510295E-2</v>
      </c>
      <c r="G71">
        <f>E70/(0.0243/1000)</f>
        <v>2.0976954732510295E-2</v>
      </c>
    </row>
    <row r="72" spans="1:7" x14ac:dyDescent="0.25">
      <c r="A72" t="s">
        <v>493</v>
      </c>
    </row>
    <row r="73" spans="1:7" x14ac:dyDescent="0.25">
      <c r="A73">
        <f>A69*1000/(0.0243*1000)</f>
        <v>2.3771374942501061E-2</v>
      </c>
      <c r="B73" t="s">
        <v>450</v>
      </c>
      <c r="F73">
        <v>24.3</v>
      </c>
      <c r="G73" t="s">
        <v>494</v>
      </c>
    </row>
    <row r="78" spans="1:7" x14ac:dyDescent="0.25">
      <c r="A78" s="26" t="s">
        <v>495</v>
      </c>
    </row>
    <row r="79" spans="1:7" x14ac:dyDescent="0.25">
      <c r="A79" s="8" t="s">
        <v>496</v>
      </c>
      <c r="B79" s="8" t="s">
        <v>497</v>
      </c>
      <c r="C79" s="8" t="s">
        <v>498</v>
      </c>
      <c r="D79" s="426" t="s">
        <v>499</v>
      </c>
      <c r="E79" s="426"/>
    </row>
    <row r="80" spans="1:7" x14ac:dyDescent="0.25">
      <c r="A80" s="8">
        <v>2000</v>
      </c>
      <c r="B80" s="8">
        <v>152430357</v>
      </c>
      <c r="C80" s="8">
        <v>135174090</v>
      </c>
      <c r="D80" s="259">
        <f>B80/(SUM($B$80:$C$80))</f>
        <v>0.53000000031292982</v>
      </c>
      <c r="E80" s="259">
        <f>C80/(SUM($B$80:$C$80))</f>
        <v>0.46999999968707018</v>
      </c>
    </row>
    <row r="81" spans="1:5" x14ac:dyDescent="0.25">
      <c r="A81" s="8">
        <v>2001</v>
      </c>
      <c r="B81" s="8">
        <v>151473376</v>
      </c>
      <c r="C81" s="8">
        <v>134325446</v>
      </c>
      <c r="D81" s="259">
        <f>B81/(SUM($B$81:$C$81))</f>
        <v>0.53000000118964796</v>
      </c>
      <c r="E81" s="259">
        <f>C81/(SUM($B$81:$C$81))</f>
        <v>0.46999999881035198</v>
      </c>
    </row>
    <row r="82" spans="1:5" x14ac:dyDescent="0.25">
      <c r="A82" s="8">
        <v>2002</v>
      </c>
      <c r="B82" s="8">
        <v>149287553</v>
      </c>
      <c r="C82" s="8">
        <v>132387075</v>
      </c>
      <c r="D82" s="259">
        <f>B82/(SUM($B$82:$C$82))</f>
        <v>0.53000000056803132</v>
      </c>
      <c r="E82" s="259">
        <f>C82/(SUM($B$82:$C$82))</f>
        <v>0.46999999943196874</v>
      </c>
    </row>
    <row r="98" spans="1:11" x14ac:dyDescent="0.25">
      <c r="A98" s="260" t="s">
        <v>433</v>
      </c>
      <c r="B98" s="261" t="s">
        <v>500</v>
      </c>
    </row>
    <row r="99" spans="1:11" x14ac:dyDescent="0.25">
      <c r="A99" s="262" t="s">
        <v>501</v>
      </c>
      <c r="C99" s="261"/>
    </row>
    <row r="100" spans="1:11" x14ac:dyDescent="0.25">
      <c r="A100" s="261"/>
    </row>
    <row r="101" spans="1:11" ht="15.75" thickBot="1" x14ac:dyDescent="0.3">
      <c r="A101" s="263" t="s">
        <v>502</v>
      </c>
      <c r="F101" t="s">
        <v>503</v>
      </c>
    </row>
    <row r="102" spans="1:11" ht="36" thickBot="1" x14ac:dyDescent="0.3">
      <c r="A102" s="264" t="s">
        <v>504</v>
      </c>
      <c r="B102" s="265" t="s">
        <v>505</v>
      </c>
      <c r="C102" s="265" t="s">
        <v>506</v>
      </c>
      <c r="D102" s="265" t="s">
        <v>507</v>
      </c>
      <c r="E102" s="265" t="s">
        <v>508</v>
      </c>
    </row>
    <row r="103" spans="1:11" ht="15.75" thickBot="1" x14ac:dyDescent="0.3">
      <c r="A103" s="415" t="s">
        <v>509</v>
      </c>
      <c r="B103" s="266" t="s">
        <v>510</v>
      </c>
      <c r="C103" s="417" t="s">
        <v>511</v>
      </c>
      <c r="D103" s="266">
        <v>0.77</v>
      </c>
      <c r="E103" s="266">
        <v>18</v>
      </c>
    </row>
    <row r="104" spans="1:11" ht="23.25" thickBot="1" x14ac:dyDescent="0.3">
      <c r="A104" s="416"/>
      <c r="B104" s="266" t="s">
        <v>512</v>
      </c>
      <c r="C104" s="418"/>
      <c r="D104" s="266">
        <v>0.18</v>
      </c>
      <c r="E104" s="266">
        <v>2.5</v>
      </c>
      <c r="K104">
        <f>0.77/0.0243</f>
        <v>31.68724279835391</v>
      </c>
    </row>
    <row r="105" spans="1:11" ht="15.75" thickBot="1" x14ac:dyDescent="0.3">
      <c r="A105" s="415" t="s">
        <v>513</v>
      </c>
      <c r="B105" s="266" t="s">
        <v>514</v>
      </c>
      <c r="C105" s="418"/>
      <c r="D105" s="266">
        <v>0</v>
      </c>
      <c r="E105" s="266">
        <v>1.2</v>
      </c>
    </row>
    <row r="106" spans="1:11" ht="15.75" thickBot="1" x14ac:dyDescent="0.3">
      <c r="A106" s="416"/>
      <c r="B106" s="266" t="s">
        <v>515</v>
      </c>
      <c r="C106" s="419"/>
      <c r="D106" s="266">
        <v>0</v>
      </c>
      <c r="E106" s="266">
        <v>0.1</v>
      </c>
    </row>
    <row r="107" spans="1:11" ht="15.75" thickBot="1" x14ac:dyDescent="0.3">
      <c r="A107" s="415" t="s">
        <v>509</v>
      </c>
      <c r="B107" s="266" t="s">
        <v>514</v>
      </c>
      <c r="C107" s="417" t="s">
        <v>516</v>
      </c>
      <c r="D107" s="266">
        <v>7.6999999999999999E-2</v>
      </c>
      <c r="E107" s="266" t="s">
        <v>517</v>
      </c>
    </row>
    <row r="108" spans="1:11" ht="15.75" thickBot="1" x14ac:dyDescent="0.3">
      <c r="A108" s="416"/>
      <c r="B108" s="266" t="s">
        <v>515</v>
      </c>
      <c r="C108" s="418"/>
      <c r="D108" s="266">
        <v>1.7999999999999999E-2</v>
      </c>
      <c r="E108" s="266" t="s">
        <v>517</v>
      </c>
    </row>
    <row r="109" spans="1:11" ht="15.75" thickBot="1" x14ac:dyDescent="0.3">
      <c r="A109" s="415" t="s">
        <v>513</v>
      </c>
      <c r="B109" s="266" t="s">
        <v>514</v>
      </c>
      <c r="C109" s="418"/>
      <c r="D109" s="266">
        <v>0</v>
      </c>
      <c r="E109" s="266" t="s">
        <v>517</v>
      </c>
    </row>
    <row r="110" spans="1:11" ht="15.75" thickBot="1" x14ac:dyDescent="0.3">
      <c r="A110" s="416"/>
      <c r="B110" s="266" t="s">
        <v>515</v>
      </c>
      <c r="C110" s="419"/>
      <c r="D110" s="266">
        <v>0</v>
      </c>
      <c r="E110" s="266" t="s">
        <v>517</v>
      </c>
    </row>
    <row r="112" spans="1:11" x14ac:dyDescent="0.25">
      <c r="A112" s="262" t="s">
        <v>501</v>
      </c>
    </row>
    <row r="113" spans="1:22" x14ac:dyDescent="0.25">
      <c r="A113" s="261" t="s">
        <v>518</v>
      </c>
    </row>
    <row r="116" spans="1:22" x14ac:dyDescent="0.25">
      <c r="A116" s="261" t="s">
        <v>500</v>
      </c>
      <c r="R116" s="261" t="s">
        <v>519</v>
      </c>
    </row>
    <row r="117" spans="1:22" ht="15.75" thickBot="1" x14ac:dyDescent="0.3">
      <c r="A117" t="s">
        <v>520</v>
      </c>
      <c r="H117" t="s">
        <v>521</v>
      </c>
      <c r="N117">
        <f>0.0243/1000</f>
        <v>2.4299999999999998E-5</v>
      </c>
    </row>
    <row r="118" spans="1:22" x14ac:dyDescent="0.25">
      <c r="A118" s="267" t="s">
        <v>522</v>
      </c>
      <c r="B118" s="268" t="s">
        <v>523</v>
      </c>
      <c r="C118" s="268" t="s">
        <v>524</v>
      </c>
      <c r="D118" s="268" t="s">
        <v>525</v>
      </c>
      <c r="E118" s="268" t="s">
        <v>526</v>
      </c>
      <c r="F118" s="267" t="s">
        <v>527</v>
      </c>
      <c r="G118" s="268" t="s">
        <v>528</v>
      </c>
      <c r="H118" s="269" t="s">
        <v>529</v>
      </c>
      <c r="I118" s="269" t="s">
        <v>530</v>
      </c>
      <c r="J118" s="269" t="s">
        <v>531</v>
      </c>
      <c r="K118" s="269" t="s">
        <v>532</v>
      </c>
      <c r="L118" s="269" t="s">
        <v>533</v>
      </c>
      <c r="M118" s="269" t="s">
        <v>534</v>
      </c>
      <c r="N118" s="269" t="s">
        <v>535</v>
      </c>
      <c r="O118" s="269" t="s">
        <v>536</v>
      </c>
      <c r="Q118">
        <f>0.77*10%</f>
        <v>7.7000000000000013E-2</v>
      </c>
      <c r="R118" s="26" t="s">
        <v>537</v>
      </c>
      <c r="S118" s="26" t="s">
        <v>538</v>
      </c>
      <c r="T118" s="26" t="s">
        <v>539</v>
      </c>
      <c r="U118" s="26" t="s">
        <v>540</v>
      </c>
      <c r="V118" s="26">
        <v>2017</v>
      </c>
    </row>
    <row r="119" spans="1:22" x14ac:dyDescent="0.25">
      <c r="A119" s="270">
        <v>2000</v>
      </c>
      <c r="B119" s="271">
        <v>152430357</v>
      </c>
      <c r="C119" s="271">
        <v>135174090</v>
      </c>
      <c r="D119" s="272">
        <f t="shared" ref="D119:E129" si="16">B119/$F119</f>
        <v>0.53000000031292982</v>
      </c>
      <c r="E119" s="272">
        <f t="shared" si="16"/>
        <v>0.46999999968707018</v>
      </c>
      <c r="F119" s="273">
        <f t="shared" ref="F119:F129" si="17">B119+C119</f>
        <v>287604447</v>
      </c>
      <c r="G119" s="272" t="s">
        <v>541</v>
      </c>
      <c r="H119">
        <v>24</v>
      </c>
      <c r="I119">
        <f>1979</f>
        <v>1979</v>
      </c>
      <c r="J119">
        <f>H119+I119</f>
        <v>2003</v>
      </c>
      <c r="K119">
        <f>I119/25</f>
        <v>79.16</v>
      </c>
      <c r="L119">
        <f>H119/F119</f>
        <v>8.3447944739185486E-8</v>
      </c>
      <c r="M119">
        <f>L119/0.0000243</f>
        <v>3.4340717999664806E-3</v>
      </c>
      <c r="N119">
        <f>(K119/F119)/$N$117</f>
        <v>1.1326713486889442E-2</v>
      </c>
      <c r="R119" t="s">
        <v>542</v>
      </c>
      <c r="S119" t="s">
        <v>543</v>
      </c>
      <c r="U119" t="s">
        <v>544</v>
      </c>
      <c r="V119" s="274">
        <v>118761000</v>
      </c>
    </row>
    <row r="120" spans="1:22" x14ac:dyDescent="0.25">
      <c r="A120" s="270">
        <v>2001</v>
      </c>
      <c r="B120" s="271">
        <v>151473376</v>
      </c>
      <c r="C120" s="271">
        <v>134325446</v>
      </c>
      <c r="D120" s="272">
        <f t="shared" si="16"/>
        <v>0.53000000118964796</v>
      </c>
      <c r="E120" s="272">
        <f t="shared" si="16"/>
        <v>0.46999999881035198</v>
      </c>
      <c r="F120" s="273">
        <f t="shared" si="17"/>
        <v>285798822</v>
      </c>
      <c r="G120" s="272">
        <f t="shared" ref="G120:G129" si="18">(F120/F119)-1</f>
        <v>-6.27815396748721E-3</v>
      </c>
      <c r="H120">
        <v>23</v>
      </c>
      <c r="I120">
        <v>1966</v>
      </c>
      <c r="J120">
        <f t="shared" ref="J120:J129" si="19">H120+I120</f>
        <v>1989</v>
      </c>
      <c r="K120">
        <f t="shared" ref="K120:K129" si="20">I120/25</f>
        <v>78.64</v>
      </c>
      <c r="L120">
        <f t="shared" ref="L120:L129" si="21">H120/F120</f>
        <v>8.0476188946643035E-8</v>
      </c>
      <c r="M120">
        <f t="shared" ref="M120:M129" si="22">L120/0.0000243</f>
        <v>3.3117773229071204E-3</v>
      </c>
      <c r="N120">
        <f t="shared" ref="N120:N129" si="23">(K120/F120)/$N$117</f>
        <v>1.1323398637974607E-2</v>
      </c>
      <c r="R120" t="s">
        <v>545</v>
      </c>
      <c r="S120" t="s">
        <v>543</v>
      </c>
      <c r="U120" t="s">
        <v>544</v>
      </c>
      <c r="V120" s="274">
        <v>134699500</v>
      </c>
    </row>
    <row r="121" spans="1:22" x14ac:dyDescent="0.25">
      <c r="A121" s="270">
        <v>2002</v>
      </c>
      <c r="B121" s="271">
        <v>149287553</v>
      </c>
      <c r="C121" s="271">
        <v>132387075</v>
      </c>
      <c r="D121" s="272">
        <f t="shared" si="16"/>
        <v>0.53000000056803132</v>
      </c>
      <c r="E121" s="272">
        <f t="shared" si="16"/>
        <v>0.46999999943196874</v>
      </c>
      <c r="F121" s="273">
        <f t="shared" si="17"/>
        <v>281674628</v>
      </c>
      <c r="G121" s="272">
        <f t="shared" si="18"/>
        <v>-1.4430409373765718E-2</v>
      </c>
      <c r="H121">
        <v>23</v>
      </c>
      <c r="I121">
        <v>1938</v>
      </c>
      <c r="J121">
        <f t="shared" si="19"/>
        <v>1961</v>
      </c>
      <c r="K121">
        <f t="shared" si="20"/>
        <v>77.52</v>
      </c>
      <c r="L121">
        <f t="shared" si="21"/>
        <v>8.1654496762129393E-8</v>
      </c>
      <c r="M121">
        <f t="shared" si="22"/>
        <v>3.3602673564662299E-3</v>
      </c>
      <c r="N121">
        <f t="shared" si="23"/>
        <v>1.1325561977098355E-2</v>
      </c>
      <c r="R121" t="s">
        <v>546</v>
      </c>
      <c r="U121" t="s">
        <v>547</v>
      </c>
      <c r="V121" s="275">
        <f>SUM(V119:V120)/1000000</f>
        <v>253.4605</v>
      </c>
    </row>
    <row r="122" spans="1:22" x14ac:dyDescent="0.25">
      <c r="A122" s="270">
        <v>2003</v>
      </c>
      <c r="B122" s="271">
        <v>161217666</v>
      </c>
      <c r="C122" s="271">
        <v>142966609</v>
      </c>
      <c r="D122" s="272">
        <f t="shared" si="16"/>
        <v>0.53000000082187027</v>
      </c>
      <c r="E122" s="272">
        <f t="shared" si="16"/>
        <v>0.46999999917812979</v>
      </c>
      <c r="F122" s="273">
        <f t="shared" si="17"/>
        <v>304184275</v>
      </c>
      <c r="G122" s="272">
        <f t="shared" si="18"/>
        <v>7.9913647742529292E-2</v>
      </c>
      <c r="H122">
        <v>25</v>
      </c>
      <c r="I122">
        <v>2093</v>
      </c>
      <c r="J122">
        <f t="shared" si="19"/>
        <v>2118</v>
      </c>
      <c r="K122">
        <f t="shared" si="20"/>
        <v>83.72</v>
      </c>
      <c r="L122">
        <f t="shared" si="21"/>
        <v>8.2187022981381922E-8</v>
      </c>
      <c r="M122">
        <f t="shared" si="22"/>
        <v>3.382182015694729E-3</v>
      </c>
      <c r="N122">
        <f t="shared" si="23"/>
        <v>1.1326251134158511E-2</v>
      </c>
      <c r="R122" t="s">
        <v>548</v>
      </c>
      <c r="S122" t="s">
        <v>549</v>
      </c>
      <c r="T122" t="s">
        <v>372</v>
      </c>
      <c r="U122" t="s">
        <v>550</v>
      </c>
      <c r="V122" s="276">
        <v>16.853492271</v>
      </c>
    </row>
    <row r="123" spans="1:22" x14ac:dyDescent="0.25">
      <c r="A123" s="270">
        <v>2004</v>
      </c>
      <c r="B123" s="271">
        <v>164944899</v>
      </c>
      <c r="C123" s="271">
        <v>146271891</v>
      </c>
      <c r="D123" s="272">
        <f t="shared" si="16"/>
        <v>0.53000000096395827</v>
      </c>
      <c r="E123" s="272">
        <f t="shared" si="16"/>
        <v>0.46999999903604173</v>
      </c>
      <c r="F123" s="273">
        <f t="shared" si="17"/>
        <v>311216790</v>
      </c>
      <c r="G123" s="272">
        <f t="shared" si="18"/>
        <v>2.3119258876876492E-2</v>
      </c>
      <c r="H123">
        <v>25</v>
      </c>
      <c r="I123">
        <v>2141</v>
      </c>
      <c r="J123">
        <f t="shared" si="19"/>
        <v>2166</v>
      </c>
      <c r="K123">
        <f t="shared" si="20"/>
        <v>85.64</v>
      </c>
      <c r="L123">
        <f t="shared" si="21"/>
        <v>8.032985623944004E-8</v>
      </c>
      <c r="M123">
        <f t="shared" si="22"/>
        <v>3.3057554008000013E-3</v>
      </c>
      <c r="N123">
        <f t="shared" si="23"/>
        <v>1.1324195700980486E-2</v>
      </c>
      <c r="R123" t="s">
        <v>551</v>
      </c>
      <c r="S123" t="s">
        <v>549</v>
      </c>
      <c r="T123" t="s">
        <v>372</v>
      </c>
      <c r="U123" t="s">
        <v>550</v>
      </c>
      <c r="V123" s="276">
        <v>3.9397774139999999</v>
      </c>
    </row>
    <row r="124" spans="1:22" x14ac:dyDescent="0.25">
      <c r="A124" s="270">
        <v>2005</v>
      </c>
      <c r="B124" s="271">
        <v>166040627</v>
      </c>
      <c r="C124" s="271">
        <v>147243575</v>
      </c>
      <c r="D124" s="272">
        <f t="shared" si="16"/>
        <v>0.52999999980848056</v>
      </c>
      <c r="E124" s="272">
        <f t="shared" si="16"/>
        <v>0.47000000019151938</v>
      </c>
      <c r="F124" s="273">
        <f t="shared" si="17"/>
        <v>313284202</v>
      </c>
      <c r="G124" s="272">
        <f t="shared" si="18"/>
        <v>6.642996349907726E-3</v>
      </c>
      <c r="H124">
        <v>26</v>
      </c>
      <c r="I124">
        <v>2156</v>
      </c>
      <c r="J124">
        <f t="shared" si="19"/>
        <v>2182</v>
      </c>
      <c r="K124">
        <f t="shared" si="20"/>
        <v>86.24</v>
      </c>
      <c r="L124">
        <f t="shared" si="21"/>
        <v>8.2991736685145709E-8</v>
      </c>
      <c r="M124">
        <f t="shared" si="22"/>
        <v>3.4152978059730742E-3</v>
      </c>
      <c r="N124">
        <f t="shared" si="23"/>
        <v>1.1328280107196845E-2</v>
      </c>
      <c r="R124" t="s">
        <v>548</v>
      </c>
      <c r="S124" t="s">
        <v>552</v>
      </c>
      <c r="T124" t="s">
        <v>371</v>
      </c>
      <c r="U124" t="s">
        <v>553</v>
      </c>
      <c r="V124" s="276">
        <v>61.268799900000005</v>
      </c>
    </row>
    <row r="125" spans="1:22" x14ac:dyDescent="0.25">
      <c r="A125" s="270">
        <v>2006</v>
      </c>
      <c r="B125" s="271">
        <v>165935025</v>
      </c>
      <c r="C125" s="271">
        <v>147149928</v>
      </c>
      <c r="D125" s="272">
        <f t="shared" si="16"/>
        <v>0.52999999971253808</v>
      </c>
      <c r="E125" s="272">
        <f t="shared" si="16"/>
        <v>0.47000000028746192</v>
      </c>
      <c r="F125" s="273">
        <f t="shared" si="17"/>
        <v>313084953</v>
      </c>
      <c r="G125" s="272">
        <f t="shared" si="18"/>
        <v>-6.3600079010683874E-4</v>
      </c>
      <c r="H125">
        <v>26</v>
      </c>
      <c r="I125">
        <v>2154</v>
      </c>
      <c r="J125">
        <f t="shared" si="19"/>
        <v>2180</v>
      </c>
      <c r="K125">
        <f t="shared" si="20"/>
        <v>86.16</v>
      </c>
      <c r="L125">
        <f t="shared" si="21"/>
        <v>8.3044553086522807E-8</v>
      </c>
      <c r="M125">
        <f t="shared" si="22"/>
        <v>3.4174713204330374E-3</v>
      </c>
      <c r="N125">
        <f t="shared" si="23"/>
        <v>1.1324974191096559E-2</v>
      </c>
      <c r="R125" t="s">
        <v>551</v>
      </c>
      <c r="S125" t="s">
        <v>552</v>
      </c>
      <c r="T125" t="s">
        <v>371</v>
      </c>
      <c r="U125" t="s">
        <v>553</v>
      </c>
      <c r="V125" s="276">
        <v>14.322576600000001</v>
      </c>
    </row>
    <row r="126" spans="1:22" x14ac:dyDescent="0.25">
      <c r="A126" s="270">
        <v>2007</v>
      </c>
      <c r="B126" s="271">
        <v>167855716</v>
      </c>
      <c r="C126" s="271">
        <v>148853182</v>
      </c>
      <c r="D126" s="272">
        <f t="shared" si="16"/>
        <v>0.53000000018944837</v>
      </c>
      <c r="E126" s="272">
        <f t="shared" si="16"/>
        <v>0.46999999981055157</v>
      </c>
      <c r="F126" s="273">
        <f t="shared" si="17"/>
        <v>316708898</v>
      </c>
      <c r="G126" s="272">
        <f t="shared" si="18"/>
        <v>1.1574957420582344E-2</v>
      </c>
      <c r="H126">
        <v>26</v>
      </c>
      <c r="I126">
        <v>2179</v>
      </c>
      <c r="J126">
        <f t="shared" si="19"/>
        <v>2205</v>
      </c>
      <c r="K126">
        <f t="shared" si="20"/>
        <v>87.16</v>
      </c>
      <c r="L126">
        <f t="shared" si="21"/>
        <v>8.2094314887231233E-8</v>
      </c>
      <c r="M126">
        <f t="shared" si="22"/>
        <v>3.3783668677872932E-3</v>
      </c>
      <c r="N126">
        <f t="shared" si="23"/>
        <v>1.1325325238320791E-2</v>
      </c>
    </row>
    <row r="127" spans="1:22" x14ac:dyDescent="0.25">
      <c r="A127" s="270">
        <v>2008</v>
      </c>
      <c r="B127" s="271">
        <v>170937442</v>
      </c>
      <c r="C127" s="271">
        <v>151586034</v>
      </c>
      <c r="D127" s="272">
        <f t="shared" si="16"/>
        <v>0.52999999913184614</v>
      </c>
      <c r="E127" s="272">
        <f t="shared" si="16"/>
        <v>0.47000000086815386</v>
      </c>
      <c r="F127" s="273">
        <f t="shared" si="17"/>
        <v>322523476</v>
      </c>
      <c r="G127" s="272">
        <f t="shared" si="18"/>
        <v>1.8359376818014139E-2</v>
      </c>
      <c r="H127">
        <v>26</v>
      </c>
      <c r="I127">
        <v>2219</v>
      </c>
      <c r="J127">
        <f t="shared" si="19"/>
        <v>2245</v>
      </c>
      <c r="K127">
        <f t="shared" si="20"/>
        <v>88.76</v>
      </c>
      <c r="L127">
        <f t="shared" si="21"/>
        <v>8.0614286818612863E-8</v>
      </c>
      <c r="M127">
        <f t="shared" si="22"/>
        <v>3.3174603629058789E-3</v>
      </c>
      <c r="N127">
        <f t="shared" si="23"/>
        <v>1.1325299300443303E-2</v>
      </c>
      <c r="R127" t="s">
        <v>554</v>
      </c>
      <c r="U127" t="s">
        <v>555</v>
      </c>
      <c r="V127">
        <f>SUM(V122:V123)</f>
        <v>20.793269684999999</v>
      </c>
    </row>
    <row r="128" spans="1:22" x14ac:dyDescent="0.25">
      <c r="A128" s="270">
        <v>2009</v>
      </c>
      <c r="B128" s="271">
        <v>169791125</v>
      </c>
      <c r="C128" s="271">
        <v>150569488</v>
      </c>
      <c r="D128" s="272">
        <f t="shared" si="16"/>
        <v>0.53000000034336303</v>
      </c>
      <c r="E128" s="272">
        <f t="shared" si="16"/>
        <v>0.46999999965663697</v>
      </c>
      <c r="F128" s="273">
        <f t="shared" si="17"/>
        <v>320360613</v>
      </c>
      <c r="G128" s="272">
        <f t="shared" si="18"/>
        <v>-6.7060637781294341E-3</v>
      </c>
      <c r="H128">
        <v>26</v>
      </c>
      <c r="I128">
        <v>2204</v>
      </c>
      <c r="J128">
        <f t="shared" si="19"/>
        <v>2230</v>
      </c>
      <c r="K128">
        <f t="shared" si="20"/>
        <v>88.16</v>
      </c>
      <c r="L128">
        <f t="shared" si="21"/>
        <v>8.1158541171851241E-8</v>
      </c>
      <c r="M128">
        <f t="shared" si="22"/>
        <v>3.3398576613930548E-3</v>
      </c>
      <c r="N128">
        <f t="shared" si="23"/>
        <v>1.1324686593400453E-2</v>
      </c>
      <c r="R128" t="s">
        <v>556</v>
      </c>
      <c r="U128" t="s">
        <v>555</v>
      </c>
      <c r="V128">
        <f>SUM(V123:V124)</f>
        <v>65.20857731400001</v>
      </c>
    </row>
    <row r="129" spans="1:22" ht="15.75" thickBot="1" x14ac:dyDescent="0.3">
      <c r="A129" s="277">
        <v>2010</v>
      </c>
      <c r="B129" s="278">
        <v>172502123</v>
      </c>
      <c r="C129" s="278">
        <v>152973581</v>
      </c>
      <c r="D129" s="279">
        <f t="shared" si="16"/>
        <v>0.52999999963130884</v>
      </c>
      <c r="E129" s="279">
        <f t="shared" si="16"/>
        <v>0.47000000036869111</v>
      </c>
      <c r="F129" s="280">
        <f t="shared" si="17"/>
        <v>325475704</v>
      </c>
      <c r="G129" s="279">
        <f t="shared" si="18"/>
        <v>1.5966666289279452E-2</v>
      </c>
      <c r="H129">
        <v>27</v>
      </c>
      <c r="I129">
        <v>2239</v>
      </c>
      <c r="J129">
        <f t="shared" si="19"/>
        <v>2266</v>
      </c>
      <c r="K129">
        <f t="shared" si="20"/>
        <v>89.56</v>
      </c>
      <c r="L129">
        <f t="shared" si="21"/>
        <v>8.2955500727636498E-8</v>
      </c>
      <c r="M129">
        <f t="shared" si="22"/>
        <v>3.4138066143060285E-3</v>
      </c>
      <c r="N129">
        <f t="shared" si="23"/>
        <v>1.1323722976935111E-2</v>
      </c>
    </row>
    <row r="130" spans="1:22" x14ac:dyDescent="0.25">
      <c r="A130" t="s">
        <v>557</v>
      </c>
      <c r="M130" s="21">
        <f>SUM(M119:M129)/11</f>
        <v>3.3705740480575387E-3</v>
      </c>
      <c r="N130" s="21">
        <f>SUM(N119:N129)/11</f>
        <v>1.1325309940408588E-2</v>
      </c>
      <c r="P130" s="281">
        <f>M130*0.1</f>
        <v>3.3705740480575389E-4</v>
      </c>
      <c r="Q130">
        <f>N130*0.1</f>
        <v>1.1325309940408588E-3</v>
      </c>
      <c r="R130" t="s">
        <v>372</v>
      </c>
      <c r="U130" t="s">
        <v>558</v>
      </c>
      <c r="V130" s="282">
        <f>V127/V121</f>
        <v>8.2037515451125517E-2</v>
      </c>
    </row>
    <row r="131" spans="1:22" x14ac:dyDescent="0.25">
      <c r="C131" t="s">
        <v>559</v>
      </c>
      <c r="D131" t="s">
        <v>559</v>
      </c>
      <c r="R131" t="s">
        <v>371</v>
      </c>
      <c r="U131" t="s">
        <v>558</v>
      </c>
      <c r="V131" s="282">
        <f>V128/V121</f>
        <v>0.25727313452786532</v>
      </c>
    </row>
    <row r="132" spans="1:22" x14ac:dyDescent="0.25">
      <c r="C132" s="283" t="s">
        <v>560</v>
      </c>
      <c r="D132" t="s">
        <v>561</v>
      </c>
      <c r="E132" s="283" t="s">
        <v>562</v>
      </c>
      <c r="F132" s="284" t="s">
        <v>563</v>
      </c>
      <c r="G132" t="s">
        <v>564</v>
      </c>
      <c r="H132" t="s">
        <v>565</v>
      </c>
      <c r="I132" t="s">
        <v>534</v>
      </c>
      <c r="J132" t="s">
        <v>566</v>
      </c>
      <c r="K132" s="284" t="s">
        <v>567</v>
      </c>
      <c r="L132" t="s">
        <v>568</v>
      </c>
    </row>
    <row r="133" spans="1:22" x14ac:dyDescent="0.25">
      <c r="B133" s="285">
        <v>2000</v>
      </c>
      <c r="C133" s="283">
        <v>325</v>
      </c>
      <c r="D133">
        <f>C133</f>
        <v>325</v>
      </c>
      <c r="E133" s="286">
        <f>[10]Waste!C27/1000</f>
        <v>10.54681185447652</v>
      </c>
      <c r="F133" s="284">
        <v>39532</v>
      </c>
      <c r="G133">
        <f>F133/1000</f>
        <v>39.531999999999996</v>
      </c>
      <c r="H133">
        <f t="shared" ref="H133:H143" si="24">D133/G133</f>
        <v>8.2211878984114151</v>
      </c>
      <c r="I133">
        <f>E133/G133</f>
        <v>0.2667917599533674</v>
      </c>
      <c r="J133" s="82">
        <f>C133-E133</f>
        <v>314.45318814552348</v>
      </c>
      <c r="K133" s="284">
        <f>(J133/25)/G133</f>
        <v>0.31817584553832184</v>
      </c>
      <c r="L133" s="287">
        <f>K133/$V$7</f>
        <v>1.744850882864514E-2</v>
      </c>
      <c r="R133" t="s">
        <v>569</v>
      </c>
    </row>
    <row r="134" spans="1:22" x14ac:dyDescent="0.25">
      <c r="B134" s="288">
        <v>2001</v>
      </c>
      <c r="C134" s="289">
        <v>250</v>
      </c>
      <c r="D134">
        <f t="shared" ref="D134:D143" si="25">C134</f>
        <v>250</v>
      </c>
      <c r="E134" s="286">
        <f>[10]Waste!D27/1000</f>
        <v>16.645231075663826</v>
      </c>
      <c r="F134" s="284">
        <v>41241</v>
      </c>
      <c r="G134">
        <f t="shared" ref="G134:G143" si="26">F134/1000</f>
        <v>41.241</v>
      </c>
      <c r="H134">
        <f t="shared" si="24"/>
        <v>6.0619286632234912</v>
      </c>
      <c r="I134">
        <f t="shared" ref="I134:I142" si="27">E134/G134</f>
        <v>0.40360881345417976</v>
      </c>
      <c r="J134" s="82">
        <f t="shared" ref="J134:J143" si="28">C134-E134</f>
        <v>233.35476892433618</v>
      </c>
      <c r="K134" s="284">
        <f t="shared" ref="K134:K142" si="29">(J134/25)/G134</f>
        <v>0.22633279399077247</v>
      </c>
      <c r="L134" s="287">
        <f t="shared" ref="L134:L143" si="30">K134/$V$7</f>
        <v>1.2411909356218769E-2</v>
      </c>
      <c r="P134">
        <f>N130*0.18/0.77</f>
        <v>2.6474750510046049E-3</v>
      </c>
      <c r="Q134">
        <f>0.1*P134</f>
        <v>2.647475051004605E-4</v>
      </c>
      <c r="R134" t="s">
        <v>570</v>
      </c>
      <c r="U134" t="s">
        <v>571</v>
      </c>
      <c r="V134">
        <v>21</v>
      </c>
    </row>
    <row r="135" spans="1:22" x14ac:dyDescent="0.25">
      <c r="B135" s="285">
        <v>2002</v>
      </c>
      <c r="C135" s="289">
        <v>196</v>
      </c>
      <c r="D135">
        <f t="shared" si="25"/>
        <v>196</v>
      </c>
      <c r="E135" s="286">
        <f>[10]Waste!E27/1000</f>
        <v>12.310313736182735</v>
      </c>
      <c r="F135" s="284">
        <v>43048</v>
      </c>
      <c r="G135">
        <f t="shared" si="26"/>
        <v>43.048000000000002</v>
      </c>
      <c r="H135">
        <f t="shared" si="24"/>
        <v>4.5530570525924547</v>
      </c>
      <c r="I135">
        <f t="shared" si="27"/>
        <v>0.28596714681710494</v>
      </c>
      <c r="J135" s="82">
        <f t="shared" si="28"/>
        <v>183.68968626381726</v>
      </c>
      <c r="K135" s="284">
        <f t="shared" si="29"/>
        <v>0.17068359623101401</v>
      </c>
      <c r="L135" s="287">
        <f t="shared" si="30"/>
        <v>9.3601518704318227E-3</v>
      </c>
      <c r="R135" t="s">
        <v>372</v>
      </c>
      <c r="U135" t="s">
        <v>450</v>
      </c>
      <c r="V135" s="282">
        <f>V130/$V$134</f>
        <v>3.9065483548155009E-3</v>
      </c>
    </row>
    <row r="136" spans="1:22" x14ac:dyDescent="0.25">
      <c r="B136" s="288">
        <v>2003</v>
      </c>
      <c r="C136" s="289">
        <v>1065</v>
      </c>
      <c r="D136">
        <f t="shared" si="25"/>
        <v>1065</v>
      </c>
      <c r="E136" s="286">
        <f>[10]Waste!F27/1000</f>
        <v>15.548949778252988</v>
      </c>
      <c r="F136" s="284">
        <v>48749</v>
      </c>
      <c r="G136">
        <f t="shared" si="26"/>
        <v>48.749000000000002</v>
      </c>
      <c r="H136">
        <f t="shared" si="24"/>
        <v>21.846601981579109</v>
      </c>
      <c r="I136">
        <f t="shared" si="27"/>
        <v>0.31895935872024017</v>
      </c>
      <c r="J136" s="82">
        <f t="shared" si="28"/>
        <v>1049.451050221747</v>
      </c>
      <c r="K136" s="284">
        <f t="shared" si="29"/>
        <v>0.86110570491435467</v>
      </c>
      <c r="L136" s="287">
        <f t="shared" si="30"/>
        <v>4.7222347972939276E-2</v>
      </c>
      <c r="R136" t="s">
        <v>371</v>
      </c>
      <c r="U136" t="s">
        <v>450</v>
      </c>
      <c r="V136" s="282">
        <f>V131/$V$134</f>
        <v>1.2251101644184062E-2</v>
      </c>
    </row>
    <row r="137" spans="1:22" x14ac:dyDescent="0.25">
      <c r="B137" s="285">
        <v>2004</v>
      </c>
      <c r="C137" s="289">
        <v>254</v>
      </c>
      <c r="D137">
        <f t="shared" si="25"/>
        <v>254</v>
      </c>
      <c r="E137" s="286">
        <f>[10]Waste!G27/1000</f>
        <v>18.187467351589461</v>
      </c>
      <c r="F137" s="284">
        <v>50361</v>
      </c>
      <c r="G137">
        <f t="shared" si="26"/>
        <v>50.360999999999997</v>
      </c>
      <c r="H137">
        <f t="shared" si="24"/>
        <v>5.0435853140326845</v>
      </c>
      <c r="I137">
        <f t="shared" si="27"/>
        <v>0.36114190249576977</v>
      </c>
      <c r="J137" s="82">
        <f t="shared" si="28"/>
        <v>235.81253264841052</v>
      </c>
      <c r="K137" s="284">
        <f t="shared" si="29"/>
        <v>0.18729773646147657</v>
      </c>
      <c r="L137" s="287">
        <f t="shared" si="30"/>
        <v>1.0271258029358205E-2</v>
      </c>
    </row>
    <row r="138" spans="1:22" x14ac:dyDescent="0.25">
      <c r="B138" s="288">
        <v>2005</v>
      </c>
      <c r="C138" s="289">
        <v>266</v>
      </c>
      <c r="D138">
        <f t="shared" si="25"/>
        <v>266</v>
      </c>
      <c r="E138" s="286">
        <f>[10]Waste!H27/1000</f>
        <v>16.549473367982134</v>
      </c>
      <c r="F138" s="284">
        <v>53165.84</v>
      </c>
      <c r="G138">
        <f t="shared" si="26"/>
        <v>53.165839999999996</v>
      </c>
      <c r="H138">
        <f t="shared" si="24"/>
        <v>5.0032125891361829</v>
      </c>
      <c r="I138">
        <f t="shared" si="27"/>
        <v>0.31128020112128646</v>
      </c>
      <c r="J138" s="82">
        <f t="shared" si="28"/>
        <v>249.45052663201787</v>
      </c>
      <c r="K138" s="284">
        <f t="shared" si="29"/>
        <v>0.18767729552059584</v>
      </c>
      <c r="L138" s="287">
        <f t="shared" si="30"/>
        <v>1.0292072744513058E-2</v>
      </c>
      <c r="R138" t="s">
        <v>572</v>
      </c>
    </row>
    <row r="139" spans="1:22" x14ac:dyDescent="0.25">
      <c r="B139" s="285">
        <v>2006</v>
      </c>
      <c r="C139" s="289">
        <v>291</v>
      </c>
      <c r="D139">
        <f t="shared" si="25"/>
        <v>291</v>
      </c>
      <c r="E139" s="286">
        <f>[10]Waste!I27/1000</f>
        <v>16.669792311073191</v>
      </c>
      <c r="F139" s="284">
        <v>56037.84</v>
      </c>
      <c r="G139" s="21">
        <f t="shared" si="26"/>
        <v>56.037839999999996</v>
      </c>
      <c r="H139">
        <f t="shared" si="24"/>
        <v>5.1929196414422831</v>
      </c>
      <c r="I139">
        <f t="shared" si="27"/>
        <v>0.29747385536403959</v>
      </c>
      <c r="J139" s="82">
        <f t="shared" si="28"/>
        <v>274.33020768892681</v>
      </c>
      <c r="K139" s="284">
        <f t="shared" si="29"/>
        <v>0.19581783144312975</v>
      </c>
      <c r="L139" s="287">
        <f t="shared" si="30"/>
        <v>1.073849322207608E-2</v>
      </c>
      <c r="R139" t="s">
        <v>570</v>
      </c>
      <c r="U139" t="s">
        <v>571</v>
      </c>
      <c r="V139">
        <v>24</v>
      </c>
    </row>
    <row r="140" spans="1:22" x14ac:dyDescent="0.25">
      <c r="B140" s="288">
        <v>2007</v>
      </c>
      <c r="C140" s="289">
        <v>325</v>
      </c>
      <c r="D140">
        <f t="shared" si="25"/>
        <v>325</v>
      </c>
      <c r="E140" s="286">
        <f>[10]Waste!J27/1000</f>
        <v>17.474810903103542</v>
      </c>
      <c r="F140" s="284">
        <v>58908.41</v>
      </c>
      <c r="G140">
        <f t="shared" si="26"/>
        <v>58.908410000000003</v>
      </c>
      <c r="H140">
        <f t="shared" si="24"/>
        <v>5.5170390781214431</v>
      </c>
      <c r="I140">
        <f t="shared" si="27"/>
        <v>0.296643737339092</v>
      </c>
      <c r="J140" s="82">
        <f t="shared" si="28"/>
        <v>307.52518909689644</v>
      </c>
      <c r="K140" s="284">
        <f t="shared" si="29"/>
        <v>0.20881581363129403</v>
      </c>
      <c r="L140" s="287">
        <f t="shared" si="30"/>
        <v>1.1451292166889259E-2</v>
      </c>
      <c r="R140" t="s">
        <v>372</v>
      </c>
      <c r="U140" t="s">
        <v>450</v>
      </c>
      <c r="V140" s="282">
        <f>V130/$V$139</f>
        <v>3.4182298104635631E-3</v>
      </c>
    </row>
    <row r="141" spans="1:22" x14ac:dyDescent="0.25">
      <c r="B141" s="285">
        <v>2008</v>
      </c>
      <c r="C141" s="289">
        <v>228</v>
      </c>
      <c r="D141">
        <f t="shared" si="25"/>
        <v>228</v>
      </c>
      <c r="E141" s="286">
        <f>[10]Waste!K27/1000</f>
        <v>19.423791484319981</v>
      </c>
      <c r="F141" s="284">
        <v>61777.55</v>
      </c>
      <c r="G141">
        <f t="shared" si="26"/>
        <v>61.777550000000005</v>
      </c>
      <c r="H141">
        <f t="shared" si="24"/>
        <v>3.6906610896676866</v>
      </c>
      <c r="I141">
        <f t="shared" si="27"/>
        <v>0.31441505019736099</v>
      </c>
      <c r="J141" s="82">
        <f t="shared" si="28"/>
        <v>208.57620851568001</v>
      </c>
      <c r="K141" s="284">
        <f t="shared" si="29"/>
        <v>0.13504984157881303</v>
      </c>
      <c r="L141" s="287">
        <f t="shared" si="30"/>
        <v>7.4060252723088431E-3</v>
      </c>
      <c r="R141" t="s">
        <v>468</v>
      </c>
      <c r="U141" t="s">
        <v>450</v>
      </c>
      <c r="V141" s="282">
        <f>V131/$V$139</f>
        <v>1.0719713938661056E-2</v>
      </c>
    </row>
    <row r="142" spans="1:22" x14ac:dyDescent="0.25">
      <c r="B142" s="288">
        <v>2009</v>
      </c>
      <c r="C142" s="289">
        <v>237</v>
      </c>
      <c r="D142">
        <f t="shared" si="25"/>
        <v>237</v>
      </c>
      <c r="E142" s="286">
        <f>[10]Waste!L27/1000</f>
        <v>43.946996690999761</v>
      </c>
      <c r="F142" s="284">
        <v>64645.26</v>
      </c>
      <c r="G142">
        <f t="shared" si="26"/>
        <v>64.645260000000007</v>
      </c>
      <c r="H142">
        <f t="shared" si="24"/>
        <v>3.6661620666387602</v>
      </c>
      <c r="I142">
        <f t="shared" si="27"/>
        <v>0.679817773043217</v>
      </c>
      <c r="J142" s="82">
        <f t="shared" si="28"/>
        <v>193.05300330900025</v>
      </c>
      <c r="K142" s="284">
        <f t="shared" si="29"/>
        <v>0.11945377174382173</v>
      </c>
      <c r="L142" s="287">
        <f t="shared" si="30"/>
        <v>6.5507492794137879E-3</v>
      </c>
    </row>
    <row r="143" spans="1:22" x14ac:dyDescent="0.25">
      <c r="B143" s="285">
        <v>2010</v>
      </c>
      <c r="C143" s="289">
        <v>619</v>
      </c>
      <c r="D143">
        <f t="shared" si="25"/>
        <v>619</v>
      </c>
      <c r="E143" s="283"/>
      <c r="F143" s="284">
        <v>68405.919656963932</v>
      </c>
      <c r="G143">
        <f t="shared" si="26"/>
        <v>68.405919656963931</v>
      </c>
      <c r="H143">
        <f t="shared" si="24"/>
        <v>9.0489244659542258</v>
      </c>
      <c r="J143" s="82">
        <f t="shared" si="28"/>
        <v>619</v>
      </c>
      <c r="K143" s="284">
        <f>(J143/25)/G143</f>
        <v>0.36195697863816906</v>
      </c>
      <c r="L143" s="287">
        <f t="shared" si="30"/>
        <v>1.984943114293428E-2</v>
      </c>
    </row>
    <row r="144" spans="1:22" x14ac:dyDescent="0.25">
      <c r="B144" s="126" t="s">
        <v>573</v>
      </c>
      <c r="C144" s="256">
        <f t="shared" ref="C144:K144" si="31">AVERAGE(C133:C143)</f>
        <v>368.72727272727275</v>
      </c>
      <c r="D144" s="256">
        <f t="shared" si="31"/>
        <v>368.72727272727275</v>
      </c>
      <c r="E144" s="256">
        <f t="shared" si="31"/>
        <v>18.730363855364413</v>
      </c>
      <c r="F144" s="256">
        <f t="shared" si="31"/>
        <v>53261.07451426945</v>
      </c>
      <c r="G144" s="256">
        <f t="shared" si="31"/>
        <v>53.261074514269446</v>
      </c>
      <c r="H144" s="256">
        <f t="shared" si="31"/>
        <v>7.0768436218908848</v>
      </c>
      <c r="I144" s="290">
        <f t="shared" si="31"/>
        <v>0.35360995985056581</v>
      </c>
      <c r="J144" s="256">
        <f t="shared" si="31"/>
        <v>351.69966922239598</v>
      </c>
      <c r="K144" s="290">
        <f t="shared" si="31"/>
        <v>0.27021520088106932</v>
      </c>
    </row>
  </sheetData>
  <mergeCells count="26">
    <mergeCell ref="AC25:AE25"/>
    <mergeCell ref="AC6:AE6"/>
    <mergeCell ref="A7:A8"/>
    <mergeCell ref="B7:B8"/>
    <mergeCell ref="C7:E8"/>
    <mergeCell ref="F7:F8"/>
    <mergeCell ref="W32:W34"/>
    <mergeCell ref="H33:I33"/>
    <mergeCell ref="L36:L41"/>
    <mergeCell ref="L42:L45"/>
    <mergeCell ref="H31:I31"/>
    <mergeCell ref="L32:L34"/>
    <mergeCell ref="M32:M34"/>
    <mergeCell ref="R32:R34"/>
    <mergeCell ref="S32:S34"/>
    <mergeCell ref="T32:T34"/>
    <mergeCell ref="A107:A108"/>
    <mergeCell ref="C107:C110"/>
    <mergeCell ref="A109:A110"/>
    <mergeCell ref="U32:U34"/>
    <mergeCell ref="V32:V34"/>
    <mergeCell ref="L46:L48"/>
    <mergeCell ref="D79:E79"/>
    <mergeCell ref="A103:A104"/>
    <mergeCell ref="C103:C106"/>
    <mergeCell ref="A105:A106"/>
  </mergeCells>
  <pageMargins left="0.7" right="0.7" top="0.75" bottom="0.75" header="0.3" footer="0.3"/>
  <pageSetup paperSize="9" orientation="portrait" r:id="rId1"/>
  <drawing r:id="rId2"/>
  <legacy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180390-442C-46E8-BCFD-7F4137C22AEC}">
  <sheetPr codeName="Sheet11">
    <tabColor theme="8"/>
  </sheetPr>
  <dimension ref="A1:BB96"/>
  <sheetViews>
    <sheetView tabSelected="1" workbookViewId="0">
      <selection activeCell="D16" sqref="D16"/>
    </sheetView>
  </sheetViews>
  <sheetFormatPr defaultColWidth="8.7109375" defaultRowHeight="15" x14ac:dyDescent="0.25"/>
  <cols>
    <col min="1" max="1" width="7.7109375" bestFit="1" customWidth="1"/>
    <col min="2" max="2" width="11.5703125" bestFit="1" customWidth="1"/>
    <col min="3" max="3" width="9.7109375" bestFit="1" customWidth="1"/>
    <col min="4" max="4" width="10.7109375" bestFit="1" customWidth="1"/>
    <col min="5" max="5" width="10" bestFit="1" customWidth="1"/>
    <col min="6" max="6" width="10.5703125" bestFit="1" customWidth="1"/>
    <col min="7" max="7" width="9.28515625" bestFit="1" customWidth="1"/>
    <col min="8" max="8" width="9.85546875" bestFit="1" customWidth="1"/>
    <col min="9" max="9" width="8.85546875" bestFit="1" customWidth="1"/>
    <col min="10" max="10" width="9.7109375" bestFit="1" customWidth="1"/>
    <col min="11" max="11" width="8.7109375" bestFit="1" customWidth="1"/>
    <col min="12" max="13" width="9" bestFit="1" customWidth="1"/>
    <col min="14" max="15" width="7.28515625" customWidth="1"/>
    <col min="16" max="48" width="4.42578125" bestFit="1" customWidth="1"/>
  </cols>
  <sheetData>
    <row r="1" spans="1:11" ht="18" thickBot="1" x14ac:dyDescent="0.35">
      <c r="A1" s="291"/>
      <c r="B1" s="169" t="s">
        <v>574</v>
      </c>
      <c r="C1" s="169"/>
      <c r="D1" s="169"/>
      <c r="E1" s="169"/>
    </row>
    <row r="2" spans="1:11" ht="15.75" thickTop="1" x14ac:dyDescent="0.25"/>
    <row r="5" spans="1:11" x14ac:dyDescent="0.25">
      <c r="B5" s="296" t="s">
        <v>575</v>
      </c>
    </row>
    <row r="6" spans="1:11" x14ac:dyDescent="0.25">
      <c r="B6" s="296" t="s">
        <v>576</v>
      </c>
      <c r="C6" t="s">
        <v>136</v>
      </c>
      <c r="D6" t="s">
        <v>137</v>
      </c>
      <c r="E6" t="s">
        <v>138</v>
      </c>
      <c r="F6" t="s">
        <v>577</v>
      </c>
      <c r="G6" t="s">
        <v>578</v>
      </c>
    </row>
    <row r="7" spans="1:11" x14ac:dyDescent="0.25">
      <c r="B7" t="s">
        <v>579</v>
      </c>
      <c r="C7">
        <v>1</v>
      </c>
      <c r="D7">
        <v>28</v>
      </c>
      <c r="E7">
        <v>265</v>
      </c>
      <c r="F7">
        <v>6630</v>
      </c>
      <c r="G7">
        <v>11000</v>
      </c>
    </row>
    <row r="9" spans="1:11" x14ac:dyDescent="0.25">
      <c r="B9" s="296" t="s">
        <v>575</v>
      </c>
      <c r="C9" s="26" t="s">
        <v>580</v>
      </c>
      <c r="D9" s="26" t="s">
        <v>581</v>
      </c>
      <c r="E9" s="26" t="s">
        <v>582</v>
      </c>
      <c r="J9" s="26"/>
      <c r="K9" s="26"/>
    </row>
    <row r="10" spans="1:11" x14ac:dyDescent="0.25">
      <c r="B10" s="296" t="s">
        <v>576</v>
      </c>
      <c r="C10" t="s">
        <v>1096</v>
      </c>
      <c r="D10" t="s">
        <v>583</v>
      </c>
      <c r="E10" t="s">
        <v>584</v>
      </c>
      <c r="F10" t="s">
        <v>585</v>
      </c>
      <c r="G10" t="s">
        <v>586</v>
      </c>
      <c r="H10" t="s">
        <v>587</v>
      </c>
    </row>
    <row r="11" spans="1:11" x14ac:dyDescent="0.25">
      <c r="B11" t="s">
        <v>136</v>
      </c>
      <c r="C11">
        <v>1</v>
      </c>
      <c r="D11">
        <v>1</v>
      </c>
      <c r="E11">
        <v>1</v>
      </c>
      <c r="F11">
        <v>1</v>
      </c>
      <c r="G11">
        <v>1</v>
      </c>
      <c r="H11">
        <v>1</v>
      </c>
    </row>
    <row r="13" spans="1:11" x14ac:dyDescent="0.25">
      <c r="B13" s="296" t="s">
        <v>575</v>
      </c>
      <c r="C13" s="26" t="s">
        <v>580</v>
      </c>
      <c r="D13" t="s">
        <v>581</v>
      </c>
    </row>
    <row r="14" spans="1:11" x14ac:dyDescent="0.25">
      <c r="B14" s="296" t="s">
        <v>576</v>
      </c>
      <c r="C14" t="s">
        <v>1097</v>
      </c>
      <c r="D14" t="s">
        <v>588</v>
      </c>
    </row>
    <row r="15" spans="1:11" x14ac:dyDescent="0.25">
      <c r="B15" t="s">
        <v>137</v>
      </c>
      <c r="C15">
        <v>1</v>
      </c>
      <c r="D15">
        <v>1</v>
      </c>
    </row>
    <row r="17" spans="2:2" x14ac:dyDescent="0.25">
      <c r="B17" s="296"/>
    </row>
    <row r="18" spans="2:2" x14ac:dyDescent="0.25">
      <c r="B18" s="296"/>
    </row>
    <row r="21" spans="2:2" x14ac:dyDescent="0.25">
      <c r="B21" s="296"/>
    </row>
    <row r="22" spans="2:2" x14ac:dyDescent="0.25">
      <c r="B22" s="296"/>
    </row>
    <row r="25" spans="2:2" x14ac:dyDescent="0.25">
      <c r="B25" s="296"/>
    </row>
    <row r="26" spans="2:2" x14ac:dyDescent="0.25">
      <c r="B26" s="296"/>
    </row>
    <row r="29" spans="2:2" x14ac:dyDescent="0.25">
      <c r="B29" s="296"/>
    </row>
    <row r="30" spans="2:2" x14ac:dyDescent="0.25">
      <c r="B30" s="296"/>
    </row>
    <row r="33" spans="2:54" x14ac:dyDescent="0.25">
      <c r="B33" s="296"/>
    </row>
    <row r="34" spans="2:54" x14ac:dyDescent="0.25">
      <c r="B34" s="296"/>
    </row>
    <row r="44" spans="2:54" x14ac:dyDescent="0.25">
      <c r="BA44">
        <v>1</v>
      </c>
      <c r="BB44">
        <v>1</v>
      </c>
    </row>
    <row r="45" spans="2:54" x14ac:dyDescent="0.25">
      <c r="BA45">
        <v>1</v>
      </c>
      <c r="BB45">
        <v>1</v>
      </c>
    </row>
    <row r="46" spans="2:54" x14ac:dyDescent="0.25">
      <c r="BA46">
        <v>1</v>
      </c>
      <c r="BB46">
        <v>1</v>
      </c>
    </row>
    <row r="47" spans="2:54" x14ac:dyDescent="0.25">
      <c r="BA47">
        <v>1</v>
      </c>
      <c r="BB47">
        <v>1</v>
      </c>
    </row>
    <row r="48" spans="2:54" x14ac:dyDescent="0.25">
      <c r="BA48">
        <v>1</v>
      </c>
      <c r="BB48">
        <v>1</v>
      </c>
    </row>
    <row r="49" spans="53:54" x14ac:dyDescent="0.25">
      <c r="BA49" t="e">
        <f>IF(BA48=#REF!,1,BA48+1)</f>
        <v>#REF!</v>
      </c>
      <c r="BB49" t="e">
        <f>IF(BA48=#REF!,BB48+1,BB48)</f>
        <v>#REF!</v>
      </c>
    </row>
    <row r="50" spans="53:54" x14ac:dyDescent="0.25">
      <c r="BA50" t="e">
        <f>IF(BA49=#REF!,1,BA49+1)</f>
        <v>#REF!</v>
      </c>
      <c r="BB50" t="e">
        <f>IF(BA49=#REF!,BB49+1,BB49)</f>
        <v>#REF!</v>
      </c>
    </row>
    <row r="51" spans="53:54" x14ac:dyDescent="0.25">
      <c r="BA51" t="e">
        <f>IF(BA50=#REF!,1,BA50+1)</f>
        <v>#REF!</v>
      </c>
      <c r="BB51" t="e">
        <f>IF(BA50=#REF!,BB50+1,BB50)</f>
        <v>#REF!</v>
      </c>
    </row>
    <row r="52" spans="53:54" x14ac:dyDescent="0.25">
      <c r="BA52" t="e">
        <f>IF(BA51=#REF!,1,BA51+1)</f>
        <v>#REF!</v>
      </c>
      <c r="BB52" t="e">
        <f>IF(BA51=#REF!,BB51+1,BB51)</f>
        <v>#REF!</v>
      </c>
    </row>
    <row r="53" spans="53:54" x14ac:dyDescent="0.25">
      <c r="BA53" t="e">
        <f>IF(BA52=#REF!,1,BA52+1)</f>
        <v>#REF!</v>
      </c>
      <c r="BB53" t="e">
        <f>IF(BA52=#REF!,BB52+1,BB52)</f>
        <v>#REF!</v>
      </c>
    </row>
    <row r="54" spans="53:54" x14ac:dyDescent="0.25">
      <c r="BA54" t="e">
        <f>IF(BA53=#REF!,1,BA53+1)</f>
        <v>#REF!</v>
      </c>
      <c r="BB54" t="e">
        <f>IF(BA53=#REF!,BB53+1,BB53)</f>
        <v>#REF!</v>
      </c>
    </row>
    <row r="55" spans="53:54" x14ac:dyDescent="0.25">
      <c r="BA55" t="e">
        <f>IF(BA54=#REF!,1,BA54+1)</f>
        <v>#REF!</v>
      </c>
      <c r="BB55" t="e">
        <f>IF(BA54=#REF!,BB54+1,BB54)</f>
        <v>#REF!</v>
      </c>
    </row>
    <row r="56" spans="53:54" x14ac:dyDescent="0.25">
      <c r="BA56" t="e">
        <f>IF(BA55=#REF!,1,BA55+1)</f>
        <v>#REF!</v>
      </c>
      <c r="BB56" t="e">
        <f>IF(BA55=#REF!,BB55+1,BB55)</f>
        <v>#REF!</v>
      </c>
    </row>
    <row r="57" spans="53:54" x14ac:dyDescent="0.25">
      <c r="BA57" t="e">
        <f>IF(BA56=#REF!,1,BA56+1)</f>
        <v>#REF!</v>
      </c>
      <c r="BB57" t="e">
        <f>IF(BA56=#REF!,BB56+1,BB56)</f>
        <v>#REF!</v>
      </c>
    </row>
    <row r="58" spans="53:54" x14ac:dyDescent="0.25">
      <c r="BA58" t="e">
        <f>IF(BA57=#REF!,1,BA57+1)</f>
        <v>#REF!</v>
      </c>
      <c r="BB58" t="e">
        <f>IF(BA57=#REF!,BB57+1,BB57)</f>
        <v>#REF!</v>
      </c>
    </row>
    <row r="59" spans="53:54" x14ac:dyDescent="0.25">
      <c r="BA59" t="e">
        <f>IF(BA58=#REF!,1,BA58+1)</f>
        <v>#REF!</v>
      </c>
      <c r="BB59" t="e">
        <f>IF(BA58=#REF!,BB58+1,BB58)</f>
        <v>#REF!</v>
      </c>
    </row>
    <row r="60" spans="53:54" x14ac:dyDescent="0.25">
      <c r="BA60" t="e">
        <f>IF(BA59=#REF!,1,BA59+1)</f>
        <v>#REF!</v>
      </c>
      <c r="BB60" t="e">
        <f>IF(BA59=#REF!,BB59+1,BB59)</f>
        <v>#REF!</v>
      </c>
    </row>
    <row r="61" spans="53:54" x14ac:dyDescent="0.25">
      <c r="BA61" t="e">
        <f>IF(BA60=#REF!,1,BA60+1)</f>
        <v>#REF!</v>
      </c>
      <c r="BB61" t="e">
        <f>IF(BA60=#REF!,BB60+1,BB60)</f>
        <v>#REF!</v>
      </c>
    </row>
    <row r="62" spans="53:54" x14ac:dyDescent="0.25">
      <c r="BA62" t="e">
        <f>IF(BA61=#REF!,1,BA61+1)</f>
        <v>#REF!</v>
      </c>
      <c r="BB62" t="e">
        <f>IF(BA61=#REF!,BB61+1,BB61)</f>
        <v>#REF!</v>
      </c>
    </row>
    <row r="63" spans="53:54" x14ac:dyDescent="0.25">
      <c r="BA63" t="e">
        <f>IF(BA62=#REF!,1,BA62+1)</f>
        <v>#REF!</v>
      </c>
      <c r="BB63" t="e">
        <f>IF(BA62=#REF!,BB62+1,BB62)</f>
        <v>#REF!</v>
      </c>
    </row>
    <row r="64" spans="53:54" x14ac:dyDescent="0.25">
      <c r="BA64" t="e">
        <f>IF(BA63=#REF!,1,BA63+1)</f>
        <v>#REF!</v>
      </c>
      <c r="BB64" t="e">
        <f>IF(BA63=#REF!,BB63+1,BB63)</f>
        <v>#REF!</v>
      </c>
    </row>
    <row r="65" spans="53:54" x14ac:dyDescent="0.25">
      <c r="BA65" t="e">
        <f>IF(BA64=#REF!,1,BA64+1)</f>
        <v>#REF!</v>
      </c>
      <c r="BB65" t="e">
        <f>IF(BA64=#REF!,BB64+1,BB64)</f>
        <v>#REF!</v>
      </c>
    </row>
    <row r="66" spans="53:54" x14ac:dyDescent="0.25">
      <c r="BA66" t="e">
        <f>IF(BA65=#REF!,1,BA65+1)</f>
        <v>#REF!</v>
      </c>
      <c r="BB66" t="e">
        <f>IF(BA65=#REF!,BB65+1,BB65)</f>
        <v>#REF!</v>
      </c>
    </row>
    <row r="67" spans="53:54" x14ac:dyDescent="0.25">
      <c r="BA67" t="e">
        <f>IF(BA66=#REF!,1,BA66+1)</f>
        <v>#REF!</v>
      </c>
      <c r="BB67" t="e">
        <f>IF(BA66=#REF!,BB66+1,BB66)</f>
        <v>#REF!</v>
      </c>
    </row>
    <row r="68" spans="53:54" x14ac:dyDescent="0.25">
      <c r="BA68" t="e">
        <f>IF(BA67=#REF!,1,BA67+1)</f>
        <v>#REF!</v>
      </c>
      <c r="BB68" t="e">
        <f>IF(BA67=#REF!,BB67+1,BB67)</f>
        <v>#REF!</v>
      </c>
    </row>
    <row r="69" spans="53:54" x14ac:dyDescent="0.25">
      <c r="BA69" t="e">
        <f>IF(BA68=#REF!,1,BA68+1)</f>
        <v>#REF!</v>
      </c>
      <c r="BB69" t="e">
        <f>IF(BA68=#REF!,BB68+1,BB68)</f>
        <v>#REF!</v>
      </c>
    </row>
    <row r="70" spans="53:54" x14ac:dyDescent="0.25">
      <c r="BA70" t="e">
        <f>IF(BA69=#REF!,1,BA69+1)</f>
        <v>#REF!</v>
      </c>
      <c r="BB70" t="e">
        <f>IF(BA69=#REF!,BB69+1,BB69)</f>
        <v>#REF!</v>
      </c>
    </row>
    <row r="71" spans="53:54" x14ac:dyDescent="0.25">
      <c r="BA71" t="e">
        <f>IF(BA70=#REF!,1,BA70+1)</f>
        <v>#REF!</v>
      </c>
      <c r="BB71" t="e">
        <f>IF(BA70=#REF!,BB70+1,BB70)</f>
        <v>#REF!</v>
      </c>
    </row>
    <row r="72" spans="53:54" x14ac:dyDescent="0.25">
      <c r="BA72" t="e">
        <f>IF(BA71=#REF!,1,BA71+1)</f>
        <v>#REF!</v>
      </c>
      <c r="BB72" t="e">
        <f>IF(BA71=#REF!,BB71+1,BB71)</f>
        <v>#REF!</v>
      </c>
    </row>
    <row r="73" spans="53:54" x14ac:dyDescent="0.25">
      <c r="BA73" t="e">
        <f>IF(BA72=#REF!,1,BA72+1)</f>
        <v>#REF!</v>
      </c>
      <c r="BB73" t="e">
        <f>IF(BA72=#REF!,BB72+1,BB72)</f>
        <v>#REF!</v>
      </c>
    </row>
    <row r="74" spans="53:54" x14ac:dyDescent="0.25">
      <c r="BA74" t="e">
        <f>IF(BA73=#REF!,1,BA73+1)</f>
        <v>#REF!</v>
      </c>
      <c r="BB74" t="e">
        <f>IF(BA73=#REF!,BB73+1,BB73)</f>
        <v>#REF!</v>
      </c>
    </row>
    <row r="75" spans="53:54" x14ac:dyDescent="0.25">
      <c r="BA75" t="e">
        <f>IF(BA74=#REF!,1,BA74+1)</f>
        <v>#REF!</v>
      </c>
      <c r="BB75" t="e">
        <f>IF(BA74=#REF!,BB74+1,BB74)</f>
        <v>#REF!</v>
      </c>
    </row>
    <row r="76" spans="53:54" x14ac:dyDescent="0.25">
      <c r="BA76" t="e">
        <f>IF(BA75=#REF!,1,BA75+1)</f>
        <v>#REF!</v>
      </c>
      <c r="BB76" t="e">
        <f>IF(BA75=#REF!,BB75+1,BB75)</f>
        <v>#REF!</v>
      </c>
    </row>
    <row r="77" spans="53:54" x14ac:dyDescent="0.25">
      <c r="BA77" t="e">
        <f>IF(BA76=#REF!,1,BA76+1)</f>
        <v>#REF!</v>
      </c>
      <c r="BB77" t="e">
        <f>IF(BA76=#REF!,BB76+1,BB76)</f>
        <v>#REF!</v>
      </c>
    </row>
    <row r="78" spans="53:54" x14ac:dyDescent="0.25">
      <c r="BA78" t="e">
        <f>IF(BA77=#REF!,1,BA77+1)</f>
        <v>#REF!</v>
      </c>
      <c r="BB78" t="e">
        <f>IF(BA77=#REF!,BB77+1,BB77)</f>
        <v>#REF!</v>
      </c>
    </row>
    <row r="79" spans="53:54" x14ac:dyDescent="0.25">
      <c r="BA79" t="e">
        <f>IF(BA78=#REF!,1,BA78+1)</f>
        <v>#REF!</v>
      </c>
      <c r="BB79" t="e">
        <f>IF(BA78=#REF!,BB78+1,BB78)</f>
        <v>#REF!</v>
      </c>
    </row>
    <row r="80" spans="53:54" x14ac:dyDescent="0.25">
      <c r="BA80" t="e">
        <f>IF(BA79=#REF!,1,BA79+1)</f>
        <v>#REF!</v>
      </c>
      <c r="BB80" t="e">
        <f>IF(BA79=#REF!,BB79+1,BB79)</f>
        <v>#REF!</v>
      </c>
    </row>
    <row r="81" spans="53:54" x14ac:dyDescent="0.25">
      <c r="BA81" t="e">
        <f>IF(BA80=#REF!,1,BA80+1)</f>
        <v>#REF!</v>
      </c>
      <c r="BB81" t="e">
        <f>IF(BA80=#REF!,BB80+1,BB80)</f>
        <v>#REF!</v>
      </c>
    </row>
    <row r="82" spans="53:54" x14ac:dyDescent="0.25">
      <c r="BA82" t="e">
        <f>IF(BA81=#REF!,1,BA81+1)</f>
        <v>#REF!</v>
      </c>
      <c r="BB82" t="e">
        <f>IF(BA81=#REF!,BB81+1,BB81)</f>
        <v>#REF!</v>
      </c>
    </row>
    <row r="83" spans="53:54" x14ac:dyDescent="0.25">
      <c r="BA83" t="e">
        <f>IF(BA82=#REF!,1,BA82+1)</f>
        <v>#REF!</v>
      </c>
      <c r="BB83" t="e">
        <f>IF(BA82=#REF!,BB82+1,BB82)</f>
        <v>#REF!</v>
      </c>
    </row>
    <row r="84" spans="53:54" x14ac:dyDescent="0.25">
      <c r="BA84" t="e">
        <f>IF(BA83=#REF!,1,BA83+1)</f>
        <v>#REF!</v>
      </c>
      <c r="BB84" t="e">
        <f>IF(BA83=#REF!,BB83+1,BB83)</f>
        <v>#REF!</v>
      </c>
    </row>
    <row r="85" spans="53:54" x14ac:dyDescent="0.25">
      <c r="BA85" t="e">
        <f>IF(BA84=#REF!,1,BA84+1)</f>
        <v>#REF!</v>
      </c>
      <c r="BB85" t="e">
        <f>IF(BA84=#REF!,BB84+1,BB84)</f>
        <v>#REF!</v>
      </c>
    </row>
    <row r="86" spans="53:54" x14ac:dyDescent="0.25">
      <c r="BA86" t="e">
        <f>IF(BA85=#REF!,1,BA85+1)</f>
        <v>#REF!</v>
      </c>
      <c r="BB86" t="e">
        <f>IF(BA85=#REF!,BB85+1,BB85)</f>
        <v>#REF!</v>
      </c>
    </row>
    <row r="87" spans="53:54" x14ac:dyDescent="0.25">
      <c r="BA87" t="e">
        <f>IF(BA86=#REF!,1,BA86+1)</f>
        <v>#REF!</v>
      </c>
      <c r="BB87" t="e">
        <f>IF(BA86=#REF!,BB86+1,BB86)</f>
        <v>#REF!</v>
      </c>
    </row>
    <row r="88" spans="53:54" x14ac:dyDescent="0.25">
      <c r="BA88" t="e">
        <f>IF(BA87=#REF!,1,BA87+1)</f>
        <v>#REF!</v>
      </c>
      <c r="BB88" t="e">
        <f>IF(BA87=#REF!,BB87+1,BB87)</f>
        <v>#REF!</v>
      </c>
    </row>
    <row r="89" spans="53:54" x14ac:dyDescent="0.25">
      <c r="BA89" t="e">
        <f>IF(BA88=#REF!,1,BA88+1)</f>
        <v>#REF!</v>
      </c>
      <c r="BB89" t="e">
        <f>IF(BA88=#REF!,BB88+1,BB88)</f>
        <v>#REF!</v>
      </c>
    </row>
    <row r="90" spans="53:54" x14ac:dyDescent="0.25">
      <c r="BA90" t="e">
        <f>IF(BA89=#REF!,1,BA89+1)</f>
        <v>#REF!</v>
      </c>
      <c r="BB90" t="e">
        <f>IF(BA89=#REF!,BB89+1,BB89)</f>
        <v>#REF!</v>
      </c>
    </row>
    <row r="91" spans="53:54" x14ac:dyDescent="0.25">
      <c r="BA91" t="e">
        <f>IF(BA90=#REF!,1,BA90+1)</f>
        <v>#REF!</v>
      </c>
      <c r="BB91" t="e">
        <f>IF(BA90=#REF!,BB90+1,BB90)</f>
        <v>#REF!</v>
      </c>
    </row>
    <row r="92" spans="53:54" x14ac:dyDescent="0.25">
      <c r="BA92" t="e">
        <f>IF(BA91=#REF!,1,BA91+1)</f>
        <v>#REF!</v>
      </c>
      <c r="BB92" t="e">
        <f>IF(BA91=#REF!,BB91+1,BB91)</f>
        <v>#REF!</v>
      </c>
    </row>
    <row r="93" spans="53:54" x14ac:dyDescent="0.25">
      <c r="BA93" t="e">
        <f>IF(BA92=#REF!,1,BA92+1)</f>
        <v>#REF!</v>
      </c>
      <c r="BB93" t="e">
        <f>IF(BA92=#REF!,BB92+1,BB92)</f>
        <v>#REF!</v>
      </c>
    </row>
    <row r="94" spans="53:54" x14ac:dyDescent="0.25">
      <c r="BA94" t="e">
        <f>IF(BA93=#REF!,1,BA93+1)</f>
        <v>#REF!</v>
      </c>
      <c r="BB94" t="e">
        <f>IF(BA93=#REF!,BB93+1,BB93)</f>
        <v>#REF!</v>
      </c>
    </row>
    <row r="95" spans="53:54" x14ac:dyDescent="0.25">
      <c r="BA95" t="e">
        <f>IF(BA94=#REF!,1,BA94+1)</f>
        <v>#REF!</v>
      </c>
      <c r="BB95" t="e">
        <f>IF(BA94=#REF!,BB94+1,BB94)</f>
        <v>#REF!</v>
      </c>
    </row>
    <row r="96" spans="53:54" x14ac:dyDescent="0.25">
      <c r="BA96" t="e">
        <f>IF(BA95=#REF!,1,BA95+1)</f>
        <v>#REF!</v>
      </c>
      <c r="BB96" t="e">
        <f>IF(BA95=#REF!,BB95+1,BB95)</f>
        <v>#REF!</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52FC0-E13B-4846-90BF-62D33AF5EE51}">
  <sheetPr codeName="Sheet12">
    <tabColor theme="8"/>
  </sheetPr>
  <dimension ref="A1:AE117"/>
  <sheetViews>
    <sheetView topLeftCell="A16" workbookViewId="0">
      <selection activeCell="C29" sqref="C29"/>
    </sheetView>
  </sheetViews>
  <sheetFormatPr defaultColWidth="11.42578125" defaultRowHeight="11.25" x14ac:dyDescent="0.2"/>
  <cols>
    <col min="1" max="4" width="11.42578125" style="170" customWidth="1"/>
    <col min="5" max="5" width="22.140625" style="170" customWidth="1"/>
    <col min="6" max="8" width="11.42578125" style="170" customWidth="1"/>
    <col min="9" max="10" width="5" style="170" customWidth="1"/>
    <col min="11" max="11" width="12" style="170" customWidth="1"/>
    <col min="12" max="12" width="44.7109375" style="170" customWidth="1"/>
    <col min="13" max="13" width="11.42578125" style="170" customWidth="1"/>
    <col min="14" max="14" width="17.28515625" style="170" customWidth="1"/>
    <col min="15" max="16384" width="11.42578125" style="170"/>
  </cols>
  <sheetData>
    <row r="1" spans="1:27" x14ac:dyDescent="0.2">
      <c r="A1" s="292"/>
      <c r="B1" s="292"/>
      <c r="C1" s="292"/>
      <c r="D1" s="292"/>
      <c r="E1" s="292"/>
      <c r="F1" s="292"/>
      <c r="G1" s="292"/>
      <c r="H1" s="292"/>
      <c r="I1" s="292"/>
      <c r="J1" s="292"/>
      <c r="K1" s="171"/>
      <c r="L1" s="171"/>
      <c r="M1" s="171"/>
      <c r="N1" s="171"/>
      <c r="O1" s="171"/>
      <c r="P1" s="171"/>
      <c r="Q1" s="171"/>
    </row>
    <row r="2" spans="1:27" ht="18" thickBot="1" x14ac:dyDescent="0.35">
      <c r="A2" s="171"/>
      <c r="B2" s="169" t="s">
        <v>589</v>
      </c>
      <c r="C2" s="169"/>
      <c r="F2" s="171"/>
      <c r="G2" s="171"/>
      <c r="H2" s="171"/>
      <c r="I2" s="171"/>
      <c r="J2" s="171"/>
      <c r="M2" s="171"/>
      <c r="N2" s="171"/>
      <c r="O2" s="171"/>
      <c r="P2" s="171"/>
      <c r="Q2" s="171"/>
    </row>
    <row r="3" spans="1:27" ht="12" thickTop="1" x14ac:dyDescent="0.2">
      <c r="A3" s="171"/>
      <c r="C3" s="171"/>
      <c r="F3" s="171"/>
      <c r="G3" s="171"/>
      <c r="H3" s="171"/>
      <c r="I3" s="171"/>
      <c r="J3" s="171"/>
      <c r="M3" s="171"/>
      <c r="N3" s="171"/>
      <c r="O3" s="171"/>
      <c r="P3" s="171"/>
      <c r="Q3" s="171"/>
    </row>
    <row r="4" spans="1:27" x14ac:dyDescent="0.2">
      <c r="A4" s="171"/>
      <c r="B4" s="170" t="s">
        <v>992</v>
      </c>
      <c r="C4" s="171"/>
      <c r="F4" s="171"/>
      <c r="G4" s="171"/>
      <c r="H4" s="171"/>
      <c r="I4" s="171"/>
      <c r="J4" s="171"/>
      <c r="M4" s="171"/>
      <c r="N4" s="171"/>
      <c r="O4" s="171"/>
      <c r="P4" s="171"/>
      <c r="Q4" s="171"/>
    </row>
    <row r="5" spans="1:27" x14ac:dyDescent="0.2">
      <c r="A5" s="171"/>
      <c r="B5" s="171"/>
      <c r="C5" s="171"/>
      <c r="D5" s="171"/>
      <c r="E5" s="171"/>
      <c r="F5" s="171"/>
      <c r="G5" s="171"/>
      <c r="H5" s="171"/>
      <c r="I5" s="171"/>
      <c r="J5" s="171"/>
      <c r="K5" s="171"/>
      <c r="L5" s="171"/>
      <c r="M5" s="171"/>
      <c r="N5" s="171"/>
      <c r="O5" s="171"/>
      <c r="P5" s="171"/>
      <c r="Q5" s="171"/>
    </row>
    <row r="6" spans="1:27" ht="15" x14ac:dyDescent="0.25">
      <c r="A6" s="171"/>
      <c r="D6" s="171"/>
      <c r="E6" s="171"/>
      <c r="F6" s="171"/>
      <c r="G6" s="171"/>
      <c r="H6" s="171"/>
      <c r="I6" s="171"/>
      <c r="J6" s="171"/>
      <c r="K6" s="171"/>
      <c r="L6" s="171"/>
      <c r="M6" s="171"/>
      <c r="N6" s="171"/>
      <c r="O6" s="171"/>
      <c r="P6" s="171"/>
      <c r="Q6" s="171"/>
      <c r="R6" s="390"/>
      <c r="S6" s="390"/>
      <c r="T6" s="390"/>
      <c r="U6" s="296" t="s">
        <v>333</v>
      </c>
      <c r="V6" s="390"/>
      <c r="W6" s="390"/>
      <c r="X6" t="s">
        <v>590</v>
      </c>
      <c r="Y6" s="390"/>
      <c r="Z6" s="296"/>
      <c r="AA6" s="293"/>
    </row>
    <row r="7" spans="1:27" ht="15" x14ac:dyDescent="0.25">
      <c r="A7" s="171"/>
      <c r="D7" s="382" t="s">
        <v>591</v>
      </c>
      <c r="E7" s="296"/>
      <c r="F7" s="296"/>
      <c r="G7" s="296"/>
      <c r="H7" s="296"/>
      <c r="I7" s="172"/>
      <c r="J7" s="172"/>
      <c r="K7" s="382" t="s">
        <v>592</v>
      </c>
      <c r="L7" s="296"/>
      <c r="M7" s="296"/>
      <c r="N7" s="296"/>
      <c r="O7" s="296"/>
      <c r="P7" s="296"/>
      <c r="Q7" s="172"/>
      <c r="R7" s="391" t="s">
        <v>593</v>
      </c>
      <c r="S7" s="391" t="s">
        <v>335</v>
      </c>
      <c r="T7" s="391" t="s">
        <v>336</v>
      </c>
      <c r="U7" s="391" t="s">
        <v>359</v>
      </c>
      <c r="V7" s="392" t="s">
        <v>594</v>
      </c>
      <c r="W7" s="392" t="s">
        <v>131</v>
      </c>
      <c r="X7" s="392" t="s">
        <v>130</v>
      </c>
      <c r="Y7" s="392" t="s">
        <v>595</v>
      </c>
      <c r="Z7" s="392" t="s">
        <v>596</v>
      </c>
      <c r="AA7" s="293"/>
    </row>
    <row r="8" spans="1:27" ht="15.75" thickBot="1" x14ac:dyDescent="0.3">
      <c r="A8" s="171"/>
      <c r="B8" s="292" t="s">
        <v>597</v>
      </c>
      <c r="C8" s="292" t="s">
        <v>598</v>
      </c>
      <c r="D8" s="385" t="s">
        <v>576</v>
      </c>
      <c r="E8" s="385" t="s">
        <v>599</v>
      </c>
      <c r="F8" s="385" t="s">
        <v>600</v>
      </c>
      <c r="G8" s="385" t="s">
        <v>601</v>
      </c>
      <c r="H8" s="385" t="s">
        <v>602</v>
      </c>
      <c r="I8" s="172"/>
      <c r="J8" s="172"/>
      <c r="K8" s="385" t="s">
        <v>335</v>
      </c>
      <c r="L8" s="385" t="s">
        <v>334</v>
      </c>
      <c r="M8" s="385" t="s">
        <v>603</v>
      </c>
      <c r="N8" s="385" t="s">
        <v>604</v>
      </c>
      <c r="O8" s="385" t="s">
        <v>605</v>
      </c>
      <c r="P8" s="385" t="s">
        <v>606</v>
      </c>
      <c r="Q8" s="172"/>
      <c r="R8" s="389" t="s">
        <v>355</v>
      </c>
      <c r="S8" s="389"/>
      <c r="T8" s="389"/>
      <c r="U8" s="389"/>
      <c r="V8" s="389"/>
      <c r="W8" s="389"/>
      <c r="X8" s="389" t="s">
        <v>429</v>
      </c>
      <c r="Y8" s="389" t="s">
        <v>607</v>
      </c>
      <c r="Z8" s="389"/>
      <c r="AA8" s="293"/>
    </row>
    <row r="9" spans="1:27" ht="15" x14ac:dyDescent="0.25">
      <c r="B9" t="s">
        <v>7</v>
      </c>
      <c r="C9" t="s">
        <v>151</v>
      </c>
      <c r="D9" t="str">
        <f>B9&amp;C9</f>
        <v>INDBIB</v>
      </c>
      <c r="E9" t="str">
        <f t="shared" ref="E9:E63" si="0">INDEX(SectorNamesLong,MATCH(B9,SectorNamesShort,0))&amp;" "&amp;INDEX(FuelNamesLong,MATCH(C9,FuelNamesShort,0))</f>
        <v>Industry Biomass bagasse</v>
      </c>
      <c r="F9" t="s">
        <v>240</v>
      </c>
      <c r="G9"/>
      <c r="H9"/>
      <c r="I9"/>
      <c r="J9"/>
      <c r="K9" t="str">
        <f>"X"&amp;D9</f>
        <v>XINDBIB</v>
      </c>
      <c r="L9" t="str">
        <f>E9</f>
        <v>Industry Biomass bagasse</v>
      </c>
      <c r="M9" t="s">
        <v>240</v>
      </c>
      <c r="N9" t="s">
        <v>429</v>
      </c>
      <c r="O9" t="s">
        <v>358</v>
      </c>
      <c r="P9" t="s">
        <v>608</v>
      </c>
      <c r="Q9"/>
      <c r="R9"/>
      <c r="S9" t="str">
        <f>K9</f>
        <v>XINDBIB</v>
      </c>
      <c r="T9" t="str">
        <f>C9</f>
        <v>BIB</v>
      </c>
      <c r="U9" t="str">
        <f>D9</f>
        <v>INDBIB</v>
      </c>
      <c r="V9">
        <v>1</v>
      </c>
      <c r="W9">
        <v>60</v>
      </c>
      <c r="X9"/>
      <c r="Y9">
        <v>1</v>
      </c>
      <c r="Z9">
        <v>1</v>
      </c>
      <c r="AA9" s="293"/>
    </row>
    <row r="10" spans="1:27" ht="15" x14ac:dyDescent="0.25">
      <c r="B10" t="s">
        <v>11</v>
      </c>
      <c r="C10" t="s">
        <v>149</v>
      </c>
      <c r="D10" t="str">
        <f t="shared" ref="D10:D63" si="1">B10&amp;C10</f>
        <v>UPSBID</v>
      </c>
      <c r="E10" t="str">
        <f t="shared" si="0"/>
        <v>Upstream Biodiesel</v>
      </c>
      <c r="F10" t="s">
        <v>240</v>
      </c>
      <c r="G10"/>
      <c r="H10"/>
      <c r="I10"/>
      <c r="J10"/>
      <c r="K10" t="str">
        <f t="shared" ref="K10:K63" si="2">"X"&amp;D10</f>
        <v>XUPSBID</v>
      </c>
      <c r="L10" t="str">
        <f t="shared" ref="L10:L63" si="3">E10</f>
        <v>Upstream Biodiesel</v>
      </c>
      <c r="M10" t="s">
        <v>240</v>
      </c>
      <c r="N10" t="s">
        <v>429</v>
      </c>
      <c r="O10" t="s">
        <v>358</v>
      </c>
      <c r="P10" t="s">
        <v>608</v>
      </c>
      <c r="Q10"/>
      <c r="R10"/>
      <c r="S10" t="str">
        <f t="shared" ref="S10:S63" si="4">K10</f>
        <v>XUPSBID</v>
      </c>
      <c r="T10" t="str">
        <f t="shared" ref="T10:U63" si="5">C10</f>
        <v>BID</v>
      </c>
      <c r="U10" t="str">
        <f t="shared" si="5"/>
        <v>UPSBID</v>
      </c>
      <c r="V10">
        <v>1</v>
      </c>
      <c r="W10">
        <v>60</v>
      </c>
      <c r="X10"/>
      <c r="Y10">
        <v>1</v>
      </c>
      <c r="Z10">
        <v>1</v>
      </c>
      <c r="AA10" s="24"/>
    </row>
    <row r="11" spans="1:27" ht="15" x14ac:dyDescent="0.25">
      <c r="B11" t="s">
        <v>11</v>
      </c>
      <c r="C11" t="s">
        <v>147</v>
      </c>
      <c r="D11" t="str">
        <f t="shared" si="1"/>
        <v>UPSBIE</v>
      </c>
      <c r="E11" t="str">
        <f t="shared" si="0"/>
        <v>Upstream Bioethanol</v>
      </c>
      <c r="F11" t="s">
        <v>240</v>
      </c>
      <c r="G11"/>
      <c r="H11"/>
      <c r="I11"/>
      <c r="J11"/>
      <c r="K11" t="str">
        <f t="shared" si="2"/>
        <v>XUPSBIE</v>
      </c>
      <c r="L11" t="str">
        <f t="shared" si="3"/>
        <v>Upstream Bioethanol</v>
      </c>
      <c r="M11" t="s">
        <v>240</v>
      </c>
      <c r="N11" t="s">
        <v>429</v>
      </c>
      <c r="O11" t="s">
        <v>358</v>
      </c>
      <c r="P11" t="s">
        <v>608</v>
      </c>
      <c r="Q11"/>
      <c r="R11"/>
      <c r="S11" t="str">
        <f t="shared" si="4"/>
        <v>XUPSBIE</v>
      </c>
      <c r="T11" t="str">
        <f t="shared" si="5"/>
        <v>BIE</v>
      </c>
      <c r="U11" t="str">
        <f t="shared" si="5"/>
        <v>UPSBIE</v>
      </c>
      <c r="V11">
        <v>1</v>
      </c>
      <c r="W11">
        <v>60</v>
      </c>
      <c r="X11"/>
      <c r="Y11">
        <v>1</v>
      </c>
      <c r="Z11">
        <v>1</v>
      </c>
      <c r="AA11" s="24"/>
    </row>
    <row r="12" spans="1:27" ht="15" x14ac:dyDescent="0.25">
      <c r="B12" t="s">
        <v>7</v>
      </c>
      <c r="C12" t="s">
        <v>155</v>
      </c>
      <c r="D12" t="str">
        <f t="shared" si="1"/>
        <v>INDBIW</v>
      </c>
      <c r="E12" t="str">
        <f t="shared" si="0"/>
        <v>Industry Biomass Wood</v>
      </c>
      <c r="F12" t="s">
        <v>240</v>
      </c>
      <c r="G12"/>
      <c r="H12"/>
      <c r="I12"/>
      <c r="J12"/>
      <c r="K12" t="str">
        <f t="shared" si="2"/>
        <v>XINDBIW</v>
      </c>
      <c r="L12" t="str">
        <f t="shared" si="3"/>
        <v>Industry Biomass Wood</v>
      </c>
      <c r="M12" t="s">
        <v>240</v>
      </c>
      <c r="N12" t="s">
        <v>429</v>
      </c>
      <c r="O12" t="s">
        <v>358</v>
      </c>
      <c r="P12" t="s">
        <v>608</v>
      </c>
      <c r="Q12"/>
      <c r="R12"/>
      <c r="S12" t="str">
        <f t="shared" si="4"/>
        <v>XINDBIW</v>
      </c>
      <c r="T12" t="str">
        <f t="shared" si="5"/>
        <v>BIW</v>
      </c>
      <c r="U12" t="str">
        <f t="shared" si="5"/>
        <v>INDBIW</v>
      </c>
      <c r="V12">
        <v>1</v>
      </c>
      <c r="W12">
        <v>60</v>
      </c>
      <c r="X12"/>
      <c r="Y12">
        <v>1</v>
      </c>
      <c r="Z12">
        <v>1</v>
      </c>
    </row>
    <row r="13" spans="1:27" ht="15" x14ac:dyDescent="0.25">
      <c r="B13" t="s">
        <v>9</v>
      </c>
      <c r="C13" t="s">
        <v>155</v>
      </c>
      <c r="D13" t="str">
        <f t="shared" si="1"/>
        <v>RESBIW</v>
      </c>
      <c r="E13" t="str">
        <f t="shared" si="0"/>
        <v>Residential Biomass Wood</v>
      </c>
      <c r="F13" t="s">
        <v>240</v>
      </c>
      <c r="G13"/>
      <c r="H13"/>
      <c r="I13"/>
      <c r="J13"/>
      <c r="K13" t="str">
        <f t="shared" si="2"/>
        <v>XRESBIW</v>
      </c>
      <c r="L13" t="str">
        <f t="shared" si="3"/>
        <v>Residential Biomass Wood</v>
      </c>
      <c r="M13" t="s">
        <v>240</v>
      </c>
      <c r="N13" t="s">
        <v>429</v>
      </c>
      <c r="O13" t="s">
        <v>358</v>
      </c>
      <c r="P13" t="s">
        <v>608</v>
      </c>
      <c r="Q13"/>
      <c r="R13"/>
      <c r="S13" t="str">
        <f t="shared" si="4"/>
        <v>XRESBIW</v>
      </c>
      <c r="T13" t="str">
        <f t="shared" si="5"/>
        <v>BIW</v>
      </c>
      <c r="U13" t="str">
        <f t="shared" si="5"/>
        <v>RESBIW</v>
      </c>
      <c r="V13">
        <v>1</v>
      </c>
      <c r="W13">
        <v>60</v>
      </c>
      <c r="X13"/>
      <c r="Y13">
        <v>1</v>
      </c>
      <c r="Z13">
        <v>1</v>
      </c>
    </row>
    <row r="14" spans="1:27" ht="15" x14ac:dyDescent="0.25">
      <c r="B14" t="s">
        <v>7</v>
      </c>
      <c r="C14" t="s">
        <v>163</v>
      </c>
      <c r="D14" t="str">
        <f t="shared" si="1"/>
        <v>INDCLE</v>
      </c>
      <c r="E14" t="str">
        <f t="shared" si="0"/>
        <v>Industry Coal low grade</v>
      </c>
      <c r="F14" t="s">
        <v>240</v>
      </c>
      <c r="G14"/>
      <c r="H14"/>
      <c r="I14"/>
      <c r="J14"/>
      <c r="K14" t="str">
        <f t="shared" si="2"/>
        <v>XINDCLE</v>
      </c>
      <c r="L14" t="str">
        <f t="shared" si="3"/>
        <v>Industry Coal low grade</v>
      </c>
      <c r="M14" t="s">
        <v>240</v>
      </c>
      <c r="N14" t="s">
        <v>429</v>
      </c>
      <c r="O14" t="s">
        <v>358</v>
      </c>
      <c r="P14" t="s">
        <v>608</v>
      </c>
      <c r="Q14"/>
      <c r="R14"/>
      <c r="S14" t="str">
        <f t="shared" si="4"/>
        <v>XINDCLE</v>
      </c>
      <c r="T14" t="str">
        <f t="shared" si="5"/>
        <v>CLE</v>
      </c>
      <c r="U14" t="str">
        <f t="shared" si="5"/>
        <v>INDCLE</v>
      </c>
      <c r="V14">
        <v>1</v>
      </c>
      <c r="W14">
        <v>60</v>
      </c>
      <c r="X14"/>
      <c r="Y14">
        <v>1</v>
      </c>
      <c r="Z14">
        <v>1</v>
      </c>
    </row>
    <row r="15" spans="1:27" ht="15" x14ac:dyDescent="0.25">
      <c r="B15" t="s">
        <v>11</v>
      </c>
      <c r="C15" t="s">
        <v>163</v>
      </c>
      <c r="D15" t="str">
        <f t="shared" si="1"/>
        <v>UPSCLE</v>
      </c>
      <c r="E15" t="str">
        <f t="shared" si="0"/>
        <v>Upstream Coal low grade</v>
      </c>
      <c r="F15" t="s">
        <v>240</v>
      </c>
      <c r="G15"/>
      <c r="H15"/>
      <c r="I15"/>
      <c r="J15"/>
      <c r="K15" t="str">
        <f t="shared" si="2"/>
        <v>XUPSCLE</v>
      </c>
      <c r="L15" t="str">
        <f t="shared" si="3"/>
        <v>Upstream Coal low grade</v>
      </c>
      <c r="M15" t="s">
        <v>240</v>
      </c>
      <c r="N15" t="s">
        <v>429</v>
      </c>
      <c r="O15" t="s">
        <v>358</v>
      </c>
      <c r="P15" t="s">
        <v>608</v>
      </c>
      <c r="Q15"/>
      <c r="R15"/>
      <c r="S15" t="str">
        <f t="shared" si="4"/>
        <v>XUPSCLE</v>
      </c>
      <c r="T15" t="str">
        <f t="shared" si="5"/>
        <v>CLE</v>
      </c>
      <c r="U15" t="str">
        <f t="shared" si="5"/>
        <v>UPSCLE</v>
      </c>
      <c r="V15">
        <v>1</v>
      </c>
      <c r="W15">
        <v>60</v>
      </c>
      <c r="X15"/>
      <c r="Y15">
        <v>1</v>
      </c>
      <c r="Z15">
        <v>1</v>
      </c>
    </row>
    <row r="16" spans="1:27" ht="15" x14ac:dyDescent="0.25">
      <c r="B16" t="s">
        <v>5</v>
      </c>
      <c r="C16" t="s">
        <v>157</v>
      </c>
      <c r="D16" t="str">
        <f t="shared" si="1"/>
        <v>AGRCOA</v>
      </c>
      <c r="E16" t="str">
        <f t="shared" si="0"/>
        <v>Agriculture Coal</v>
      </c>
      <c r="F16" t="s">
        <v>240</v>
      </c>
      <c r="G16"/>
      <c r="H16"/>
      <c r="I16"/>
      <c r="J16"/>
      <c r="K16" t="str">
        <f t="shared" si="2"/>
        <v>XAGRCOA</v>
      </c>
      <c r="L16" t="str">
        <f t="shared" si="3"/>
        <v>Agriculture Coal</v>
      </c>
      <c r="M16" t="s">
        <v>240</v>
      </c>
      <c r="N16" t="s">
        <v>429</v>
      </c>
      <c r="O16" t="s">
        <v>358</v>
      </c>
      <c r="P16" t="s">
        <v>608</v>
      </c>
      <c r="Q16"/>
      <c r="R16"/>
      <c r="S16" t="str">
        <f t="shared" si="4"/>
        <v>XAGRCOA</v>
      </c>
      <c r="T16" t="str">
        <f t="shared" si="5"/>
        <v>COA</v>
      </c>
      <c r="U16" t="str">
        <f t="shared" si="5"/>
        <v>AGRCOA</v>
      </c>
      <c r="V16">
        <v>1</v>
      </c>
      <c r="W16">
        <v>60</v>
      </c>
      <c r="X16"/>
      <c r="Y16">
        <v>1</v>
      </c>
      <c r="Z16">
        <v>1</v>
      </c>
    </row>
    <row r="17" spans="2:26" ht="15" x14ac:dyDescent="0.25">
      <c r="B17" t="s">
        <v>6</v>
      </c>
      <c r="C17" t="s">
        <v>157</v>
      </c>
      <c r="D17" t="str">
        <f t="shared" si="1"/>
        <v>COMCOA</v>
      </c>
      <c r="E17" t="str">
        <f t="shared" si="0"/>
        <v>Commerce Coal</v>
      </c>
      <c r="F17" t="s">
        <v>240</v>
      </c>
      <c r="G17"/>
      <c r="H17"/>
      <c r="I17"/>
      <c r="J17"/>
      <c r="K17" t="str">
        <f t="shared" si="2"/>
        <v>XCOMCOA</v>
      </c>
      <c r="L17" t="str">
        <f t="shared" si="3"/>
        <v>Commerce Coal</v>
      </c>
      <c r="M17" t="s">
        <v>240</v>
      </c>
      <c r="N17" t="s">
        <v>429</v>
      </c>
      <c r="O17" t="s">
        <v>358</v>
      </c>
      <c r="P17" t="s">
        <v>608</v>
      </c>
      <c r="Q17"/>
      <c r="R17"/>
      <c r="S17" t="str">
        <f t="shared" si="4"/>
        <v>XCOMCOA</v>
      </c>
      <c r="T17" t="str">
        <f t="shared" si="5"/>
        <v>COA</v>
      </c>
      <c r="U17" t="str">
        <f t="shared" si="5"/>
        <v>COMCOA</v>
      </c>
      <c r="V17">
        <v>1</v>
      </c>
      <c r="W17">
        <v>60</v>
      </c>
      <c r="X17"/>
      <c r="Y17">
        <v>1</v>
      </c>
      <c r="Z17">
        <v>1</v>
      </c>
    </row>
    <row r="18" spans="2:26" ht="15" x14ac:dyDescent="0.25">
      <c r="B18" t="s">
        <v>7</v>
      </c>
      <c r="C18" t="s">
        <v>157</v>
      </c>
      <c r="D18" t="str">
        <f t="shared" si="1"/>
        <v>INDCOA</v>
      </c>
      <c r="E18" t="str">
        <f t="shared" si="0"/>
        <v>Industry Coal</v>
      </c>
      <c r="F18" t="s">
        <v>240</v>
      </c>
      <c r="G18"/>
      <c r="H18"/>
      <c r="I18"/>
      <c r="J18"/>
      <c r="K18" t="str">
        <f t="shared" si="2"/>
        <v>XINDCOA</v>
      </c>
      <c r="L18" t="str">
        <f t="shared" si="3"/>
        <v>Industry Coal</v>
      </c>
      <c r="M18" t="s">
        <v>240</v>
      </c>
      <c r="N18" t="s">
        <v>429</v>
      </c>
      <c r="O18" t="s">
        <v>358</v>
      </c>
      <c r="P18" t="s">
        <v>608</v>
      </c>
      <c r="Q18"/>
      <c r="R18"/>
      <c r="S18" t="str">
        <f t="shared" si="4"/>
        <v>XINDCOA</v>
      </c>
      <c r="T18" t="str">
        <f t="shared" si="5"/>
        <v>COA</v>
      </c>
      <c r="U18" t="str">
        <f t="shared" si="5"/>
        <v>INDCOA</v>
      </c>
      <c r="V18">
        <v>1</v>
      </c>
      <c r="W18">
        <v>60</v>
      </c>
      <c r="X18"/>
      <c r="Y18">
        <v>1</v>
      </c>
      <c r="Z18">
        <v>1</v>
      </c>
    </row>
    <row r="19" spans="2:26" ht="15" x14ac:dyDescent="0.25">
      <c r="B19" t="s">
        <v>9</v>
      </c>
      <c r="C19" t="s">
        <v>157</v>
      </c>
      <c r="D19" t="str">
        <f t="shared" si="1"/>
        <v>RESCOA</v>
      </c>
      <c r="E19" t="str">
        <f t="shared" si="0"/>
        <v>Residential Coal</v>
      </c>
      <c r="F19" t="s">
        <v>240</v>
      </c>
      <c r="G19"/>
      <c r="H19"/>
      <c r="I19"/>
      <c r="J19"/>
      <c r="K19" t="str">
        <f t="shared" si="2"/>
        <v>XRESCOA</v>
      </c>
      <c r="L19" t="str">
        <f t="shared" si="3"/>
        <v>Residential Coal</v>
      </c>
      <c r="M19" t="s">
        <v>240</v>
      </c>
      <c r="N19" t="s">
        <v>429</v>
      </c>
      <c r="O19" t="s">
        <v>358</v>
      </c>
      <c r="P19" t="s">
        <v>608</v>
      </c>
      <c r="Q19"/>
      <c r="R19"/>
      <c r="S19" t="str">
        <f t="shared" si="4"/>
        <v>XRESCOA</v>
      </c>
      <c r="T19" t="str">
        <f t="shared" si="5"/>
        <v>COA</v>
      </c>
      <c r="U19" t="str">
        <f t="shared" si="5"/>
        <v>RESCOA</v>
      </c>
      <c r="V19">
        <v>1</v>
      </c>
      <c r="W19">
        <v>60</v>
      </c>
      <c r="X19"/>
      <c r="Y19">
        <v>1</v>
      </c>
      <c r="Z19">
        <v>1</v>
      </c>
    </row>
    <row r="20" spans="2:26" ht="15" x14ac:dyDescent="0.25">
      <c r="B20" t="s">
        <v>7</v>
      </c>
      <c r="C20" t="s">
        <v>1100</v>
      </c>
      <c r="D20" t="str">
        <f t="shared" ref="D20:D21" si="6">B20&amp;C20</f>
        <v>INDCMU</v>
      </c>
      <c r="E20" t="str">
        <f t="shared" ref="E20:E21" si="7">INDEX(SectorNamesLong,MATCH(B20,SectorNamesShort,0))&amp;" "&amp;INDEX(FuelNamesLong,MATCH(C20,FuelNamesShort,0))</f>
        <v>Industry Coal for Material Use</v>
      </c>
      <c r="F20" t="s">
        <v>240</v>
      </c>
      <c r="G20"/>
      <c r="H20"/>
      <c r="I20"/>
      <c r="J20"/>
      <c r="K20" t="str">
        <f t="shared" ref="K20:K21" si="8">"X"&amp;D20</f>
        <v>XINDCMU</v>
      </c>
      <c r="L20" t="str">
        <f t="shared" ref="L20:L21" si="9">E20</f>
        <v>Industry Coal for Material Use</v>
      </c>
      <c r="M20" t="s">
        <v>240</v>
      </c>
      <c r="N20" t="s">
        <v>429</v>
      </c>
      <c r="O20" t="s">
        <v>358</v>
      </c>
      <c r="P20" t="s">
        <v>608</v>
      </c>
      <c r="Q20"/>
      <c r="R20"/>
      <c r="S20" t="str">
        <f t="shared" ref="S20:S21" si="10">K20</f>
        <v>XINDCMU</v>
      </c>
      <c r="T20" s="237" t="s">
        <v>157</v>
      </c>
      <c r="U20" t="str">
        <f t="shared" ref="U20:U21" si="11">D20</f>
        <v>INDCMU</v>
      </c>
      <c r="V20">
        <v>1</v>
      </c>
      <c r="W20">
        <v>60</v>
      </c>
      <c r="X20"/>
      <c r="Y20">
        <v>1</v>
      </c>
      <c r="Z20">
        <v>1</v>
      </c>
    </row>
    <row r="21" spans="2:26" ht="15" x14ac:dyDescent="0.25">
      <c r="B21" t="s">
        <v>11</v>
      </c>
      <c r="C21" t="s">
        <v>1100</v>
      </c>
      <c r="D21" t="str">
        <f t="shared" si="6"/>
        <v>UPSCMU</v>
      </c>
      <c r="E21" t="str">
        <f t="shared" si="7"/>
        <v>Upstream Coal for Material Use</v>
      </c>
      <c r="F21" t="s">
        <v>240</v>
      </c>
      <c r="G21"/>
      <c r="H21"/>
      <c r="I21"/>
      <c r="J21"/>
      <c r="K21" t="str">
        <f t="shared" si="8"/>
        <v>XUPSCMU</v>
      </c>
      <c r="L21" t="str">
        <f t="shared" si="9"/>
        <v>Upstream Coal for Material Use</v>
      </c>
      <c r="M21" t="s">
        <v>240</v>
      </c>
      <c r="N21" t="s">
        <v>429</v>
      </c>
      <c r="O21" t="s">
        <v>358</v>
      </c>
      <c r="P21" t="s">
        <v>608</v>
      </c>
      <c r="Q21"/>
      <c r="R21"/>
      <c r="S21" t="str">
        <f t="shared" si="10"/>
        <v>XUPSCMU</v>
      </c>
      <c r="T21" s="237" t="s">
        <v>163</v>
      </c>
      <c r="U21" t="str">
        <f t="shared" si="11"/>
        <v>UPSCMU</v>
      </c>
      <c r="V21">
        <v>1</v>
      </c>
      <c r="W21">
        <v>60</v>
      </c>
      <c r="X21"/>
      <c r="Y21">
        <v>1</v>
      </c>
      <c r="Z21">
        <v>1</v>
      </c>
    </row>
    <row r="22" spans="2:26" ht="15" x14ac:dyDescent="0.25">
      <c r="B22" t="s">
        <v>7</v>
      </c>
      <c r="C22" t="s">
        <v>159</v>
      </c>
      <c r="D22" t="str">
        <f t="shared" si="1"/>
        <v>INDCOK</v>
      </c>
      <c r="E22" t="str">
        <f t="shared" si="0"/>
        <v>Industry Coal Coking</v>
      </c>
      <c r="F22" t="s">
        <v>240</v>
      </c>
      <c r="G22"/>
      <c r="H22"/>
      <c r="I22"/>
      <c r="J22"/>
      <c r="K22" t="str">
        <f t="shared" si="2"/>
        <v>XINDCOK</v>
      </c>
      <c r="L22" t="str">
        <f t="shared" si="3"/>
        <v>Industry Coal Coking</v>
      </c>
      <c r="M22" t="s">
        <v>240</v>
      </c>
      <c r="N22" t="s">
        <v>429</v>
      </c>
      <c r="O22" t="s">
        <v>358</v>
      </c>
      <c r="P22" t="s">
        <v>608</v>
      </c>
      <c r="Q22"/>
      <c r="R22"/>
      <c r="S22" t="str">
        <f t="shared" si="4"/>
        <v>XINDCOK</v>
      </c>
      <c r="T22" t="str">
        <f t="shared" si="5"/>
        <v>COK</v>
      </c>
      <c r="U22" t="str">
        <f t="shared" si="5"/>
        <v>INDCOK</v>
      </c>
      <c r="V22">
        <v>1</v>
      </c>
      <c r="W22">
        <v>60</v>
      </c>
      <c r="X22"/>
      <c r="Y22">
        <v>1</v>
      </c>
      <c r="Z22">
        <v>1</v>
      </c>
    </row>
    <row r="23" spans="2:26" ht="15" x14ac:dyDescent="0.25">
      <c r="B23" t="s">
        <v>6</v>
      </c>
      <c r="C23" t="s">
        <v>171</v>
      </c>
      <c r="D23" t="str">
        <f t="shared" si="1"/>
        <v>COMGAS</v>
      </c>
      <c r="E23" t="str">
        <f t="shared" si="0"/>
        <v>Commerce Gas South Africa</v>
      </c>
      <c r="F23" t="s">
        <v>240</v>
      </c>
      <c r="G23"/>
      <c r="H23"/>
      <c r="I23"/>
      <c r="J23"/>
      <c r="K23" t="str">
        <f t="shared" si="2"/>
        <v>XCOMGAS</v>
      </c>
      <c r="L23" t="str">
        <f t="shared" si="3"/>
        <v>Commerce Gas South Africa</v>
      </c>
      <c r="M23" t="s">
        <v>240</v>
      </c>
      <c r="N23" t="s">
        <v>429</v>
      </c>
      <c r="O23" t="s">
        <v>358</v>
      </c>
      <c r="P23" t="s">
        <v>608</v>
      </c>
      <c r="Q23"/>
      <c r="R23"/>
      <c r="S23" t="str">
        <f t="shared" si="4"/>
        <v>XCOMGAS</v>
      </c>
      <c r="T23" t="str">
        <f t="shared" si="5"/>
        <v>GAS</v>
      </c>
      <c r="U23" t="str">
        <f t="shared" si="5"/>
        <v>COMGAS</v>
      </c>
      <c r="V23">
        <f>FugitiveEmissions!$O$12</f>
        <v>1</v>
      </c>
      <c r="W23">
        <v>60</v>
      </c>
      <c r="X23"/>
      <c r="Y23" s="82">
        <f>FuelDistribution!$F$96</f>
        <v>403.99806122448985</v>
      </c>
      <c r="Z23">
        <v>1</v>
      </c>
    </row>
    <row r="24" spans="2:26" ht="15" x14ac:dyDescent="0.25">
      <c r="B24" t="s">
        <v>7</v>
      </c>
      <c r="C24" t="s">
        <v>171</v>
      </c>
      <c r="D24" t="str">
        <f t="shared" si="1"/>
        <v>INDGAS</v>
      </c>
      <c r="E24" t="str">
        <f t="shared" si="0"/>
        <v>Industry Gas South Africa</v>
      </c>
      <c r="F24" t="s">
        <v>240</v>
      </c>
      <c r="G24"/>
      <c r="H24"/>
      <c r="I24"/>
      <c r="J24"/>
      <c r="K24" t="str">
        <f t="shared" si="2"/>
        <v>XINDGAS</v>
      </c>
      <c r="L24" t="str">
        <f t="shared" si="3"/>
        <v>Industry Gas South Africa</v>
      </c>
      <c r="M24" t="s">
        <v>240</v>
      </c>
      <c r="N24" t="s">
        <v>429</v>
      </c>
      <c r="O24" t="s">
        <v>358</v>
      </c>
      <c r="P24" t="s">
        <v>608</v>
      </c>
      <c r="Q24"/>
      <c r="R24"/>
      <c r="S24" t="str">
        <f t="shared" si="4"/>
        <v>XINDGAS</v>
      </c>
      <c r="T24" t="str">
        <f t="shared" si="5"/>
        <v>GAS</v>
      </c>
      <c r="U24" t="str">
        <f t="shared" si="5"/>
        <v>INDGAS</v>
      </c>
      <c r="V24">
        <f>FugitiveEmissions!$O$12</f>
        <v>1</v>
      </c>
      <c r="W24">
        <v>60</v>
      </c>
      <c r="X24"/>
      <c r="Y24" s="82">
        <f>FuelDistribution!$F$96</f>
        <v>403.99806122448985</v>
      </c>
      <c r="Z24">
        <v>1</v>
      </c>
    </row>
    <row r="25" spans="2:26" ht="15" x14ac:dyDescent="0.25">
      <c r="B25" t="s">
        <v>9</v>
      </c>
      <c r="C25" t="s">
        <v>171</v>
      </c>
      <c r="D25" t="str">
        <f t="shared" si="1"/>
        <v>RESGAS</v>
      </c>
      <c r="E25" t="str">
        <f t="shared" si="0"/>
        <v>Residential Gas South Africa</v>
      </c>
      <c r="F25" t="s">
        <v>240</v>
      </c>
      <c r="G25"/>
      <c r="H25"/>
      <c r="I25"/>
      <c r="J25"/>
      <c r="K25" t="str">
        <f t="shared" si="2"/>
        <v>XRESGAS</v>
      </c>
      <c r="L25" t="str">
        <f t="shared" si="3"/>
        <v>Residential Gas South Africa</v>
      </c>
      <c r="M25" t="s">
        <v>240</v>
      </c>
      <c r="N25" t="s">
        <v>429</v>
      </c>
      <c r="O25" t="s">
        <v>358</v>
      </c>
      <c r="P25" t="s">
        <v>608</v>
      </c>
      <c r="Q25"/>
      <c r="R25"/>
      <c r="S25" t="str">
        <f t="shared" si="4"/>
        <v>XRESGAS</v>
      </c>
      <c r="T25" t="str">
        <f t="shared" si="5"/>
        <v>GAS</v>
      </c>
      <c r="U25" t="str">
        <f t="shared" si="5"/>
        <v>RESGAS</v>
      </c>
      <c r="V25">
        <f>FugitiveEmissions!$O$12</f>
        <v>1</v>
      </c>
      <c r="W25">
        <v>60</v>
      </c>
      <c r="X25"/>
      <c r="Y25" s="82">
        <f>FuelDistribution!$F$96</f>
        <v>403.99806122448985</v>
      </c>
      <c r="Z25">
        <v>1</v>
      </c>
    </row>
    <row r="26" spans="2:26" ht="15" x14ac:dyDescent="0.25">
      <c r="B26" t="s">
        <v>11</v>
      </c>
      <c r="C26" t="s">
        <v>171</v>
      </c>
      <c r="D26" t="str">
        <f t="shared" si="1"/>
        <v>UPSGAS</v>
      </c>
      <c r="E26" t="str">
        <f t="shared" si="0"/>
        <v>Upstream Gas South Africa</v>
      </c>
      <c r="F26" t="s">
        <v>240</v>
      </c>
      <c r="G26"/>
      <c r="H26"/>
      <c r="I26"/>
      <c r="J26"/>
      <c r="K26" t="str">
        <f t="shared" si="2"/>
        <v>XUPSGAS</v>
      </c>
      <c r="L26" t="str">
        <f t="shared" si="3"/>
        <v>Upstream Gas South Africa</v>
      </c>
      <c r="M26" t="s">
        <v>240</v>
      </c>
      <c r="N26" t="s">
        <v>429</v>
      </c>
      <c r="O26" t="s">
        <v>358</v>
      </c>
      <c r="P26" t="s">
        <v>608</v>
      </c>
      <c r="Q26"/>
      <c r="R26"/>
      <c r="S26" t="str">
        <f t="shared" si="4"/>
        <v>XUPSGAS</v>
      </c>
      <c r="T26" t="str">
        <f t="shared" si="5"/>
        <v>GAS</v>
      </c>
      <c r="U26" t="str">
        <f t="shared" si="5"/>
        <v>UPSGAS</v>
      </c>
      <c r="V26">
        <f>FugitiveEmissions!$O$12</f>
        <v>1</v>
      </c>
      <c r="W26">
        <v>60</v>
      </c>
      <c r="X26"/>
      <c r="Y26" s="82">
        <f>FuelDistribution!$F$96</f>
        <v>403.99806122448985</v>
      </c>
      <c r="Z26">
        <v>1</v>
      </c>
    </row>
    <row r="27" spans="2:26" ht="15" x14ac:dyDescent="0.25">
      <c r="B27" t="s">
        <v>8</v>
      </c>
      <c r="C27" t="s">
        <v>171</v>
      </c>
      <c r="D27" t="str">
        <f t="shared" si="1"/>
        <v>TRAGAS</v>
      </c>
      <c r="E27" t="str">
        <f t="shared" si="0"/>
        <v>Transport Gas South Africa</v>
      </c>
      <c r="F27" t="s">
        <v>240</v>
      </c>
      <c r="G27"/>
      <c r="H27"/>
      <c r="I27"/>
      <c r="J27"/>
      <c r="K27" t="str">
        <f t="shared" si="2"/>
        <v>XTRAGAS</v>
      </c>
      <c r="L27" t="str">
        <f t="shared" si="3"/>
        <v>Transport Gas South Africa</v>
      </c>
      <c r="M27" t="s">
        <v>240</v>
      </c>
      <c r="N27" t="s">
        <v>429</v>
      </c>
      <c r="O27" t="s">
        <v>358</v>
      </c>
      <c r="P27" t="s">
        <v>608</v>
      </c>
      <c r="Q27"/>
      <c r="R27"/>
      <c r="S27" t="str">
        <f t="shared" si="4"/>
        <v>XTRAGAS</v>
      </c>
      <c r="T27" t="str">
        <f t="shared" si="5"/>
        <v>GAS</v>
      </c>
      <c r="U27" t="str">
        <f t="shared" si="5"/>
        <v>TRAGAS</v>
      </c>
      <c r="V27">
        <f>FugitiveEmissions!$O$12</f>
        <v>1</v>
      </c>
      <c r="W27">
        <v>60</v>
      </c>
      <c r="X27"/>
      <c r="Y27" s="82">
        <f>FuelDistribution!$F$96</f>
        <v>403.99806122448985</v>
      </c>
      <c r="Z27">
        <v>1</v>
      </c>
    </row>
    <row r="28" spans="2:26" ht="15" x14ac:dyDescent="0.25">
      <c r="B28" t="s">
        <v>10</v>
      </c>
      <c r="C28" t="s">
        <v>171</v>
      </c>
      <c r="D28" t="str">
        <f t="shared" si="1"/>
        <v>PWRGAS</v>
      </c>
      <c r="E28" t="str">
        <f t="shared" si="0"/>
        <v>Power Gas South Africa</v>
      </c>
      <c r="F28" t="s">
        <v>240</v>
      </c>
      <c r="G28"/>
      <c r="H28"/>
      <c r="I28"/>
      <c r="J28"/>
      <c r="K28" t="str">
        <f t="shared" si="2"/>
        <v>XPWRGAS</v>
      </c>
      <c r="L28" t="str">
        <f t="shared" si="3"/>
        <v>Power Gas South Africa</v>
      </c>
      <c r="M28" t="s">
        <v>240</v>
      </c>
      <c r="N28" t="s">
        <v>429</v>
      </c>
      <c r="O28" t="s">
        <v>358</v>
      </c>
      <c r="P28" t="s">
        <v>608</v>
      </c>
      <c r="Q28"/>
      <c r="R28"/>
      <c r="S28" t="str">
        <f t="shared" si="4"/>
        <v>XPWRGAS</v>
      </c>
      <c r="T28" t="str">
        <f t="shared" si="5"/>
        <v>GAS</v>
      </c>
      <c r="U28" t="str">
        <f t="shared" si="5"/>
        <v>PWRGAS</v>
      </c>
      <c r="V28">
        <f>FugitiveEmissions!$O$12</f>
        <v>1</v>
      </c>
      <c r="W28">
        <v>60</v>
      </c>
      <c r="X28"/>
      <c r="Y28" s="82">
        <f>FuelDistribution!$F$96</f>
        <v>403.99806122448985</v>
      </c>
      <c r="Z28">
        <v>1</v>
      </c>
    </row>
    <row r="29" spans="2:26" ht="15" x14ac:dyDescent="0.25">
      <c r="B29" t="s">
        <v>11</v>
      </c>
      <c r="C29" t="s">
        <v>187</v>
      </c>
      <c r="D29" t="str">
        <f t="shared" ref="D29" si="12">B29&amp;C29</f>
        <v>UPSGIC</v>
      </c>
      <c r="E29" t="str">
        <f t="shared" ref="E29" si="13">INDEX(SectorNamesLong,MATCH(B29,SectorNamesShort,0))&amp;" "&amp;INDEX(FuelNamesLong,MATCH(C29,FuelNamesShort,0))</f>
        <v>Upstream Coastal Gas</v>
      </c>
      <c r="F29" t="s">
        <v>240</v>
      </c>
      <c r="G29"/>
      <c r="H29"/>
      <c r="I29"/>
      <c r="J29"/>
      <c r="K29" t="str">
        <f t="shared" ref="K29" si="14">"X"&amp;D29</f>
        <v>XUPSGIC</v>
      </c>
      <c r="L29" t="str">
        <f t="shared" ref="L29" si="15">E29</f>
        <v>Upstream Coastal Gas</v>
      </c>
      <c r="M29" t="s">
        <v>240</v>
      </c>
      <c r="N29" t="s">
        <v>429</v>
      </c>
      <c r="O29" t="s">
        <v>358</v>
      </c>
      <c r="P29" t="s">
        <v>608</v>
      </c>
      <c r="Q29"/>
      <c r="R29"/>
      <c r="S29" t="str">
        <f t="shared" ref="S29" si="16">K29</f>
        <v>XUPSGIC</v>
      </c>
      <c r="T29" t="str">
        <f t="shared" ref="T29" si="17">C29</f>
        <v>GIC</v>
      </c>
      <c r="U29" t="str">
        <f t="shared" ref="U29" si="18">D29</f>
        <v>UPSGIC</v>
      </c>
      <c r="V29">
        <f>FugitiveEmissions!$O$12</f>
        <v>1</v>
      </c>
      <c r="W29">
        <v>60</v>
      </c>
      <c r="X29"/>
      <c r="Y29" s="82">
        <f>FuelDistribution!$F$96</f>
        <v>403.99806122448985</v>
      </c>
      <c r="Z29">
        <v>1</v>
      </c>
    </row>
    <row r="30" spans="2:26" ht="15" x14ac:dyDescent="0.25">
      <c r="B30" t="s">
        <v>10</v>
      </c>
      <c r="C30" t="s">
        <v>187</v>
      </c>
      <c r="D30" t="str">
        <f t="shared" ref="D30" si="19">B30&amp;C30</f>
        <v>PWRGIC</v>
      </c>
      <c r="E30" t="str">
        <f t="shared" ref="E30" si="20">INDEX(SectorNamesLong,MATCH(B30,SectorNamesShort,0))&amp;" "&amp;INDEX(FuelNamesLong,MATCH(C30,FuelNamesShort,0))</f>
        <v>Power Coastal Gas</v>
      </c>
      <c r="F30" t="s">
        <v>240</v>
      </c>
      <c r="G30"/>
      <c r="H30"/>
      <c r="I30"/>
      <c r="J30"/>
      <c r="K30" t="str">
        <f t="shared" ref="K30" si="21">"X"&amp;D30</f>
        <v>XPWRGIC</v>
      </c>
      <c r="L30" t="str">
        <f t="shared" ref="L30" si="22">E30</f>
        <v>Power Coastal Gas</v>
      </c>
      <c r="M30" t="s">
        <v>240</v>
      </c>
      <c r="N30" t="s">
        <v>429</v>
      </c>
      <c r="O30" t="s">
        <v>358</v>
      </c>
      <c r="P30" t="s">
        <v>608</v>
      </c>
      <c r="Q30"/>
      <c r="R30"/>
      <c r="S30" t="str">
        <f t="shared" ref="S30" si="23">K30</f>
        <v>XPWRGIC</v>
      </c>
      <c r="T30" t="str">
        <f t="shared" ref="T30" si="24">C30</f>
        <v>GIC</v>
      </c>
      <c r="U30" t="str">
        <f t="shared" ref="U30" si="25">D30</f>
        <v>PWRGIC</v>
      </c>
      <c r="V30">
        <f>FugitiveEmissions!$O$12</f>
        <v>1</v>
      </c>
      <c r="W30">
        <v>60</v>
      </c>
      <c r="X30"/>
      <c r="Y30" s="82">
        <f>FuelDistribution!$F$96</f>
        <v>403.99806122448985</v>
      </c>
      <c r="Z30">
        <v>1</v>
      </c>
    </row>
    <row r="31" spans="2:26" ht="15" x14ac:dyDescent="0.25">
      <c r="B31" t="s">
        <v>7</v>
      </c>
      <c r="C31" t="s">
        <v>1102</v>
      </c>
      <c r="D31" t="str">
        <f>B31&amp;C31</f>
        <v>INDGMU</v>
      </c>
      <c r="E31" t="str">
        <f>INDEX(SectorNamesLong,MATCH(B31,SectorNamesShort,0))&amp;" "&amp;INDEX(FuelNamesLong,MATCH(C31,FuelNamesShort,0))</f>
        <v>Industry Gas Material Use</v>
      </c>
      <c r="F31" t="s">
        <v>240</v>
      </c>
      <c r="G31"/>
      <c r="H31"/>
      <c r="I31"/>
      <c r="J31"/>
      <c r="K31" t="str">
        <f>"X"&amp;D31</f>
        <v>XINDGMU</v>
      </c>
      <c r="L31" t="str">
        <f>E31</f>
        <v>Industry Gas Material Use</v>
      </c>
      <c r="M31" t="s">
        <v>240</v>
      </c>
      <c r="N31" t="s">
        <v>429</v>
      </c>
      <c r="O31" t="s">
        <v>358</v>
      </c>
      <c r="P31" t="s">
        <v>608</v>
      </c>
      <c r="Q31"/>
      <c r="R31"/>
      <c r="S31" t="str">
        <f>K31</f>
        <v>XINDGMU</v>
      </c>
      <c r="T31" s="237" t="s">
        <v>171</v>
      </c>
      <c r="U31" t="str">
        <f>D31</f>
        <v>INDGMU</v>
      </c>
      <c r="V31">
        <f>FugitiveEmissions!$O$12</f>
        <v>1</v>
      </c>
      <c r="W31">
        <v>60</v>
      </c>
      <c r="X31"/>
      <c r="Y31" s="82">
        <f>FuelDistribution!$F$96</f>
        <v>403.99806122448985</v>
      </c>
      <c r="Z31">
        <v>1</v>
      </c>
    </row>
    <row r="32" spans="2:26" ht="15" x14ac:dyDescent="0.25">
      <c r="B32" t="s">
        <v>11</v>
      </c>
      <c r="C32" t="s">
        <v>1102</v>
      </c>
      <c r="D32" t="str">
        <f>B32&amp;C32</f>
        <v>UPSGMU</v>
      </c>
      <c r="E32" t="str">
        <f>INDEX(SectorNamesLong,MATCH(B32,SectorNamesShort,0))&amp;" "&amp;INDEX(FuelNamesLong,MATCH(C32,FuelNamesShort,0))</f>
        <v>Upstream Gas Material Use</v>
      </c>
      <c r="F32" t="s">
        <v>240</v>
      </c>
      <c r="G32"/>
      <c r="H32"/>
      <c r="I32"/>
      <c r="J32"/>
      <c r="K32" t="str">
        <f>"X"&amp;D32</f>
        <v>XUPSGMU</v>
      </c>
      <c r="L32" t="str">
        <f>E32</f>
        <v>Upstream Gas Material Use</v>
      </c>
      <c r="M32" t="s">
        <v>240</v>
      </c>
      <c r="N32" t="s">
        <v>429</v>
      </c>
      <c r="O32" t="s">
        <v>358</v>
      </c>
      <c r="P32" t="s">
        <v>608</v>
      </c>
      <c r="Q32"/>
      <c r="R32"/>
      <c r="S32" t="str">
        <f>K32</f>
        <v>XUPSGMU</v>
      </c>
      <c r="T32" s="237" t="s">
        <v>171</v>
      </c>
      <c r="U32" t="str">
        <f>D32</f>
        <v>UPSGMU</v>
      </c>
      <c r="V32">
        <f>FugitiveEmissions!$O$12</f>
        <v>1</v>
      </c>
      <c r="W32">
        <v>60</v>
      </c>
      <c r="X32"/>
      <c r="Y32" s="82">
        <f>FuelDistribution!$F$96</f>
        <v>403.99806122448985</v>
      </c>
      <c r="Z32">
        <v>1</v>
      </c>
    </row>
    <row r="33" spans="2:26" ht="15" x14ac:dyDescent="0.25">
      <c r="B33" t="s">
        <v>11</v>
      </c>
      <c r="C33" t="s">
        <v>193</v>
      </c>
      <c r="D33" t="str">
        <f t="shared" si="1"/>
        <v>UPSHEE</v>
      </c>
      <c r="E33" t="str">
        <f t="shared" si="0"/>
        <v>Upstream Heat-Steam Existing</v>
      </c>
      <c r="F33" t="s">
        <v>240</v>
      </c>
      <c r="G33"/>
      <c r="H33"/>
      <c r="I33"/>
      <c r="J33"/>
      <c r="K33" t="str">
        <f t="shared" si="2"/>
        <v>XUPSHEE</v>
      </c>
      <c r="L33" t="str">
        <f t="shared" si="3"/>
        <v>Upstream Heat-Steam Existing</v>
      </c>
      <c r="M33" t="s">
        <v>240</v>
      </c>
      <c r="N33" t="s">
        <v>429</v>
      </c>
      <c r="O33" t="s">
        <v>358</v>
      </c>
      <c r="P33" t="s">
        <v>608</v>
      </c>
      <c r="Q33"/>
      <c r="R33"/>
      <c r="S33" t="str">
        <f t="shared" si="4"/>
        <v>XUPSHEE</v>
      </c>
      <c r="T33" t="str">
        <f t="shared" si="5"/>
        <v>HEE</v>
      </c>
      <c r="U33" t="str">
        <f t="shared" si="5"/>
        <v>UPSHEE</v>
      </c>
      <c r="V33">
        <v>1</v>
      </c>
      <c r="W33">
        <v>60</v>
      </c>
      <c r="X33"/>
      <c r="Y33">
        <v>1</v>
      </c>
      <c r="Z33">
        <v>1</v>
      </c>
    </row>
    <row r="34" spans="2:26" ht="15" x14ac:dyDescent="0.25">
      <c r="B34" t="s">
        <v>11</v>
      </c>
      <c r="C34" t="s">
        <v>195</v>
      </c>
      <c r="D34" t="str">
        <f t="shared" si="1"/>
        <v>UPSHEN</v>
      </c>
      <c r="E34" t="str">
        <f t="shared" si="0"/>
        <v>Upstream Heat-Steam New</v>
      </c>
      <c r="F34" t="s">
        <v>240</v>
      </c>
      <c r="G34"/>
      <c r="H34"/>
      <c r="I34"/>
      <c r="J34"/>
      <c r="K34" t="str">
        <f t="shared" si="2"/>
        <v>XUPSHEN</v>
      </c>
      <c r="L34" t="str">
        <f t="shared" si="3"/>
        <v>Upstream Heat-Steam New</v>
      </c>
      <c r="M34" t="s">
        <v>240</v>
      </c>
      <c r="N34" t="s">
        <v>429</v>
      </c>
      <c r="O34" t="s">
        <v>358</v>
      </c>
      <c r="P34" t="s">
        <v>608</v>
      </c>
      <c r="Q34"/>
      <c r="R34"/>
      <c r="S34" t="str">
        <f t="shared" si="4"/>
        <v>XUPSHEN</v>
      </c>
      <c r="T34" t="str">
        <f t="shared" si="5"/>
        <v>HEN</v>
      </c>
      <c r="U34" t="str">
        <f t="shared" si="5"/>
        <v>UPSHEN</v>
      </c>
      <c r="V34">
        <v>1</v>
      </c>
      <c r="W34">
        <v>60</v>
      </c>
      <c r="X34"/>
      <c r="Y34">
        <v>1</v>
      </c>
      <c r="Z34">
        <v>1</v>
      </c>
    </row>
    <row r="35" spans="2:26" ht="15" x14ac:dyDescent="0.25">
      <c r="B35" t="s">
        <v>7</v>
      </c>
      <c r="C35" t="s">
        <v>199</v>
      </c>
      <c r="D35" t="str">
        <f t="shared" ref="D35" si="26">B35&amp;C35</f>
        <v>INDHGN</v>
      </c>
      <c r="E35" t="str">
        <f t="shared" ref="E35" si="27">INDEX(SectorNamesLong,MATCH(B35,SectorNamesShort,0))&amp;" "&amp;INDEX(FuelNamesLong,MATCH(C35,FuelNamesShort,0))</f>
        <v>Industry Hydrogen</v>
      </c>
      <c r="F35" t="s">
        <v>240</v>
      </c>
      <c r="G35"/>
      <c r="H35"/>
      <c r="I35"/>
      <c r="J35"/>
      <c r="K35" t="str">
        <f t="shared" ref="K35" si="28">"X"&amp;D35</f>
        <v>XINDHGN</v>
      </c>
      <c r="L35" t="str">
        <f t="shared" ref="L35" si="29">E35</f>
        <v>Industry Hydrogen</v>
      </c>
      <c r="M35" t="s">
        <v>240</v>
      </c>
      <c r="N35" t="s">
        <v>429</v>
      </c>
      <c r="O35" t="s">
        <v>609</v>
      </c>
      <c r="P35" t="s">
        <v>608</v>
      </c>
      <c r="Q35"/>
      <c r="R35"/>
      <c r="S35" t="str">
        <f t="shared" ref="S35" si="30">K35</f>
        <v>XINDHGN</v>
      </c>
      <c r="T35" t="str">
        <f t="shared" ref="T35" si="31">C35</f>
        <v>HGN</v>
      </c>
      <c r="U35" t="str">
        <f t="shared" ref="U35" si="32">D35</f>
        <v>INDHGN</v>
      </c>
      <c r="V35">
        <v>1</v>
      </c>
      <c r="W35">
        <v>60</v>
      </c>
      <c r="X35"/>
      <c r="Y35">
        <v>1</v>
      </c>
      <c r="Z35">
        <v>1</v>
      </c>
    </row>
    <row r="36" spans="2:26" ht="15" x14ac:dyDescent="0.25">
      <c r="B36" t="s">
        <v>11</v>
      </c>
      <c r="C36" t="s">
        <v>199</v>
      </c>
      <c r="D36" t="str">
        <f t="shared" si="1"/>
        <v>UPSHGN</v>
      </c>
      <c r="E36" t="str">
        <f t="shared" si="0"/>
        <v>Upstream Hydrogen</v>
      </c>
      <c r="F36" t="s">
        <v>240</v>
      </c>
      <c r="G36"/>
      <c r="H36"/>
      <c r="I36"/>
      <c r="J36"/>
      <c r="K36" t="str">
        <f t="shared" si="2"/>
        <v>XUPSHGN</v>
      </c>
      <c r="L36" t="str">
        <f t="shared" si="3"/>
        <v>Upstream Hydrogen</v>
      </c>
      <c r="M36" t="s">
        <v>240</v>
      </c>
      <c r="N36" t="s">
        <v>429</v>
      </c>
      <c r="O36" t="s">
        <v>609</v>
      </c>
      <c r="P36" t="s">
        <v>608</v>
      </c>
      <c r="Q36"/>
      <c r="R36"/>
      <c r="S36" t="str">
        <f t="shared" si="4"/>
        <v>XUPSHGN</v>
      </c>
      <c r="T36" t="str">
        <f t="shared" si="5"/>
        <v>HGN</v>
      </c>
      <c r="U36" t="str">
        <f t="shared" si="5"/>
        <v>UPSHGN</v>
      </c>
      <c r="V36">
        <v>1</v>
      </c>
      <c r="W36">
        <v>60</v>
      </c>
      <c r="X36"/>
      <c r="Y36">
        <v>1</v>
      </c>
      <c r="Z36">
        <v>1</v>
      </c>
    </row>
    <row r="37" spans="2:26" ht="15" x14ac:dyDescent="0.25">
      <c r="B37" t="s">
        <v>8</v>
      </c>
      <c r="C37" t="s">
        <v>199</v>
      </c>
      <c r="D37" t="str">
        <f t="shared" si="1"/>
        <v>TRAHGN</v>
      </c>
      <c r="E37" t="str">
        <f t="shared" si="0"/>
        <v>Transport Hydrogen</v>
      </c>
      <c r="F37" t="s">
        <v>240</v>
      </c>
      <c r="G37"/>
      <c r="H37"/>
      <c r="I37"/>
      <c r="J37"/>
      <c r="K37" t="str">
        <f t="shared" si="2"/>
        <v>XTRAHGN</v>
      </c>
      <c r="L37" t="str">
        <f t="shared" si="3"/>
        <v>Transport Hydrogen</v>
      </c>
      <c r="M37" t="s">
        <v>240</v>
      </c>
      <c r="N37" t="s">
        <v>429</v>
      </c>
      <c r="O37" t="s">
        <v>609</v>
      </c>
      <c r="P37" t="s">
        <v>608</v>
      </c>
      <c r="Q37"/>
      <c r="R37"/>
      <c r="S37" t="str">
        <f t="shared" si="4"/>
        <v>XTRAHGN</v>
      </c>
      <c r="T37" t="str">
        <f t="shared" si="5"/>
        <v>HGN</v>
      </c>
      <c r="U37" t="str">
        <f t="shared" si="5"/>
        <v>TRAHGN</v>
      </c>
      <c r="V37">
        <v>1</v>
      </c>
      <c r="W37">
        <v>60</v>
      </c>
      <c r="X37"/>
      <c r="Y37">
        <v>1</v>
      </c>
      <c r="Z37">
        <v>1</v>
      </c>
    </row>
    <row r="38" spans="2:26" ht="15" x14ac:dyDescent="0.25">
      <c r="B38" t="s">
        <v>8</v>
      </c>
      <c r="C38" t="s">
        <v>203</v>
      </c>
      <c r="D38" t="str">
        <f t="shared" si="1"/>
        <v>TRAOAG</v>
      </c>
      <c r="E38" t="str">
        <f t="shared" si="0"/>
        <v>Transport Oil Av Gasoline</v>
      </c>
      <c r="F38" t="s">
        <v>240</v>
      </c>
      <c r="G38"/>
      <c r="H38"/>
      <c r="I38"/>
      <c r="J38"/>
      <c r="K38" t="str">
        <f t="shared" si="2"/>
        <v>XTRAOAG</v>
      </c>
      <c r="L38" t="str">
        <f t="shared" si="3"/>
        <v>Transport Oil Av Gasoline</v>
      </c>
      <c r="M38" t="s">
        <v>240</v>
      </c>
      <c r="N38" t="s">
        <v>429</v>
      </c>
      <c r="O38" t="s">
        <v>358</v>
      </c>
      <c r="P38" t="s">
        <v>608</v>
      </c>
      <c r="Q38"/>
      <c r="R38"/>
      <c r="S38" t="str">
        <f t="shared" si="4"/>
        <v>XTRAOAG</v>
      </c>
      <c r="T38" t="str">
        <f t="shared" si="5"/>
        <v>OAG</v>
      </c>
      <c r="U38" t="str">
        <f t="shared" si="5"/>
        <v>TRAOAG</v>
      </c>
      <c r="V38">
        <v>1</v>
      </c>
      <c r="W38">
        <v>60</v>
      </c>
      <c r="X38"/>
      <c r="Y38">
        <v>1</v>
      </c>
      <c r="Z38">
        <v>1</v>
      </c>
    </row>
    <row r="39" spans="2:26" ht="15" x14ac:dyDescent="0.25">
      <c r="B39" t="s">
        <v>11</v>
      </c>
      <c r="C39" t="s">
        <v>205</v>
      </c>
      <c r="D39" t="str">
        <f t="shared" si="1"/>
        <v>UPSOCR</v>
      </c>
      <c r="E39" t="str">
        <f t="shared" si="0"/>
        <v>Upstream Oil Crude</v>
      </c>
      <c r="F39" t="s">
        <v>240</v>
      </c>
      <c r="G39"/>
      <c r="H39"/>
      <c r="I39"/>
      <c r="J39"/>
      <c r="K39" t="str">
        <f t="shared" si="2"/>
        <v>XUPSOCR</v>
      </c>
      <c r="L39" t="str">
        <f t="shared" si="3"/>
        <v>Upstream Oil Crude</v>
      </c>
      <c r="M39" t="s">
        <v>240</v>
      </c>
      <c r="N39" t="s">
        <v>429</v>
      </c>
      <c r="O39" t="s">
        <v>358</v>
      </c>
      <c r="P39" t="s">
        <v>608</v>
      </c>
      <c r="Q39"/>
      <c r="R39"/>
      <c r="S39" t="str">
        <f t="shared" si="4"/>
        <v>XUPSOCR</v>
      </c>
      <c r="T39" t="str">
        <f t="shared" si="5"/>
        <v>OCR</v>
      </c>
      <c r="U39" t="str">
        <f t="shared" si="5"/>
        <v>UPSOCR</v>
      </c>
      <c r="V39">
        <v>1</v>
      </c>
      <c r="W39">
        <v>60</v>
      </c>
      <c r="X39"/>
      <c r="Y39">
        <v>1</v>
      </c>
      <c r="Z39">
        <v>1</v>
      </c>
    </row>
    <row r="40" spans="2:26" ht="15" x14ac:dyDescent="0.25">
      <c r="B40" t="s">
        <v>5</v>
      </c>
      <c r="C40" t="s">
        <v>207</v>
      </c>
      <c r="D40" t="str">
        <f t="shared" si="1"/>
        <v>AGRODS</v>
      </c>
      <c r="E40" t="str">
        <f t="shared" si="0"/>
        <v>Agriculture Oil Diesel</v>
      </c>
      <c r="F40" t="s">
        <v>240</v>
      </c>
      <c r="G40"/>
      <c r="H40"/>
      <c r="I40"/>
      <c r="J40"/>
      <c r="K40" t="str">
        <f t="shared" si="2"/>
        <v>XAGRODS</v>
      </c>
      <c r="L40" t="str">
        <f t="shared" si="3"/>
        <v>Agriculture Oil Diesel</v>
      </c>
      <c r="M40" t="s">
        <v>240</v>
      </c>
      <c r="N40" t="s">
        <v>429</v>
      </c>
      <c r="O40" t="s">
        <v>358</v>
      </c>
      <c r="P40" t="s">
        <v>608</v>
      </c>
      <c r="Q40"/>
      <c r="R40"/>
      <c r="S40" t="str">
        <f t="shared" si="4"/>
        <v>XAGRODS</v>
      </c>
      <c r="T40" t="str">
        <f t="shared" si="5"/>
        <v>ODS</v>
      </c>
      <c r="U40" t="str">
        <f t="shared" si="5"/>
        <v>AGRODS</v>
      </c>
      <c r="V40">
        <v>1</v>
      </c>
      <c r="W40">
        <v>60</v>
      </c>
      <c r="X40"/>
      <c r="Y40">
        <v>1</v>
      </c>
      <c r="Z40">
        <v>1</v>
      </c>
    </row>
    <row r="41" spans="2:26" ht="15" x14ac:dyDescent="0.25">
      <c r="B41" t="s">
        <v>6</v>
      </c>
      <c r="C41" t="s">
        <v>207</v>
      </c>
      <c r="D41" t="str">
        <f t="shared" si="1"/>
        <v>COMODS</v>
      </c>
      <c r="E41" t="str">
        <f t="shared" si="0"/>
        <v>Commerce Oil Diesel</v>
      </c>
      <c r="F41" t="s">
        <v>240</v>
      </c>
      <c r="G41"/>
      <c r="H41"/>
      <c r="I41"/>
      <c r="J41"/>
      <c r="K41" t="str">
        <f t="shared" si="2"/>
        <v>XCOMODS</v>
      </c>
      <c r="L41" t="str">
        <f t="shared" si="3"/>
        <v>Commerce Oil Diesel</v>
      </c>
      <c r="M41" t="s">
        <v>240</v>
      </c>
      <c r="N41" t="s">
        <v>429</v>
      </c>
      <c r="O41" t="s">
        <v>358</v>
      </c>
      <c r="P41" t="s">
        <v>608</v>
      </c>
      <c r="Q41"/>
      <c r="R41"/>
      <c r="S41" t="str">
        <f t="shared" si="4"/>
        <v>XCOMODS</v>
      </c>
      <c r="T41" t="str">
        <f t="shared" si="5"/>
        <v>ODS</v>
      </c>
      <c r="U41" t="str">
        <f t="shared" si="5"/>
        <v>COMODS</v>
      </c>
      <c r="V41">
        <v>1</v>
      </c>
      <c r="W41">
        <v>60</v>
      </c>
      <c r="X41"/>
      <c r="Y41">
        <v>1</v>
      </c>
      <c r="Z41">
        <v>1</v>
      </c>
    </row>
    <row r="42" spans="2:26" ht="15" x14ac:dyDescent="0.25">
      <c r="B42" t="s">
        <v>7</v>
      </c>
      <c r="C42" t="s">
        <v>207</v>
      </c>
      <c r="D42" t="str">
        <f t="shared" si="1"/>
        <v>INDODS</v>
      </c>
      <c r="E42" t="str">
        <f t="shared" si="0"/>
        <v>Industry Oil Diesel</v>
      </c>
      <c r="F42" t="s">
        <v>240</v>
      </c>
      <c r="G42"/>
      <c r="H42"/>
      <c r="I42"/>
      <c r="J42"/>
      <c r="K42" t="str">
        <f t="shared" si="2"/>
        <v>XINDODS</v>
      </c>
      <c r="L42" t="str">
        <f t="shared" si="3"/>
        <v>Industry Oil Diesel</v>
      </c>
      <c r="M42" t="s">
        <v>240</v>
      </c>
      <c r="N42" t="s">
        <v>429</v>
      </c>
      <c r="O42" t="s">
        <v>358</v>
      </c>
      <c r="P42" t="s">
        <v>608</v>
      </c>
      <c r="Q42"/>
      <c r="R42"/>
      <c r="S42" t="str">
        <f t="shared" si="4"/>
        <v>XINDODS</v>
      </c>
      <c r="T42" t="str">
        <f t="shared" si="5"/>
        <v>ODS</v>
      </c>
      <c r="U42" t="str">
        <f t="shared" si="5"/>
        <v>INDODS</v>
      </c>
      <c r="V42">
        <v>1</v>
      </c>
      <c r="W42">
        <v>60</v>
      </c>
      <c r="X42"/>
      <c r="Y42">
        <v>1</v>
      </c>
      <c r="Z42">
        <v>1</v>
      </c>
    </row>
    <row r="43" spans="2:26" ht="15" x14ac:dyDescent="0.25">
      <c r="B43" t="s">
        <v>8</v>
      </c>
      <c r="C43" t="s">
        <v>207</v>
      </c>
      <c r="D43" t="str">
        <f t="shared" si="1"/>
        <v>TRAODS</v>
      </c>
      <c r="E43" t="str">
        <f t="shared" si="0"/>
        <v>Transport Oil Diesel</v>
      </c>
      <c r="F43" t="s">
        <v>240</v>
      </c>
      <c r="G43"/>
      <c r="H43"/>
      <c r="I43"/>
      <c r="J43"/>
      <c r="K43" t="str">
        <f t="shared" si="2"/>
        <v>XTRAODS</v>
      </c>
      <c r="L43" t="str">
        <f t="shared" si="3"/>
        <v>Transport Oil Diesel</v>
      </c>
      <c r="M43" t="s">
        <v>240</v>
      </c>
      <c r="N43" t="s">
        <v>429</v>
      </c>
      <c r="O43" t="s">
        <v>358</v>
      </c>
      <c r="P43" t="s">
        <v>608</v>
      </c>
      <c r="Q43"/>
      <c r="R43"/>
      <c r="S43" t="str">
        <f t="shared" si="4"/>
        <v>XTRAODS</v>
      </c>
      <c r="T43" t="str">
        <f t="shared" si="5"/>
        <v>ODS</v>
      </c>
      <c r="U43" t="str">
        <f t="shared" si="5"/>
        <v>TRAODS</v>
      </c>
      <c r="V43">
        <v>1</v>
      </c>
      <c r="W43">
        <v>60</v>
      </c>
      <c r="X43"/>
      <c r="Y43">
        <v>1</v>
      </c>
      <c r="Z43">
        <v>1</v>
      </c>
    </row>
    <row r="44" spans="2:26" ht="15" x14ac:dyDescent="0.25">
      <c r="B44" t="s">
        <v>10</v>
      </c>
      <c r="C44" t="s">
        <v>207</v>
      </c>
      <c r="D44" t="str">
        <f t="shared" ref="D44" si="33">B44&amp;C44</f>
        <v>PWRODS</v>
      </c>
      <c r="E44" t="str">
        <f t="shared" ref="E44" si="34">INDEX(SectorNamesLong,MATCH(B44,SectorNamesShort,0))&amp;" "&amp;INDEX(FuelNamesLong,MATCH(C44,FuelNamesShort,0))</f>
        <v>Power Oil Diesel</v>
      </c>
      <c r="F44" t="s">
        <v>240</v>
      </c>
      <c r="G44"/>
      <c r="H44"/>
      <c r="I44"/>
      <c r="J44"/>
      <c r="K44" t="str">
        <f t="shared" ref="K44" si="35">"X"&amp;D44</f>
        <v>XPWRODS</v>
      </c>
      <c r="L44" t="str">
        <f t="shared" ref="L44" si="36">E44</f>
        <v>Power Oil Diesel</v>
      </c>
      <c r="M44" t="s">
        <v>240</v>
      </c>
      <c r="N44" t="s">
        <v>429</v>
      </c>
      <c r="O44" t="s">
        <v>358</v>
      </c>
      <c r="P44" t="s">
        <v>608</v>
      </c>
      <c r="Q44"/>
      <c r="R44"/>
      <c r="S44" t="str">
        <f t="shared" ref="S44" si="37">K44</f>
        <v>XPWRODS</v>
      </c>
      <c r="T44" t="str">
        <f t="shared" ref="T44" si="38">C44</f>
        <v>ODS</v>
      </c>
      <c r="U44" t="str">
        <f t="shared" ref="U44" si="39">D44</f>
        <v>PWRODS</v>
      </c>
      <c r="V44">
        <v>1</v>
      </c>
      <c r="W44">
        <v>60</v>
      </c>
      <c r="X44"/>
      <c r="Y44">
        <v>1</v>
      </c>
      <c r="Z44">
        <v>1</v>
      </c>
    </row>
    <row r="45" spans="2:26" ht="15" x14ac:dyDescent="0.25">
      <c r="B45" t="s">
        <v>5</v>
      </c>
      <c r="C45" t="s">
        <v>209</v>
      </c>
      <c r="D45" t="str">
        <f t="shared" si="1"/>
        <v>AGROGS</v>
      </c>
      <c r="E45" t="str">
        <f t="shared" si="0"/>
        <v>Agriculture Oil Gasoline</v>
      </c>
      <c r="F45" t="s">
        <v>240</v>
      </c>
      <c r="G45"/>
      <c r="H45"/>
      <c r="I45"/>
      <c r="J45"/>
      <c r="K45" t="str">
        <f t="shared" si="2"/>
        <v>XAGROGS</v>
      </c>
      <c r="L45" t="str">
        <f t="shared" si="3"/>
        <v>Agriculture Oil Gasoline</v>
      </c>
      <c r="M45" t="s">
        <v>240</v>
      </c>
      <c r="N45" t="s">
        <v>429</v>
      </c>
      <c r="O45" t="s">
        <v>358</v>
      </c>
      <c r="P45" t="s">
        <v>608</v>
      </c>
      <c r="Q45"/>
      <c r="R45"/>
      <c r="S45" t="str">
        <f t="shared" si="4"/>
        <v>XAGROGS</v>
      </c>
      <c r="T45" t="str">
        <f t="shared" si="5"/>
        <v>OGS</v>
      </c>
      <c r="U45" t="str">
        <f t="shared" si="5"/>
        <v>AGROGS</v>
      </c>
      <c r="V45">
        <v>1</v>
      </c>
      <c r="W45">
        <v>60</v>
      </c>
      <c r="X45"/>
      <c r="Y45">
        <v>1</v>
      </c>
      <c r="Z45">
        <v>1</v>
      </c>
    </row>
    <row r="46" spans="2:26" ht="15" x14ac:dyDescent="0.25">
      <c r="B46" t="s">
        <v>6</v>
      </c>
      <c r="C46" t="s">
        <v>209</v>
      </c>
      <c r="D46" t="str">
        <f t="shared" si="1"/>
        <v>COMOGS</v>
      </c>
      <c r="E46" t="str">
        <f t="shared" si="0"/>
        <v>Commerce Oil Gasoline</v>
      </c>
      <c r="F46" t="s">
        <v>240</v>
      </c>
      <c r="G46"/>
      <c r="H46"/>
      <c r="I46"/>
      <c r="J46"/>
      <c r="K46" t="str">
        <f t="shared" si="2"/>
        <v>XCOMOGS</v>
      </c>
      <c r="L46" t="str">
        <f t="shared" si="3"/>
        <v>Commerce Oil Gasoline</v>
      </c>
      <c r="M46" t="s">
        <v>240</v>
      </c>
      <c r="N46" t="s">
        <v>429</v>
      </c>
      <c r="O46" t="s">
        <v>358</v>
      </c>
      <c r="P46" t="s">
        <v>608</v>
      </c>
      <c r="Q46"/>
      <c r="R46"/>
      <c r="S46" t="str">
        <f t="shared" si="4"/>
        <v>XCOMOGS</v>
      </c>
      <c r="T46" t="str">
        <f t="shared" si="5"/>
        <v>OGS</v>
      </c>
      <c r="U46" t="str">
        <f t="shared" si="5"/>
        <v>COMOGS</v>
      </c>
      <c r="V46">
        <v>1</v>
      </c>
      <c r="W46">
        <v>60</v>
      </c>
      <c r="X46"/>
      <c r="Y46">
        <v>1</v>
      </c>
      <c r="Z46">
        <v>1</v>
      </c>
    </row>
    <row r="47" spans="2:26" ht="15" x14ac:dyDescent="0.25">
      <c r="B47" t="s">
        <v>7</v>
      </c>
      <c r="C47" t="s">
        <v>209</v>
      </c>
      <c r="D47" t="str">
        <f t="shared" si="1"/>
        <v>INDOGS</v>
      </c>
      <c r="E47" t="str">
        <f t="shared" si="0"/>
        <v>Industry Oil Gasoline</v>
      </c>
      <c r="F47" t="s">
        <v>240</v>
      </c>
      <c r="G47"/>
      <c r="H47"/>
      <c r="I47"/>
      <c r="J47"/>
      <c r="K47" t="str">
        <f t="shared" si="2"/>
        <v>XINDOGS</v>
      </c>
      <c r="L47" t="str">
        <f t="shared" si="3"/>
        <v>Industry Oil Gasoline</v>
      </c>
      <c r="M47" t="s">
        <v>240</v>
      </c>
      <c r="N47" t="s">
        <v>429</v>
      </c>
      <c r="O47" t="s">
        <v>358</v>
      </c>
      <c r="P47" t="s">
        <v>608</v>
      </c>
      <c r="Q47"/>
      <c r="R47"/>
      <c r="S47" t="str">
        <f t="shared" si="4"/>
        <v>XINDOGS</v>
      </c>
      <c r="T47" t="str">
        <f t="shared" si="5"/>
        <v>OGS</v>
      </c>
      <c r="U47" t="str">
        <f t="shared" si="5"/>
        <v>INDOGS</v>
      </c>
      <c r="V47">
        <v>1</v>
      </c>
      <c r="W47">
        <v>60</v>
      </c>
      <c r="X47"/>
      <c r="Y47">
        <v>1</v>
      </c>
      <c r="Z47">
        <v>1</v>
      </c>
    </row>
    <row r="48" spans="2:26" ht="15" x14ac:dyDescent="0.25">
      <c r="B48" t="s">
        <v>8</v>
      </c>
      <c r="C48" t="s">
        <v>209</v>
      </c>
      <c r="D48" t="str">
        <f t="shared" si="1"/>
        <v>TRAOGS</v>
      </c>
      <c r="E48" t="str">
        <f t="shared" si="0"/>
        <v>Transport Oil Gasoline</v>
      </c>
      <c r="F48" t="s">
        <v>240</v>
      </c>
      <c r="G48"/>
      <c r="H48"/>
      <c r="I48"/>
      <c r="J48"/>
      <c r="K48" t="str">
        <f t="shared" si="2"/>
        <v>XTRAOGS</v>
      </c>
      <c r="L48" t="str">
        <f t="shared" si="3"/>
        <v>Transport Oil Gasoline</v>
      </c>
      <c r="M48" t="s">
        <v>240</v>
      </c>
      <c r="N48" t="s">
        <v>429</v>
      </c>
      <c r="O48" t="s">
        <v>358</v>
      </c>
      <c r="P48" t="s">
        <v>608</v>
      </c>
      <c r="Q48"/>
      <c r="R48"/>
      <c r="S48" t="str">
        <f t="shared" si="4"/>
        <v>XTRAOGS</v>
      </c>
      <c r="T48" t="str">
        <f t="shared" si="5"/>
        <v>OGS</v>
      </c>
      <c r="U48" t="str">
        <f t="shared" si="5"/>
        <v>TRAOGS</v>
      </c>
      <c r="V48">
        <v>1</v>
      </c>
      <c r="W48">
        <v>60</v>
      </c>
      <c r="X48"/>
      <c r="Y48">
        <v>1</v>
      </c>
      <c r="Z48">
        <v>1</v>
      </c>
    </row>
    <row r="49" spans="2:31" ht="15" x14ac:dyDescent="0.25">
      <c r="B49" t="s">
        <v>5</v>
      </c>
      <c r="C49" t="s">
        <v>211</v>
      </c>
      <c r="D49" t="str">
        <f t="shared" si="1"/>
        <v>AGROHF</v>
      </c>
      <c r="E49" t="str">
        <f t="shared" si="0"/>
        <v>Agriculture Oil HFO</v>
      </c>
      <c r="F49" t="s">
        <v>240</v>
      </c>
      <c r="G49"/>
      <c r="H49"/>
      <c r="I49"/>
      <c r="J49"/>
      <c r="K49" t="str">
        <f t="shared" si="2"/>
        <v>XAGROHF</v>
      </c>
      <c r="L49" t="str">
        <f t="shared" si="3"/>
        <v>Agriculture Oil HFO</v>
      </c>
      <c r="M49" t="s">
        <v>240</v>
      </c>
      <c r="N49" t="s">
        <v>429</v>
      </c>
      <c r="O49" t="s">
        <v>358</v>
      </c>
      <c r="P49" t="s">
        <v>608</v>
      </c>
      <c r="Q49"/>
      <c r="R49"/>
      <c r="S49" t="str">
        <f t="shared" si="4"/>
        <v>XAGROHF</v>
      </c>
      <c r="T49" t="str">
        <f t="shared" si="5"/>
        <v>OHF</v>
      </c>
      <c r="U49" t="str">
        <f t="shared" si="5"/>
        <v>AGROHF</v>
      </c>
      <c r="V49">
        <v>1</v>
      </c>
      <c r="W49">
        <v>60</v>
      </c>
      <c r="X49"/>
      <c r="Y49">
        <v>1</v>
      </c>
      <c r="Z49">
        <v>1</v>
      </c>
      <c r="AE49"/>
    </row>
    <row r="50" spans="2:31" ht="15" x14ac:dyDescent="0.25">
      <c r="B50" t="s">
        <v>6</v>
      </c>
      <c r="C50" t="s">
        <v>211</v>
      </c>
      <c r="D50" t="str">
        <f t="shared" si="1"/>
        <v>COMOHF</v>
      </c>
      <c r="E50" t="str">
        <f t="shared" si="0"/>
        <v>Commerce Oil HFO</v>
      </c>
      <c r="F50" t="s">
        <v>240</v>
      </c>
      <c r="G50"/>
      <c r="H50"/>
      <c r="I50"/>
      <c r="J50"/>
      <c r="K50" t="str">
        <f t="shared" si="2"/>
        <v>XCOMOHF</v>
      </c>
      <c r="L50" t="str">
        <f t="shared" si="3"/>
        <v>Commerce Oil HFO</v>
      </c>
      <c r="M50" t="s">
        <v>240</v>
      </c>
      <c r="N50" t="s">
        <v>429</v>
      </c>
      <c r="O50" t="s">
        <v>358</v>
      </c>
      <c r="P50" t="s">
        <v>608</v>
      </c>
      <c r="Q50"/>
      <c r="R50"/>
      <c r="S50" t="str">
        <f t="shared" si="4"/>
        <v>XCOMOHF</v>
      </c>
      <c r="T50" t="str">
        <f t="shared" si="5"/>
        <v>OHF</v>
      </c>
      <c r="U50" t="str">
        <f t="shared" si="5"/>
        <v>COMOHF</v>
      </c>
      <c r="V50">
        <v>1</v>
      </c>
      <c r="W50">
        <v>60</v>
      </c>
      <c r="X50"/>
      <c r="Y50">
        <v>1</v>
      </c>
      <c r="Z50">
        <v>1</v>
      </c>
      <c r="AE50"/>
    </row>
    <row r="51" spans="2:31" ht="15" x14ac:dyDescent="0.25">
      <c r="B51" t="s">
        <v>7</v>
      </c>
      <c r="C51" t="s">
        <v>211</v>
      </c>
      <c r="D51" t="str">
        <f t="shared" si="1"/>
        <v>INDOHF</v>
      </c>
      <c r="E51" t="str">
        <f t="shared" si="0"/>
        <v>Industry Oil HFO</v>
      </c>
      <c r="F51" t="s">
        <v>240</v>
      </c>
      <c r="G51"/>
      <c r="H51"/>
      <c r="I51"/>
      <c r="J51"/>
      <c r="K51" t="str">
        <f t="shared" si="2"/>
        <v>XINDOHF</v>
      </c>
      <c r="L51" t="str">
        <f t="shared" si="3"/>
        <v>Industry Oil HFO</v>
      </c>
      <c r="M51" t="s">
        <v>240</v>
      </c>
      <c r="N51" t="s">
        <v>429</v>
      </c>
      <c r="O51" t="s">
        <v>358</v>
      </c>
      <c r="P51" t="s">
        <v>608</v>
      </c>
      <c r="Q51"/>
      <c r="R51"/>
      <c r="S51" t="str">
        <f t="shared" si="4"/>
        <v>XINDOHF</v>
      </c>
      <c r="T51" t="str">
        <f t="shared" si="5"/>
        <v>OHF</v>
      </c>
      <c r="U51" t="str">
        <f t="shared" si="5"/>
        <v>INDOHF</v>
      </c>
      <c r="V51">
        <v>1</v>
      </c>
      <c r="W51">
        <v>60</v>
      </c>
      <c r="X51"/>
      <c r="Y51">
        <v>1</v>
      </c>
      <c r="Z51">
        <v>1</v>
      </c>
      <c r="AE51"/>
    </row>
    <row r="52" spans="2:31" ht="15" x14ac:dyDescent="0.25">
      <c r="B52" t="s">
        <v>8</v>
      </c>
      <c r="C52" t="s">
        <v>211</v>
      </c>
      <c r="D52" t="str">
        <f t="shared" si="1"/>
        <v>TRAOHF</v>
      </c>
      <c r="E52" t="str">
        <f t="shared" si="0"/>
        <v>Transport Oil HFO</v>
      </c>
      <c r="F52" t="s">
        <v>240</v>
      </c>
      <c r="G52"/>
      <c r="H52"/>
      <c r="I52"/>
      <c r="J52"/>
      <c r="K52" t="str">
        <f t="shared" si="2"/>
        <v>XTRAOHF</v>
      </c>
      <c r="L52" t="str">
        <f t="shared" si="3"/>
        <v>Transport Oil HFO</v>
      </c>
      <c r="M52" t="s">
        <v>240</v>
      </c>
      <c r="N52" t="s">
        <v>429</v>
      </c>
      <c r="O52" t="s">
        <v>358</v>
      </c>
      <c r="P52" t="s">
        <v>608</v>
      </c>
      <c r="Q52"/>
      <c r="R52"/>
      <c r="S52" t="str">
        <f t="shared" si="4"/>
        <v>XTRAOHF</v>
      </c>
      <c r="T52" t="str">
        <f t="shared" si="5"/>
        <v>OHF</v>
      </c>
      <c r="U52" t="str">
        <f t="shared" si="5"/>
        <v>TRAOHF</v>
      </c>
      <c r="V52">
        <v>1</v>
      </c>
      <c r="W52">
        <v>60</v>
      </c>
      <c r="X52"/>
      <c r="Y52">
        <v>1</v>
      </c>
      <c r="Z52">
        <v>1</v>
      </c>
      <c r="AE52"/>
    </row>
    <row r="53" spans="2:31" ht="15" x14ac:dyDescent="0.25">
      <c r="B53" t="s">
        <v>10</v>
      </c>
      <c r="C53" t="s">
        <v>211</v>
      </c>
      <c r="D53" t="str">
        <f t="shared" ref="D53" si="40">B53&amp;C53</f>
        <v>PWROHF</v>
      </c>
      <c r="E53" t="str">
        <f t="shared" ref="E53" si="41">INDEX(SectorNamesLong,MATCH(B53,SectorNamesShort,0))&amp;" "&amp;INDEX(FuelNamesLong,MATCH(C53,FuelNamesShort,0))</f>
        <v>Power Oil HFO</v>
      </c>
      <c r="F53" t="s">
        <v>240</v>
      </c>
      <c r="G53"/>
      <c r="H53"/>
      <c r="I53"/>
      <c r="J53"/>
      <c r="K53" t="str">
        <f t="shared" ref="K53" si="42">"X"&amp;D53</f>
        <v>XPWROHF</v>
      </c>
      <c r="L53" t="str">
        <f t="shared" ref="L53" si="43">E53</f>
        <v>Power Oil HFO</v>
      </c>
      <c r="M53" t="s">
        <v>240</v>
      </c>
      <c r="N53" t="s">
        <v>429</v>
      </c>
      <c r="O53" t="s">
        <v>358</v>
      </c>
      <c r="P53" t="s">
        <v>608</v>
      </c>
      <c r="Q53"/>
      <c r="R53"/>
      <c r="S53" t="str">
        <f t="shared" ref="S53" si="44">K53</f>
        <v>XPWROHF</v>
      </c>
      <c r="T53" t="str">
        <f t="shared" ref="T53" si="45">C53</f>
        <v>OHF</v>
      </c>
      <c r="U53" t="str">
        <f t="shared" ref="U53" si="46">D53</f>
        <v>PWROHF</v>
      </c>
      <c r="V53">
        <v>1</v>
      </c>
      <c r="W53">
        <v>60</v>
      </c>
      <c r="X53"/>
      <c r="Y53">
        <v>1</v>
      </c>
      <c r="Z53">
        <v>1</v>
      </c>
      <c r="AE53"/>
    </row>
    <row r="54" spans="2:31" ht="15" x14ac:dyDescent="0.25">
      <c r="B54" t="s">
        <v>5</v>
      </c>
      <c r="C54" t="s">
        <v>213</v>
      </c>
      <c r="D54" t="str">
        <f t="shared" si="1"/>
        <v>AGROKE</v>
      </c>
      <c r="E54" t="str">
        <f t="shared" si="0"/>
        <v>Agriculture Oil Kerosene</v>
      </c>
      <c r="F54" t="s">
        <v>240</v>
      </c>
      <c r="G54"/>
      <c r="H54"/>
      <c r="I54"/>
      <c r="J54"/>
      <c r="K54" t="str">
        <f t="shared" si="2"/>
        <v>XAGROKE</v>
      </c>
      <c r="L54" t="str">
        <f t="shared" si="3"/>
        <v>Agriculture Oil Kerosene</v>
      </c>
      <c r="M54" t="s">
        <v>240</v>
      </c>
      <c r="N54" t="s">
        <v>429</v>
      </c>
      <c r="O54" t="s">
        <v>358</v>
      </c>
      <c r="P54" t="s">
        <v>608</v>
      </c>
      <c r="Q54"/>
      <c r="R54"/>
      <c r="S54" t="str">
        <f t="shared" si="4"/>
        <v>XAGROKE</v>
      </c>
      <c r="T54" t="str">
        <f t="shared" si="5"/>
        <v>OKE</v>
      </c>
      <c r="U54" t="str">
        <f t="shared" si="5"/>
        <v>AGROKE</v>
      </c>
      <c r="V54">
        <v>1</v>
      </c>
      <c r="W54">
        <v>60</v>
      </c>
      <c r="X54"/>
      <c r="Y54">
        <v>1</v>
      </c>
      <c r="Z54">
        <v>1</v>
      </c>
      <c r="AE54"/>
    </row>
    <row r="55" spans="2:31" ht="15" x14ac:dyDescent="0.25">
      <c r="B55" t="s">
        <v>6</v>
      </c>
      <c r="C55" t="s">
        <v>213</v>
      </c>
      <c r="D55" t="str">
        <f t="shared" si="1"/>
        <v>COMOKE</v>
      </c>
      <c r="E55" t="str">
        <f t="shared" si="0"/>
        <v>Commerce Oil Kerosene</v>
      </c>
      <c r="F55" t="s">
        <v>240</v>
      </c>
      <c r="G55"/>
      <c r="H55"/>
      <c r="I55"/>
      <c r="J55"/>
      <c r="K55" t="str">
        <f t="shared" si="2"/>
        <v>XCOMOKE</v>
      </c>
      <c r="L55" t="str">
        <f t="shared" si="3"/>
        <v>Commerce Oil Kerosene</v>
      </c>
      <c r="M55" t="s">
        <v>240</v>
      </c>
      <c r="N55" t="s">
        <v>429</v>
      </c>
      <c r="O55" t="s">
        <v>358</v>
      </c>
      <c r="P55" t="s">
        <v>608</v>
      </c>
      <c r="Q55"/>
      <c r="R55"/>
      <c r="S55" t="str">
        <f t="shared" si="4"/>
        <v>XCOMOKE</v>
      </c>
      <c r="T55" t="str">
        <f t="shared" si="5"/>
        <v>OKE</v>
      </c>
      <c r="U55" t="str">
        <f t="shared" si="5"/>
        <v>COMOKE</v>
      </c>
      <c r="V55">
        <v>1</v>
      </c>
      <c r="W55">
        <v>60</v>
      </c>
      <c r="X55"/>
      <c r="Y55">
        <v>1</v>
      </c>
      <c r="Z55">
        <v>1</v>
      </c>
      <c r="AE55"/>
    </row>
    <row r="56" spans="2:31" ht="15" x14ac:dyDescent="0.25">
      <c r="B56" t="s">
        <v>9</v>
      </c>
      <c r="C56" t="s">
        <v>213</v>
      </c>
      <c r="D56" t="str">
        <f t="shared" si="1"/>
        <v>RESOKE</v>
      </c>
      <c r="E56" t="str">
        <f t="shared" si="0"/>
        <v>Residential Oil Kerosene</v>
      </c>
      <c r="F56" t="s">
        <v>240</v>
      </c>
      <c r="G56"/>
      <c r="H56"/>
      <c r="I56"/>
      <c r="J56"/>
      <c r="K56" t="str">
        <f t="shared" si="2"/>
        <v>XRESOKE</v>
      </c>
      <c r="L56" t="str">
        <f t="shared" si="3"/>
        <v>Residential Oil Kerosene</v>
      </c>
      <c r="M56" t="s">
        <v>240</v>
      </c>
      <c r="N56" t="s">
        <v>429</v>
      </c>
      <c r="O56" t="s">
        <v>358</v>
      </c>
      <c r="P56" t="s">
        <v>608</v>
      </c>
      <c r="Q56"/>
      <c r="R56"/>
      <c r="S56" t="str">
        <f t="shared" si="4"/>
        <v>XRESOKE</v>
      </c>
      <c r="T56" t="str">
        <f t="shared" si="5"/>
        <v>OKE</v>
      </c>
      <c r="U56" t="str">
        <f t="shared" si="5"/>
        <v>RESOKE</v>
      </c>
      <c r="V56">
        <v>1</v>
      </c>
      <c r="W56">
        <v>60</v>
      </c>
      <c r="X56"/>
      <c r="Y56">
        <v>1</v>
      </c>
      <c r="Z56">
        <v>1</v>
      </c>
      <c r="AE56"/>
    </row>
    <row r="57" spans="2:31" ht="15" x14ac:dyDescent="0.25">
      <c r="B57" t="s">
        <v>8</v>
      </c>
      <c r="C57" t="s">
        <v>213</v>
      </c>
      <c r="D57" t="str">
        <f t="shared" si="1"/>
        <v>TRAOKE</v>
      </c>
      <c r="E57" t="str">
        <f t="shared" si="0"/>
        <v>Transport Oil Kerosene</v>
      </c>
      <c r="F57" t="s">
        <v>240</v>
      </c>
      <c r="G57"/>
      <c r="H57"/>
      <c r="I57"/>
      <c r="J57"/>
      <c r="K57" t="str">
        <f t="shared" si="2"/>
        <v>XTRAOKE</v>
      </c>
      <c r="L57" t="str">
        <f t="shared" si="3"/>
        <v>Transport Oil Kerosene</v>
      </c>
      <c r="M57" t="s">
        <v>240</v>
      </c>
      <c r="N57" t="s">
        <v>429</v>
      </c>
      <c r="O57" t="s">
        <v>358</v>
      </c>
      <c r="P57" t="s">
        <v>608</v>
      </c>
      <c r="Q57"/>
      <c r="R57"/>
      <c r="S57" t="str">
        <f t="shared" si="4"/>
        <v>XTRAOKE</v>
      </c>
      <c r="T57" t="str">
        <f t="shared" si="5"/>
        <v>OKE</v>
      </c>
      <c r="U57" t="str">
        <f t="shared" si="5"/>
        <v>TRAOKE</v>
      </c>
      <c r="V57">
        <v>1</v>
      </c>
      <c r="W57">
        <v>60</v>
      </c>
      <c r="X57"/>
      <c r="Y57">
        <v>1</v>
      </c>
      <c r="Z57">
        <v>1</v>
      </c>
      <c r="AE57"/>
    </row>
    <row r="58" spans="2:31" ht="15" x14ac:dyDescent="0.25">
      <c r="B58" t="s">
        <v>10</v>
      </c>
      <c r="C58" t="s">
        <v>213</v>
      </c>
      <c r="D58" t="str">
        <f t="shared" ref="D58" si="47">B58&amp;C58</f>
        <v>PWROKE</v>
      </c>
      <c r="E58" t="str">
        <f t="shared" ref="E58" si="48">INDEX(SectorNamesLong,MATCH(B58,SectorNamesShort,0))&amp;" "&amp;INDEX(FuelNamesLong,MATCH(C58,FuelNamesShort,0))</f>
        <v>Power Oil Kerosene</v>
      </c>
      <c r="F58" t="s">
        <v>240</v>
      </c>
      <c r="G58"/>
      <c r="H58"/>
      <c r="I58"/>
      <c r="J58"/>
      <c r="K58" t="str">
        <f t="shared" ref="K58" si="49">"X"&amp;D58</f>
        <v>XPWROKE</v>
      </c>
      <c r="L58" t="str">
        <f t="shared" ref="L58" si="50">E58</f>
        <v>Power Oil Kerosene</v>
      </c>
      <c r="M58" t="s">
        <v>240</v>
      </c>
      <c r="N58" t="s">
        <v>429</v>
      </c>
      <c r="O58" t="s">
        <v>358</v>
      </c>
      <c r="P58" t="s">
        <v>608</v>
      </c>
      <c r="Q58"/>
      <c r="R58"/>
      <c r="S58" t="str">
        <f t="shared" ref="S58" si="51">K58</f>
        <v>XPWROKE</v>
      </c>
      <c r="T58" t="str">
        <f t="shared" ref="T58" si="52">C58</f>
        <v>OKE</v>
      </c>
      <c r="U58" t="str">
        <f t="shared" ref="U58" si="53">D58</f>
        <v>PWROKE</v>
      </c>
      <c r="V58">
        <v>1</v>
      </c>
      <c r="W58">
        <v>60</v>
      </c>
      <c r="X58"/>
      <c r="Y58">
        <v>1</v>
      </c>
      <c r="Z58">
        <v>1</v>
      </c>
      <c r="AE58"/>
    </row>
    <row r="59" spans="2:31" ht="15" x14ac:dyDescent="0.25">
      <c r="B59" t="s">
        <v>5</v>
      </c>
      <c r="C59" t="s">
        <v>215</v>
      </c>
      <c r="D59" t="str">
        <f t="shared" si="1"/>
        <v>AGROLP</v>
      </c>
      <c r="E59" t="str">
        <f t="shared" si="0"/>
        <v>Agriculture Oil LPG</v>
      </c>
      <c r="F59" t="s">
        <v>240</v>
      </c>
      <c r="G59"/>
      <c r="H59"/>
      <c r="I59"/>
      <c r="J59"/>
      <c r="K59" t="str">
        <f t="shared" si="2"/>
        <v>XAGROLP</v>
      </c>
      <c r="L59" t="str">
        <f t="shared" si="3"/>
        <v>Agriculture Oil LPG</v>
      </c>
      <c r="M59" t="s">
        <v>240</v>
      </c>
      <c r="N59" t="s">
        <v>429</v>
      </c>
      <c r="O59" t="s">
        <v>358</v>
      </c>
      <c r="P59" t="s">
        <v>608</v>
      </c>
      <c r="Q59"/>
      <c r="R59"/>
      <c r="S59" t="str">
        <f t="shared" si="4"/>
        <v>XAGROLP</v>
      </c>
      <c r="T59" t="str">
        <f t="shared" si="5"/>
        <v>OLP</v>
      </c>
      <c r="U59" t="str">
        <f t="shared" si="5"/>
        <v>AGROLP</v>
      </c>
      <c r="V59">
        <v>1</v>
      </c>
      <c r="W59">
        <v>60</v>
      </c>
      <c r="X59"/>
      <c r="Y59">
        <v>1</v>
      </c>
      <c r="Z59">
        <v>1</v>
      </c>
      <c r="AE59"/>
    </row>
    <row r="60" spans="2:31" ht="15" x14ac:dyDescent="0.25">
      <c r="B60" t="s">
        <v>6</v>
      </c>
      <c r="C60" t="s">
        <v>215</v>
      </c>
      <c r="D60" t="str">
        <f t="shared" si="1"/>
        <v>COMOLP</v>
      </c>
      <c r="E60" t="str">
        <f t="shared" si="0"/>
        <v>Commerce Oil LPG</v>
      </c>
      <c r="F60" t="s">
        <v>240</v>
      </c>
      <c r="G60"/>
      <c r="H60"/>
      <c r="I60"/>
      <c r="J60"/>
      <c r="K60" t="str">
        <f t="shared" si="2"/>
        <v>XCOMOLP</v>
      </c>
      <c r="L60" t="str">
        <f t="shared" si="3"/>
        <v>Commerce Oil LPG</v>
      </c>
      <c r="M60" t="s">
        <v>240</v>
      </c>
      <c r="N60" t="s">
        <v>429</v>
      </c>
      <c r="O60" t="s">
        <v>358</v>
      </c>
      <c r="P60" t="s">
        <v>608</v>
      </c>
      <c r="Q60"/>
      <c r="R60"/>
      <c r="S60" t="str">
        <f t="shared" si="4"/>
        <v>XCOMOLP</v>
      </c>
      <c r="T60" t="str">
        <f t="shared" si="5"/>
        <v>OLP</v>
      </c>
      <c r="U60" t="str">
        <f t="shared" si="5"/>
        <v>COMOLP</v>
      </c>
      <c r="V60">
        <v>1</v>
      </c>
      <c r="W60">
        <v>60</v>
      </c>
      <c r="X60"/>
      <c r="Y60">
        <v>1</v>
      </c>
      <c r="Z60">
        <v>1</v>
      </c>
      <c r="AE60"/>
    </row>
    <row r="61" spans="2:31" ht="15" x14ac:dyDescent="0.25">
      <c r="B61" t="s">
        <v>7</v>
      </c>
      <c r="C61" t="s">
        <v>215</v>
      </c>
      <c r="D61" t="str">
        <f t="shared" si="1"/>
        <v>INDOLP</v>
      </c>
      <c r="E61" t="str">
        <f t="shared" si="0"/>
        <v>Industry Oil LPG</v>
      </c>
      <c r="F61" t="s">
        <v>240</v>
      </c>
      <c r="G61"/>
      <c r="H61"/>
      <c r="I61"/>
      <c r="J61"/>
      <c r="K61" t="str">
        <f t="shared" si="2"/>
        <v>XINDOLP</v>
      </c>
      <c r="L61" t="str">
        <f t="shared" si="3"/>
        <v>Industry Oil LPG</v>
      </c>
      <c r="M61" t="s">
        <v>240</v>
      </c>
      <c r="N61" t="s">
        <v>429</v>
      </c>
      <c r="O61" t="s">
        <v>358</v>
      </c>
      <c r="P61" t="s">
        <v>608</v>
      </c>
      <c r="Q61"/>
      <c r="R61"/>
      <c r="S61" t="str">
        <f t="shared" si="4"/>
        <v>XINDOLP</v>
      </c>
      <c r="T61" t="str">
        <f t="shared" si="5"/>
        <v>OLP</v>
      </c>
      <c r="U61" t="str">
        <f t="shared" si="5"/>
        <v>INDOLP</v>
      </c>
      <c r="V61">
        <v>1</v>
      </c>
      <c r="W61">
        <v>60</v>
      </c>
      <c r="X61"/>
      <c r="Y61">
        <v>1</v>
      </c>
      <c r="Z61">
        <v>1</v>
      </c>
      <c r="AE61"/>
    </row>
    <row r="62" spans="2:31" ht="15" x14ac:dyDescent="0.25">
      <c r="B62" t="s">
        <v>9</v>
      </c>
      <c r="C62" t="s">
        <v>215</v>
      </c>
      <c r="D62" t="str">
        <f t="shared" si="1"/>
        <v>RESOLP</v>
      </c>
      <c r="E62" t="str">
        <f t="shared" si="0"/>
        <v>Residential Oil LPG</v>
      </c>
      <c r="F62" t="s">
        <v>240</v>
      </c>
      <c r="G62"/>
      <c r="H62"/>
      <c r="I62"/>
      <c r="J62"/>
      <c r="K62" t="str">
        <f t="shared" si="2"/>
        <v>XRESOLP</v>
      </c>
      <c r="L62" t="str">
        <f t="shared" si="3"/>
        <v>Residential Oil LPG</v>
      </c>
      <c r="M62" t="s">
        <v>240</v>
      </c>
      <c r="N62" t="s">
        <v>429</v>
      </c>
      <c r="O62" t="s">
        <v>358</v>
      </c>
      <c r="P62" t="s">
        <v>608</v>
      </c>
      <c r="Q62"/>
      <c r="R62"/>
      <c r="S62" t="str">
        <f t="shared" si="4"/>
        <v>XRESOLP</v>
      </c>
      <c r="T62" t="str">
        <f t="shared" si="5"/>
        <v>OLP</v>
      </c>
      <c r="U62" t="str">
        <f t="shared" si="5"/>
        <v>RESOLP</v>
      </c>
      <c r="V62">
        <v>1</v>
      </c>
      <c r="W62">
        <v>60</v>
      </c>
      <c r="X62"/>
      <c r="Y62">
        <v>1</v>
      </c>
      <c r="Z62">
        <v>1</v>
      </c>
      <c r="AE62"/>
    </row>
    <row r="63" spans="2:31" ht="15" x14ac:dyDescent="0.25">
      <c r="B63" t="s">
        <v>7</v>
      </c>
      <c r="C63" t="s">
        <v>223</v>
      </c>
      <c r="D63" t="str">
        <f t="shared" si="1"/>
        <v>INDWAS</v>
      </c>
      <c r="E63" t="str">
        <f t="shared" si="0"/>
        <v>Industry Waste</v>
      </c>
      <c r="F63" t="s">
        <v>240</v>
      </c>
      <c r="G63"/>
      <c r="H63"/>
      <c r="I63"/>
      <c r="J63"/>
      <c r="K63" t="str">
        <f t="shared" si="2"/>
        <v>XINDWAS</v>
      </c>
      <c r="L63" t="str">
        <f t="shared" si="3"/>
        <v>Industry Waste</v>
      </c>
      <c r="M63" t="s">
        <v>240</v>
      </c>
      <c r="N63" t="s">
        <v>429</v>
      </c>
      <c r="O63" t="s">
        <v>358</v>
      </c>
      <c r="P63" t="s">
        <v>608</v>
      </c>
      <c r="Q63"/>
      <c r="R63"/>
      <c r="S63" t="str">
        <f t="shared" si="4"/>
        <v>XINDWAS</v>
      </c>
      <c r="T63" t="str">
        <f t="shared" si="5"/>
        <v>WAS</v>
      </c>
      <c r="U63" t="str">
        <f t="shared" si="5"/>
        <v>INDWAS</v>
      </c>
      <c r="V63">
        <v>1</v>
      </c>
      <c r="W63">
        <v>60</v>
      </c>
      <c r="X63"/>
      <c r="Y63">
        <v>1</v>
      </c>
      <c r="Z63">
        <v>1</v>
      </c>
    </row>
    <row r="64" spans="2:31" ht="15" x14ac:dyDescent="0.25">
      <c r="B64" t="s">
        <v>10</v>
      </c>
      <c r="C64" t="s">
        <v>219</v>
      </c>
      <c r="D64" t="str">
        <f t="shared" ref="D64:D69" si="54">B64&amp;C64</f>
        <v>PWRSOL</v>
      </c>
      <c r="E64" t="str">
        <f t="shared" ref="E64:E69" si="55">INDEX(SectorNamesLong,MATCH(B64,SectorNamesShort,0))&amp;" "&amp;INDEX(FuelNamesLong,MATCH(C64,FuelNamesShort,0))</f>
        <v>Power Solar</v>
      </c>
      <c r="F64" t="s">
        <v>240</v>
      </c>
      <c r="G64"/>
      <c r="H64"/>
      <c r="I64"/>
      <c r="J64"/>
      <c r="K64" t="str">
        <f t="shared" ref="K64:K69" si="56">"X"&amp;D64</f>
        <v>XPWRSOL</v>
      </c>
      <c r="L64" t="str">
        <f t="shared" ref="L64:L69" si="57">E64</f>
        <v>Power Solar</v>
      </c>
      <c r="M64" t="s">
        <v>240</v>
      </c>
      <c r="N64" t="s">
        <v>429</v>
      </c>
      <c r="O64" t="s">
        <v>358</v>
      </c>
      <c r="P64" t="s">
        <v>608</v>
      </c>
      <c r="Q64"/>
      <c r="R64"/>
      <c r="S64" t="str">
        <f t="shared" ref="S64:S69" si="58">K64</f>
        <v>XPWRSOL</v>
      </c>
      <c r="T64" t="str">
        <f t="shared" ref="T64:T69" si="59">C64</f>
        <v>SOL</v>
      </c>
      <c r="U64" t="str">
        <f t="shared" ref="U64:U69" si="60">D64</f>
        <v>PWRSOL</v>
      </c>
      <c r="V64">
        <v>1</v>
      </c>
      <c r="W64">
        <v>60</v>
      </c>
      <c r="X64"/>
      <c r="Y64">
        <v>1</v>
      </c>
      <c r="Z64">
        <v>1</v>
      </c>
    </row>
    <row r="65" spans="2:26" ht="15" x14ac:dyDescent="0.25">
      <c r="B65" t="s">
        <v>10</v>
      </c>
      <c r="C65" t="s">
        <v>221</v>
      </c>
      <c r="D65" t="str">
        <f t="shared" si="54"/>
        <v>PWRWND</v>
      </c>
      <c r="E65" t="str">
        <f t="shared" si="55"/>
        <v>Power Wind</v>
      </c>
      <c r="F65" t="s">
        <v>240</v>
      </c>
      <c r="G65"/>
      <c r="H65"/>
      <c r="I65"/>
      <c r="J65"/>
      <c r="K65" t="str">
        <f t="shared" si="56"/>
        <v>XPWRWND</v>
      </c>
      <c r="L65" t="str">
        <f t="shared" si="57"/>
        <v>Power Wind</v>
      </c>
      <c r="M65" t="s">
        <v>240</v>
      </c>
      <c r="N65" t="s">
        <v>429</v>
      </c>
      <c r="O65" t="s">
        <v>358</v>
      </c>
      <c r="P65" t="s">
        <v>608</v>
      </c>
      <c r="Q65"/>
      <c r="R65"/>
      <c r="S65" t="str">
        <f t="shared" si="58"/>
        <v>XPWRWND</v>
      </c>
      <c r="T65" t="str">
        <f t="shared" si="59"/>
        <v>WND</v>
      </c>
      <c r="U65" t="str">
        <f t="shared" si="60"/>
        <v>PWRWND</v>
      </c>
      <c r="V65">
        <v>1</v>
      </c>
      <c r="W65">
        <v>60</v>
      </c>
      <c r="X65"/>
      <c r="Y65">
        <v>1</v>
      </c>
      <c r="Z65">
        <v>1</v>
      </c>
    </row>
    <row r="66" spans="2:26" ht="15" x14ac:dyDescent="0.25">
      <c r="B66" t="s">
        <v>10</v>
      </c>
      <c r="C66" t="s">
        <v>197</v>
      </c>
      <c r="D66" t="str">
        <f t="shared" si="54"/>
        <v>PWRHYD</v>
      </c>
      <c r="E66" t="str">
        <f t="shared" si="55"/>
        <v>Power Hydro</v>
      </c>
      <c r="F66" t="s">
        <v>240</v>
      </c>
      <c r="G66"/>
      <c r="H66"/>
      <c r="I66"/>
      <c r="J66"/>
      <c r="K66" t="str">
        <f t="shared" si="56"/>
        <v>XPWRHYD</v>
      </c>
      <c r="L66" t="str">
        <f t="shared" si="57"/>
        <v>Power Hydro</v>
      </c>
      <c r="M66" t="s">
        <v>240</v>
      </c>
      <c r="N66" t="s">
        <v>429</v>
      </c>
      <c r="O66" t="s">
        <v>358</v>
      </c>
      <c r="P66" t="s">
        <v>608</v>
      </c>
      <c r="Q66"/>
      <c r="R66"/>
      <c r="S66" t="str">
        <f t="shared" si="58"/>
        <v>XPWRHYD</v>
      </c>
      <c r="T66" t="str">
        <f t="shared" si="59"/>
        <v>HYD</v>
      </c>
      <c r="U66" t="str">
        <f t="shared" si="60"/>
        <v>PWRHYD</v>
      </c>
      <c r="V66">
        <v>1</v>
      </c>
      <c r="W66">
        <v>60</v>
      </c>
      <c r="X66"/>
      <c r="Y66">
        <v>1</v>
      </c>
      <c r="Z66">
        <v>1</v>
      </c>
    </row>
    <row r="67" spans="2:26" ht="15" x14ac:dyDescent="0.25">
      <c r="B67" t="s">
        <v>10</v>
      </c>
      <c r="C67" t="s">
        <v>153</v>
      </c>
      <c r="D67" t="str">
        <f t="shared" si="54"/>
        <v>PWRBIO</v>
      </c>
      <c r="E67" t="str">
        <f t="shared" si="55"/>
        <v>Power Biomass Other</v>
      </c>
      <c r="F67" t="s">
        <v>240</v>
      </c>
      <c r="G67"/>
      <c r="H67"/>
      <c r="I67"/>
      <c r="J67"/>
      <c r="K67" t="str">
        <f t="shared" si="56"/>
        <v>XPWRBIO</v>
      </c>
      <c r="L67" t="str">
        <f t="shared" si="57"/>
        <v>Power Biomass Other</v>
      </c>
      <c r="M67" t="s">
        <v>240</v>
      </c>
      <c r="N67" t="s">
        <v>429</v>
      </c>
      <c r="O67" t="s">
        <v>358</v>
      </c>
      <c r="P67" t="s">
        <v>608</v>
      </c>
      <c r="Q67"/>
      <c r="R67"/>
      <c r="S67" t="str">
        <f t="shared" si="58"/>
        <v>XPWRBIO</v>
      </c>
      <c r="T67" t="str">
        <f t="shared" si="59"/>
        <v>BIO</v>
      </c>
      <c r="U67" t="str">
        <f t="shared" si="60"/>
        <v>PWRBIO</v>
      </c>
      <c r="V67">
        <v>1</v>
      </c>
      <c r="W67">
        <v>60</v>
      </c>
      <c r="X67"/>
      <c r="Y67">
        <v>1</v>
      </c>
      <c r="Z67">
        <v>1</v>
      </c>
    </row>
    <row r="68" spans="2:26" ht="15" x14ac:dyDescent="0.25">
      <c r="B68" t="s">
        <v>10</v>
      </c>
      <c r="C68" t="s">
        <v>201</v>
      </c>
      <c r="D68" t="str">
        <f t="shared" si="54"/>
        <v>PWRNUC</v>
      </c>
      <c r="E68" t="str">
        <f t="shared" si="55"/>
        <v>Power Nuclear</v>
      </c>
      <c r="F68" t="s">
        <v>240</v>
      </c>
      <c r="G68"/>
      <c r="H68"/>
      <c r="I68"/>
      <c r="J68"/>
      <c r="K68" t="str">
        <f t="shared" si="56"/>
        <v>XPWRNUC</v>
      </c>
      <c r="L68" t="str">
        <f t="shared" si="57"/>
        <v>Power Nuclear</v>
      </c>
      <c r="M68" t="s">
        <v>240</v>
      </c>
      <c r="N68" t="s">
        <v>429</v>
      </c>
      <c r="O68" t="s">
        <v>358</v>
      </c>
      <c r="P68" t="s">
        <v>608</v>
      </c>
      <c r="Q68"/>
      <c r="R68"/>
      <c r="S68" t="str">
        <f t="shared" si="58"/>
        <v>XPWRNUC</v>
      </c>
      <c r="T68" t="str">
        <f t="shared" si="59"/>
        <v>NUC</v>
      </c>
      <c r="U68" t="str">
        <f t="shared" si="60"/>
        <v>PWRNUC</v>
      </c>
      <c r="V68">
        <v>1</v>
      </c>
      <c r="W68">
        <v>60</v>
      </c>
      <c r="X68"/>
      <c r="Y68">
        <v>1</v>
      </c>
      <c r="Z68">
        <v>1</v>
      </c>
    </row>
    <row r="69" spans="2:26" ht="15" x14ac:dyDescent="0.25">
      <c r="B69" t="s">
        <v>10</v>
      </c>
      <c r="C69" t="s">
        <v>163</v>
      </c>
      <c r="D69" t="str">
        <f t="shared" si="54"/>
        <v>PWRCLE</v>
      </c>
      <c r="E69" t="str">
        <f t="shared" si="55"/>
        <v>Power Coal low grade</v>
      </c>
      <c r="F69" t="s">
        <v>240</v>
      </c>
      <c r="G69"/>
      <c r="H69"/>
      <c r="I69"/>
      <c r="J69"/>
      <c r="K69" t="str">
        <f t="shared" si="56"/>
        <v>XPWRCLE</v>
      </c>
      <c r="L69" t="str">
        <f t="shared" si="57"/>
        <v>Power Coal low grade</v>
      </c>
      <c r="M69" t="s">
        <v>240</v>
      </c>
      <c r="N69" t="s">
        <v>429</v>
      </c>
      <c r="O69" t="s">
        <v>358</v>
      </c>
      <c r="P69" t="s">
        <v>608</v>
      </c>
      <c r="Q69"/>
      <c r="R69"/>
      <c r="S69" t="str">
        <f t="shared" si="58"/>
        <v>XPWRCLE</v>
      </c>
      <c r="T69" t="str">
        <f t="shared" si="59"/>
        <v>CLE</v>
      </c>
      <c r="U69" t="str">
        <f t="shared" si="60"/>
        <v>PWRCLE</v>
      </c>
      <c r="V69">
        <v>1</v>
      </c>
      <c r="W69">
        <v>60</v>
      </c>
      <c r="X69"/>
      <c r="Y69">
        <v>1</v>
      </c>
      <c r="Z69">
        <v>1</v>
      </c>
    </row>
    <row r="78" spans="2:26" ht="15" x14ac:dyDescent="0.25">
      <c r="B78"/>
    </row>
    <row r="79" spans="2:26" ht="15" x14ac:dyDescent="0.25">
      <c r="B79"/>
    </row>
    <row r="80" spans="2:26" ht="15" x14ac:dyDescent="0.25">
      <c r="B80"/>
    </row>
    <row r="81" spans="2:2" ht="15" x14ac:dyDescent="0.25">
      <c r="B81"/>
    </row>
    <row r="82" spans="2:2" ht="15" x14ac:dyDescent="0.25">
      <c r="B82"/>
    </row>
    <row r="83" spans="2:2" ht="15" x14ac:dyDescent="0.25">
      <c r="B83"/>
    </row>
    <row r="84" spans="2:2" ht="15" x14ac:dyDescent="0.25">
      <c r="B84"/>
    </row>
    <row r="85" spans="2:2" ht="15" x14ac:dyDescent="0.25">
      <c r="B85"/>
    </row>
    <row r="86" spans="2:2" ht="15" x14ac:dyDescent="0.25">
      <c r="B86"/>
    </row>
    <row r="87" spans="2:2" ht="15" x14ac:dyDescent="0.25">
      <c r="B87"/>
    </row>
    <row r="88" spans="2:2" ht="15" x14ac:dyDescent="0.25">
      <c r="B88"/>
    </row>
    <row r="89" spans="2:2" ht="15" x14ac:dyDescent="0.25">
      <c r="B89"/>
    </row>
    <row r="90" spans="2:2" ht="15" x14ac:dyDescent="0.25">
      <c r="B90"/>
    </row>
    <row r="91" spans="2:2" ht="15" x14ac:dyDescent="0.25">
      <c r="B91"/>
    </row>
    <row r="92" spans="2:2" ht="15" x14ac:dyDescent="0.25">
      <c r="B92"/>
    </row>
    <row r="93" spans="2:2" ht="15" x14ac:dyDescent="0.25">
      <c r="B93"/>
    </row>
    <row r="94" spans="2:2" ht="15" x14ac:dyDescent="0.25">
      <c r="B94"/>
    </row>
    <row r="95" spans="2:2" ht="15" x14ac:dyDescent="0.25">
      <c r="B95"/>
    </row>
    <row r="96" spans="2:2" ht="15" x14ac:dyDescent="0.25">
      <c r="B96"/>
    </row>
    <row r="97" spans="2:2" ht="15" x14ac:dyDescent="0.25">
      <c r="B97"/>
    </row>
    <row r="98" spans="2:2" ht="15" x14ac:dyDescent="0.25">
      <c r="B98"/>
    </row>
    <row r="99" spans="2:2" ht="15" x14ac:dyDescent="0.25">
      <c r="B99"/>
    </row>
    <row r="100" spans="2:2" ht="15" x14ac:dyDescent="0.25">
      <c r="B100"/>
    </row>
    <row r="101" spans="2:2" ht="15" x14ac:dyDescent="0.25">
      <c r="B101"/>
    </row>
    <row r="102" spans="2:2" ht="15" x14ac:dyDescent="0.25">
      <c r="B102"/>
    </row>
    <row r="103" spans="2:2" ht="15" x14ac:dyDescent="0.25">
      <c r="B103"/>
    </row>
    <row r="104" spans="2:2" ht="15" x14ac:dyDescent="0.25">
      <c r="B104"/>
    </row>
    <row r="105" spans="2:2" ht="15" x14ac:dyDescent="0.25">
      <c r="B105"/>
    </row>
    <row r="106" spans="2:2" ht="15" x14ac:dyDescent="0.25">
      <c r="B106"/>
    </row>
    <row r="107" spans="2:2" ht="15" x14ac:dyDescent="0.25">
      <c r="B107"/>
    </row>
    <row r="108" spans="2:2" ht="15" x14ac:dyDescent="0.25">
      <c r="B108"/>
    </row>
    <row r="109" spans="2:2" ht="15" x14ac:dyDescent="0.25">
      <c r="B109"/>
    </row>
    <row r="110" spans="2:2" ht="15" x14ac:dyDescent="0.25">
      <c r="B110"/>
    </row>
    <row r="111" spans="2:2" ht="15" x14ac:dyDescent="0.25">
      <c r="B111"/>
    </row>
    <row r="112" spans="2:2" ht="15" x14ac:dyDescent="0.25">
      <c r="B112"/>
    </row>
    <row r="113" spans="2:2" ht="15" x14ac:dyDescent="0.25">
      <c r="B113"/>
    </row>
    <row r="114" spans="2:2" ht="15" x14ac:dyDescent="0.25">
      <c r="B114"/>
    </row>
    <row r="115" spans="2:2" ht="15" x14ac:dyDescent="0.25">
      <c r="B115"/>
    </row>
    <row r="116" spans="2:2" ht="15" x14ac:dyDescent="0.25">
      <c r="B116"/>
    </row>
    <row r="117" spans="2:2" ht="15" x14ac:dyDescent="0.25">
      <c r="B117"/>
    </row>
  </sheetData>
  <autoFilter ref="B8:AA63" xr:uid="{00000000-0001-0000-2200-000000000000}"/>
  <pageMargins left="0.7" right="0.7" top="0.75" bottom="0.75" header="0.3" footer="0.3"/>
  <pageSetup paperSize="9" orientation="portrait" horizontalDpi="4294967292" verticalDpi="4294967292"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77FD9F-1D66-47D4-8F3A-C8929652D6F1}">
  <sheetPr codeName="Sheet13"/>
  <dimension ref="C1:AW120"/>
  <sheetViews>
    <sheetView workbookViewId="0">
      <selection activeCell="D2" sqref="D2:H2"/>
    </sheetView>
  </sheetViews>
  <sheetFormatPr defaultColWidth="8.7109375" defaultRowHeight="15" x14ac:dyDescent="0.25"/>
  <cols>
    <col min="10" max="10" width="9.5703125" customWidth="1"/>
    <col min="39" max="40" width="11.5703125" bestFit="1" customWidth="1"/>
    <col min="43" max="43" width="11.42578125" customWidth="1"/>
    <col min="44" max="44" width="13.7109375" customWidth="1"/>
  </cols>
  <sheetData>
    <row r="1" spans="4:49" x14ac:dyDescent="0.25">
      <c r="U1" t="s">
        <v>610</v>
      </c>
      <c r="W1" s="294">
        <v>40909</v>
      </c>
      <c r="AS1" t="s">
        <v>611</v>
      </c>
      <c r="AU1" t="s">
        <v>612</v>
      </c>
      <c r="AV1" t="s">
        <v>613</v>
      </c>
    </row>
    <row r="2" spans="4:49" ht="18" thickBot="1" x14ac:dyDescent="0.35">
      <c r="D2" s="295" t="s">
        <v>989</v>
      </c>
      <c r="E2" s="295"/>
      <c r="F2" s="295"/>
      <c r="G2" s="295"/>
      <c r="H2" s="295"/>
      <c r="U2" t="s">
        <v>614</v>
      </c>
      <c r="V2" t="s">
        <v>245</v>
      </c>
      <c r="W2" s="82">
        <f>SUMIF($C$27:$C$110,$W$1,$J$27:$J$110)</f>
        <v>8.2121999999999993</v>
      </c>
      <c r="AS2" t="s">
        <v>615</v>
      </c>
      <c r="AT2" t="s">
        <v>616</v>
      </c>
      <c r="AU2">
        <v>661</v>
      </c>
    </row>
    <row r="3" spans="4:49" ht="15.75" thickTop="1" x14ac:dyDescent="0.25">
      <c r="D3" s="296" t="s">
        <v>617</v>
      </c>
      <c r="V3" t="s">
        <v>618</v>
      </c>
      <c r="W3">
        <f>SUMIF($C$27:$C$110,$W$1,$K$27:$K$110)</f>
        <v>107.96</v>
      </c>
      <c r="AS3" t="s">
        <v>619</v>
      </c>
      <c r="AT3" t="s">
        <v>254</v>
      </c>
      <c r="AU3">
        <f>AU2*W7+W8*1.3</f>
        <v>140.47035923202716</v>
      </c>
      <c r="AV3">
        <v>152.27714285714299</v>
      </c>
      <c r="AW3">
        <f>AV3/AU3</f>
        <v>1.0840517792484146</v>
      </c>
    </row>
    <row r="4" spans="4:49" x14ac:dyDescent="0.25">
      <c r="V4" t="s">
        <v>616</v>
      </c>
      <c r="W4">
        <f>W3*W2</f>
        <v>886.58911199999989</v>
      </c>
      <c r="AS4" t="s">
        <v>477</v>
      </c>
      <c r="AT4" t="s">
        <v>254</v>
      </c>
      <c r="AU4">
        <f>AU2*X7+X8*1.3</f>
        <v>130.60568568627889</v>
      </c>
      <c r="AV4">
        <v>144.90263157894699</v>
      </c>
      <c r="AW4">
        <f>AV4/AU4</f>
        <v>1.1094664892844714</v>
      </c>
    </row>
    <row r="5" spans="4:49" ht="18" thickBot="1" x14ac:dyDescent="0.35">
      <c r="U5" s="296" t="s">
        <v>620</v>
      </c>
      <c r="AB5" s="295" t="s">
        <v>621</v>
      </c>
      <c r="AC5" s="295"/>
      <c r="AD5" s="295"/>
      <c r="AF5" s="295" t="s">
        <v>622</v>
      </c>
      <c r="AG5" s="295"/>
      <c r="AH5" s="295"/>
      <c r="AI5" s="295"/>
      <c r="AJ5" s="295"/>
      <c r="AN5" t="s">
        <v>623</v>
      </c>
      <c r="AO5" t="s">
        <v>624</v>
      </c>
    </row>
    <row r="6" spans="4:49" ht="16.5" thickTop="1" thickBot="1" x14ac:dyDescent="0.3">
      <c r="D6" s="297" t="s">
        <v>474</v>
      </c>
      <c r="H6" s="297" t="s">
        <v>477</v>
      </c>
      <c r="L6" s="297" t="s">
        <v>625</v>
      </c>
      <c r="P6" s="297" t="s">
        <v>480</v>
      </c>
      <c r="V6" t="s">
        <v>626</v>
      </c>
      <c r="W6" t="s">
        <v>474</v>
      </c>
      <c r="X6" t="s">
        <v>477</v>
      </c>
      <c r="Y6" t="s">
        <v>625</v>
      </c>
      <c r="Z6" t="s">
        <v>480</v>
      </c>
      <c r="AB6" t="s">
        <v>627</v>
      </c>
      <c r="AC6">
        <v>45</v>
      </c>
      <c r="AD6" t="s">
        <v>628</v>
      </c>
      <c r="AM6" t="s">
        <v>629</v>
      </c>
      <c r="AN6" t="s">
        <v>630</v>
      </c>
      <c r="AO6" t="s">
        <v>631</v>
      </c>
      <c r="AP6" t="s">
        <v>632</v>
      </c>
    </row>
    <row r="7" spans="4:49" x14ac:dyDescent="0.25">
      <c r="D7" t="s">
        <v>633</v>
      </c>
      <c r="E7">
        <f t="array" ref="E7:F9">LINEST(M75:M110,$L$75:$L$110,TRUE,TRUE)</f>
        <v>0.69131118046539197</v>
      </c>
      <c r="F7">
        <v>18.039952527622177</v>
      </c>
      <c r="H7" t="s">
        <v>633</v>
      </c>
      <c r="I7">
        <f t="array" ref="I7:J9">LINEST(N75:N110,$L$75:$L$110,TRUE,TRUE)</f>
        <v>0.76576896825557872</v>
      </c>
      <c r="J7">
        <v>-6.588942732473015</v>
      </c>
      <c r="L7" t="s">
        <v>633</v>
      </c>
      <c r="M7">
        <f t="array" ref="M7:N9">LINEST(H27:H110,$L$27:$L$110,TRUE,TRUE)</f>
        <v>0.71824017800423035</v>
      </c>
      <c r="N7">
        <v>47.381796282440177</v>
      </c>
      <c r="P7" t="s">
        <v>633</v>
      </c>
      <c r="Q7">
        <f t="array" ref="Q7:R9">LINEST(I101:I110,$L$101:$L$110,TRUE,TRUE)</f>
        <v>0.77267955265970056</v>
      </c>
      <c r="R7">
        <v>814.37721538925723</v>
      </c>
      <c r="U7" t="s">
        <v>634</v>
      </c>
      <c r="V7" s="256">
        <f>1/AC7*1/AC14*1000</f>
        <v>0.16533892382948986</v>
      </c>
      <c r="W7" s="298">
        <f>1/AC8/100*E7*1000</f>
        <v>0.20213777206590408</v>
      </c>
      <c r="X7" s="298">
        <f>1/AC9/100*I7*1000</f>
        <v>0.20098923051327525</v>
      </c>
      <c r="Y7" s="298">
        <f>1/AC10/100*M7*1000</f>
        <v>0.19411896702817036</v>
      </c>
      <c r="Z7" s="298">
        <f>1/AC11/100*Q7*1000</f>
        <v>0.16797381579558707</v>
      </c>
      <c r="AB7" t="s">
        <v>627</v>
      </c>
      <c r="AC7" s="57">
        <f>AC6/AC15*1000</f>
        <v>38.03888419273035</v>
      </c>
      <c r="AD7" t="s">
        <v>630</v>
      </c>
      <c r="AF7" t="s">
        <v>635</v>
      </c>
      <c r="AI7">
        <v>200</v>
      </c>
      <c r="AJ7" t="s">
        <v>254</v>
      </c>
      <c r="AL7" t="s">
        <v>627</v>
      </c>
      <c r="AM7">
        <v>1</v>
      </c>
      <c r="AN7">
        <v>38.5</v>
      </c>
      <c r="AP7">
        <v>6.15</v>
      </c>
    </row>
    <row r="8" spans="4:49" x14ac:dyDescent="0.25">
      <c r="D8" t="s">
        <v>636</v>
      </c>
      <c r="E8">
        <v>2.1689295799937405E-2</v>
      </c>
      <c r="F8">
        <v>16.805407207022476</v>
      </c>
      <c r="H8" t="s">
        <v>636</v>
      </c>
      <c r="I8">
        <v>1.88945947014778E-2</v>
      </c>
      <c r="J8">
        <v>14.640003110239293</v>
      </c>
      <c r="L8" t="s">
        <v>636</v>
      </c>
      <c r="M8">
        <v>2.0929526528181964E-2</v>
      </c>
      <c r="N8">
        <v>14.002957365912605</v>
      </c>
      <c r="P8" t="s">
        <v>636</v>
      </c>
      <c r="Q8">
        <v>0.17222197251198301</v>
      </c>
      <c r="R8">
        <v>158.56449471815961</v>
      </c>
      <c r="U8" t="s">
        <v>637</v>
      </c>
      <c r="V8">
        <v>0</v>
      </c>
      <c r="W8" s="256">
        <f>1/AC8/100*1000*F7</f>
        <v>5.274839920357361</v>
      </c>
      <c r="X8" s="256">
        <f>1/AC9/100*1000*J7</f>
        <v>-1.7293812946123399</v>
      </c>
      <c r="Y8" s="256">
        <f>1/AC10/100*1000*N7</f>
        <v>12.805890887145994</v>
      </c>
      <c r="Z8" s="256">
        <f>1/AC11/100*1000*R7</f>
        <v>177.03852508462114</v>
      </c>
      <c r="AB8" t="s">
        <v>474</v>
      </c>
      <c r="AC8">
        <v>34.200000000000003</v>
      </c>
      <c r="AD8" t="s">
        <v>630</v>
      </c>
      <c r="AI8" s="57">
        <f>AI7/AC9*100</f>
        <v>524.93438320209975</v>
      </c>
      <c r="AJ8" t="s">
        <v>638</v>
      </c>
      <c r="AL8" t="s">
        <v>474</v>
      </c>
      <c r="AM8">
        <v>1</v>
      </c>
      <c r="AN8">
        <v>32.1</v>
      </c>
      <c r="AO8">
        <v>0.745</v>
      </c>
    </row>
    <row r="9" spans="4:49" x14ac:dyDescent="0.25">
      <c r="D9" t="s">
        <v>639</v>
      </c>
      <c r="E9">
        <v>0.96761634565975629</v>
      </c>
      <c r="F9">
        <v>19.266650663456474</v>
      </c>
      <c r="H9" t="s">
        <v>639</v>
      </c>
      <c r="I9">
        <v>0.97972033969162609</v>
      </c>
      <c r="J9">
        <v>16.784111337631305</v>
      </c>
      <c r="L9" t="s">
        <v>639</v>
      </c>
      <c r="M9">
        <v>0.93490316152328135</v>
      </c>
      <c r="N9">
        <v>36.92368042685311</v>
      </c>
      <c r="P9" t="s">
        <v>639</v>
      </c>
      <c r="Q9">
        <v>0.71559577988177048</v>
      </c>
      <c r="R9">
        <v>28.81393096261419</v>
      </c>
      <c r="U9" t="s">
        <v>613</v>
      </c>
      <c r="V9" s="82">
        <f>W4*V7</f>
        <v>146.58768965702305</v>
      </c>
      <c r="W9" s="57">
        <f>$W$4*W7+W8</f>
        <v>184.48798775792562</v>
      </c>
      <c r="X9" s="57">
        <f>$W$4*X7+X8</f>
        <v>176.46548210771562</v>
      </c>
      <c r="Y9" s="57">
        <f>$W$4*Y7+Y8</f>
        <v>184.90965348700882</v>
      </c>
      <c r="Z9" s="57">
        <f>$W$4*Z7+Z8</f>
        <v>325.96228127008226</v>
      </c>
      <c r="AB9" t="s">
        <v>477</v>
      </c>
      <c r="AC9">
        <v>38.1</v>
      </c>
      <c r="AD9" t="s">
        <v>630</v>
      </c>
      <c r="AL9" t="s">
        <v>477</v>
      </c>
      <c r="AM9">
        <v>1</v>
      </c>
      <c r="AN9">
        <v>35.799999999999997</v>
      </c>
      <c r="AO9">
        <v>0.83699999999999997</v>
      </c>
    </row>
    <row r="10" spans="4:49" x14ac:dyDescent="0.25">
      <c r="U10" t="s">
        <v>640</v>
      </c>
      <c r="W10" s="82">
        <f>W9*100*AC8/1000</f>
        <v>630.94891813210575</v>
      </c>
      <c r="X10" s="82">
        <f>X9*100*AC9/1000</f>
        <v>672.33348683039662</v>
      </c>
      <c r="Y10" s="82">
        <f>Y9*100*AC10/1000</f>
        <v>684.16571790193268</v>
      </c>
      <c r="Z10" s="82">
        <f>Z9*100*AC11/1000</f>
        <v>1499.4264938423782</v>
      </c>
      <c r="AB10" t="s">
        <v>625</v>
      </c>
      <c r="AC10">
        <v>37</v>
      </c>
      <c r="AD10" t="s">
        <v>630</v>
      </c>
    </row>
    <row r="11" spans="4:49" x14ac:dyDescent="0.25">
      <c r="D11" s="296" t="s">
        <v>641</v>
      </c>
      <c r="U11" t="s">
        <v>642</v>
      </c>
      <c r="W11" s="82">
        <f>SUMIF($C$27:$C$110,$W$1,$M$27:$M$110)</f>
        <v>594.54999999999995</v>
      </c>
      <c r="X11" s="82">
        <f>SUMIF($C$27:$C$110,$W$1,$N$27:$N$110)</f>
        <v>678.07899999999995</v>
      </c>
      <c r="Y11" s="82">
        <f>SUMIF($C$27:$C$110,$W$1,$H$27:$H$110)</f>
        <v>669.12800000000004</v>
      </c>
      <c r="Z11" s="82">
        <f>SUMIF($C$27:$C$110,$W$1,$I$27:$I$110)</f>
        <v>0</v>
      </c>
      <c r="AB11" t="s">
        <v>480</v>
      </c>
      <c r="AC11">
        <v>46</v>
      </c>
      <c r="AD11" t="s">
        <v>643</v>
      </c>
      <c r="AF11" s="299" t="s">
        <v>644</v>
      </c>
    </row>
    <row r="12" spans="4:49" x14ac:dyDescent="0.25">
      <c r="D12" t="s">
        <v>633</v>
      </c>
      <c r="E12">
        <f t="array" ref="E12:F14">LINEST($Z$75:$Z$110,$L$75:$L$110,1,1)</f>
        <v>0.93691765795315396</v>
      </c>
      <c r="F12">
        <v>265.34488871773931</v>
      </c>
      <c r="H12" t="s">
        <v>633</v>
      </c>
      <c r="I12">
        <f t="array" ref="I12:J14">LINEST($AA$75:$AA$110,$L$75:$L$110,1,1)</f>
        <v>0.96018863587643721</v>
      </c>
      <c r="J12">
        <v>173.46397553035843</v>
      </c>
      <c r="L12" t="s">
        <v>633</v>
      </c>
      <c r="M12">
        <f t="array" ref="M12:N14">LINEST($AB$75:$AB$110,$L$75:$L$110,1,1)</f>
        <v>0.80597468921050219</v>
      </c>
      <c r="N12">
        <v>51.88943126981917</v>
      </c>
      <c r="P12" t="s">
        <v>633</v>
      </c>
      <c r="Q12">
        <f t="array" ref="Q12:R14">LINEST($AC$101:$AC$110,$L$101:$L$110,1,1)</f>
        <v>1.0131044969917056</v>
      </c>
      <c r="R12">
        <v>1298.0776327747087</v>
      </c>
      <c r="V12">
        <v>661.9</v>
      </c>
      <c r="W12">
        <f>W7*V12+W8</f>
        <v>139.06983125077926</v>
      </c>
      <c r="X12">
        <f>X7*V12+X8</f>
        <v>131.30539038212453</v>
      </c>
      <c r="AF12" t="s">
        <v>645</v>
      </c>
      <c r="AJ12">
        <v>247</v>
      </c>
      <c r="AK12" t="s">
        <v>646</v>
      </c>
    </row>
    <row r="13" spans="4:49" x14ac:dyDescent="0.25">
      <c r="D13" t="s">
        <v>636</v>
      </c>
      <c r="E13">
        <v>3.5673569679450304E-2</v>
      </c>
      <c r="F13">
        <v>27.640771305861513</v>
      </c>
      <c r="H13" t="s">
        <v>636</v>
      </c>
      <c r="I13">
        <v>3.108958023439274E-2</v>
      </c>
      <c r="J13">
        <v>24.088981982341494</v>
      </c>
      <c r="L13" t="s">
        <v>636</v>
      </c>
      <c r="M13">
        <v>2.1167655434585625E-2</v>
      </c>
      <c r="N13">
        <v>16.401227244878111</v>
      </c>
      <c r="P13" t="s">
        <v>636</v>
      </c>
      <c r="Q13">
        <v>0.22541092540186744</v>
      </c>
      <c r="R13">
        <v>207.53547859761611</v>
      </c>
      <c r="U13" s="296" t="s">
        <v>647</v>
      </c>
      <c r="AB13" s="296" t="s">
        <v>648</v>
      </c>
      <c r="AF13" t="s">
        <v>649</v>
      </c>
      <c r="AJ13">
        <f>124+107</f>
        <v>231</v>
      </c>
      <c r="AK13" t="s">
        <v>650</v>
      </c>
    </row>
    <row r="14" spans="4:49" x14ac:dyDescent="0.25">
      <c r="D14" t="s">
        <v>639</v>
      </c>
      <c r="E14">
        <v>0.95302430812025962</v>
      </c>
      <c r="F14">
        <v>31.68891287537447</v>
      </c>
      <c r="H14" t="s">
        <v>639</v>
      </c>
      <c r="I14">
        <v>0.96558207335934509</v>
      </c>
      <c r="J14">
        <v>27.616944652083852</v>
      </c>
      <c r="L14" t="s">
        <v>639</v>
      </c>
      <c r="M14">
        <v>0.977085303672103</v>
      </c>
      <c r="N14">
        <v>18.803276343520299</v>
      </c>
      <c r="P14" t="s">
        <v>639</v>
      </c>
      <c r="Q14">
        <v>0.71631542231007461</v>
      </c>
      <c r="R14">
        <v>37.712811832395388</v>
      </c>
      <c r="W14" t="s">
        <v>474</v>
      </c>
      <c r="X14" t="s">
        <v>477</v>
      </c>
      <c r="Y14" t="s">
        <v>625</v>
      </c>
      <c r="Z14" t="s">
        <v>480</v>
      </c>
      <c r="AB14" t="s">
        <v>651</v>
      </c>
      <c r="AC14">
        <v>159</v>
      </c>
      <c r="AD14" t="s">
        <v>652</v>
      </c>
      <c r="AF14" t="s">
        <v>653</v>
      </c>
      <c r="AJ14">
        <f>350+279</f>
        <v>629</v>
      </c>
      <c r="AK14" t="s">
        <v>654</v>
      </c>
    </row>
    <row r="15" spans="4:49" x14ac:dyDescent="0.25">
      <c r="U15" t="s">
        <v>634</v>
      </c>
      <c r="W15" s="256">
        <f>E17</f>
        <v>1.3565756517544196</v>
      </c>
      <c r="X15" s="256">
        <f>I17</f>
        <v>1.2570018926592408</v>
      </c>
      <c r="Y15" s="256">
        <f>M17</f>
        <v>1.0689483180091128</v>
      </c>
      <c r="Z15" s="256">
        <f>Q17</f>
        <v>1.3104939955713899</v>
      </c>
      <c r="AB15" t="s">
        <v>655</v>
      </c>
      <c r="AC15">
        <v>1183</v>
      </c>
      <c r="AD15" t="s">
        <v>656</v>
      </c>
      <c r="AF15" t="s">
        <v>389</v>
      </c>
      <c r="AJ15" s="256">
        <f>AJ13/AJ14</f>
        <v>0.36724960254372019</v>
      </c>
      <c r="AK15" t="s">
        <v>657</v>
      </c>
      <c r="AL15" s="300">
        <f>(AJ14*3.6)/(AJ13/AC9)/1000</f>
        <v>0.37347896103896105</v>
      </c>
    </row>
    <row r="16" spans="4:49" x14ac:dyDescent="0.25">
      <c r="D16" s="296" t="s">
        <v>658</v>
      </c>
      <c r="U16" t="s">
        <v>637</v>
      </c>
      <c r="W16" s="256">
        <f>1/AC8/100*1000*F17</f>
        <v>70.230748454632177</v>
      </c>
      <c r="X16" s="256">
        <f>1/AC9/100*1000*J17</f>
        <v>47.226464833505872</v>
      </c>
      <c r="Y16" s="256">
        <f>1/AC10/100*1000*N17</f>
        <v>14.749344752353803</v>
      </c>
      <c r="Z16" s="256">
        <f>1/AC11/100*1000*R17</f>
        <v>50.285290465410377</v>
      </c>
      <c r="AF16" t="s">
        <v>659</v>
      </c>
      <c r="AJ16" s="82">
        <f>AJ12/AJ15</f>
        <v>672.5670995670996</v>
      </c>
      <c r="AK16" t="s">
        <v>638</v>
      </c>
    </row>
    <row r="17" spans="3:37" x14ac:dyDescent="0.25">
      <c r="D17" t="s">
        <v>633</v>
      </c>
      <c r="E17">
        <f t="array" ref="E17:F19">LINEST($Z$75:$Z$110,$M$75:$M$110,1,1)</f>
        <v>1.3565756517544196</v>
      </c>
      <c r="F17">
        <v>240.18915971484205</v>
      </c>
      <c r="H17" t="s">
        <v>633</v>
      </c>
      <c r="I17">
        <f t="array" ref="I17:J19">LINEST($AA$75:$AA$110,$N$75:$N$110,1,1)</f>
        <v>1.2570018926592408</v>
      </c>
      <c r="J17">
        <v>179.93283101565737</v>
      </c>
      <c r="L17" t="s">
        <v>633</v>
      </c>
      <c r="M17">
        <f t="array" ref="M17:N19">LINEST($AB$75:$AB$110,$H$75:$H$110,1,1)</f>
        <v>1.0689483180091128</v>
      </c>
      <c r="N17">
        <v>54.572575583709067</v>
      </c>
      <c r="P17" t="s">
        <v>633</v>
      </c>
      <c r="Q17">
        <f t="array" ref="Q17:R19">LINEST($AC$101:$AC$110,$I$101:$I$110,1,1)</f>
        <v>1.3104939955713899</v>
      </c>
      <c r="R17">
        <v>231.31233614088774</v>
      </c>
      <c r="U17" t="s">
        <v>613</v>
      </c>
      <c r="W17" s="82">
        <f>W9*W15+W16</f>
        <v>320.5026606882015</v>
      </c>
      <c r="X17" s="82">
        <f>X9*X15+X16</f>
        <v>269.0439098319298</v>
      </c>
      <c r="Y17" s="82">
        <f>Y9*Y15+Y16</f>
        <v>212.40820783093977</v>
      </c>
      <c r="Z17" s="82">
        <f>Z9*Z15+Z16</f>
        <v>477.45690285260571</v>
      </c>
      <c r="AF17" t="s">
        <v>660</v>
      </c>
      <c r="AJ17" s="82">
        <f>AVERAGE(N94:N100)</f>
        <v>647.57899999999984</v>
      </c>
      <c r="AK17" t="s">
        <v>638</v>
      </c>
    </row>
    <row r="18" spans="3:37" x14ac:dyDescent="0.25">
      <c r="D18" t="s">
        <v>636</v>
      </c>
      <c r="E18">
        <v>2.6898357481685498E-2</v>
      </c>
      <c r="F18">
        <v>14.893086073456775</v>
      </c>
      <c r="H18" t="s">
        <v>636</v>
      </c>
      <c r="I18">
        <v>2.1145683471638581E-2</v>
      </c>
      <c r="J18">
        <v>12.414574263894144</v>
      </c>
      <c r="L18" t="s">
        <v>636</v>
      </c>
      <c r="M18">
        <v>4.5274592231916537E-3</v>
      </c>
      <c r="N18">
        <v>2.6349353504746529</v>
      </c>
      <c r="P18" t="s">
        <v>636</v>
      </c>
      <c r="Q18">
        <v>1.2268570690478447E-3</v>
      </c>
      <c r="R18">
        <v>1.871413674110501</v>
      </c>
      <c r="U18" t="s">
        <v>640</v>
      </c>
      <c r="W18" s="82">
        <f>W17*100*AC8/1000</f>
        <v>1096.1190995536492</v>
      </c>
      <c r="X18" s="82">
        <f>X17*100*AC9/1000</f>
        <v>1025.0572964596524</v>
      </c>
      <c r="Y18" s="82">
        <f>Y17*100*AC10/1000</f>
        <v>785.91036897447725</v>
      </c>
      <c r="Z18" s="82">
        <f>Z17*100*AC11/1000</f>
        <v>2196.3017531219862</v>
      </c>
      <c r="AF18" t="s">
        <v>661</v>
      </c>
      <c r="AJ18" s="82">
        <f>AVERAGE(AA94:AA100)</f>
        <v>979.92485714285704</v>
      </c>
      <c r="AK18" t="s">
        <v>638</v>
      </c>
    </row>
    <row r="19" spans="3:37" x14ac:dyDescent="0.25">
      <c r="D19" t="s">
        <v>639</v>
      </c>
      <c r="E19">
        <v>0.98680906639693522</v>
      </c>
      <c r="F19">
        <v>16.79223544836556</v>
      </c>
      <c r="H19" t="s">
        <v>639</v>
      </c>
      <c r="I19">
        <v>0.99047002318918431</v>
      </c>
      <c r="J19">
        <v>14.532127488105694</v>
      </c>
      <c r="L19" t="s">
        <v>639</v>
      </c>
      <c r="M19">
        <v>0.99939044936173471</v>
      </c>
      <c r="N19">
        <v>3.0667711621812406</v>
      </c>
      <c r="P19" t="s">
        <v>639</v>
      </c>
      <c r="Q19">
        <v>0.99999298859893382</v>
      </c>
      <c r="R19">
        <v>0.18748799131796864</v>
      </c>
      <c r="U19" t="s">
        <v>642</v>
      </c>
      <c r="W19" s="82">
        <f>SUMIF($C$27:$C$110,$W$1,$Z$27:$Z$110)</f>
        <v>1045</v>
      </c>
      <c r="X19" s="82">
        <f>SUMIF($C$27:$C$110,$W$1,$AA$27:$AA$110)</f>
        <v>1017.49</v>
      </c>
      <c r="Y19" s="82">
        <f>SUMIF($C$27:$C$110,$W$1,$AB$27:$AB$110)</f>
        <v>770.47800000000007</v>
      </c>
      <c r="Z19" s="82">
        <f>SUMIF($C$27:$C$110,$W$1,$AC$27:$AC$110)</f>
        <v>0</v>
      </c>
    </row>
    <row r="20" spans="3:37" x14ac:dyDescent="0.25">
      <c r="W20">
        <f>W9*1.3</f>
        <v>239.83438408530333</v>
      </c>
      <c r="X20">
        <f>X9*1.3</f>
        <v>229.40512674003031</v>
      </c>
    </row>
    <row r="21" spans="3:37" x14ac:dyDescent="0.25">
      <c r="W21">
        <v>152.27714285714299</v>
      </c>
      <c r="X21">
        <v>144.90263157894736</v>
      </c>
    </row>
    <row r="22" spans="3:37" ht="17.25" x14ac:dyDescent="0.3">
      <c r="D22" s="301" t="s">
        <v>662</v>
      </c>
      <c r="E22" s="301"/>
      <c r="F22" s="301"/>
      <c r="G22" s="301"/>
      <c r="H22" s="301"/>
      <c r="I22" s="301"/>
      <c r="K22" s="13"/>
      <c r="L22" s="13"/>
      <c r="M22" s="13"/>
      <c r="N22" s="13"/>
      <c r="O22" s="13"/>
      <c r="P22" s="13"/>
      <c r="Q22" s="301" t="s">
        <v>663</v>
      </c>
      <c r="R22" s="301"/>
      <c r="S22" s="301"/>
      <c r="T22" s="301"/>
      <c r="U22" s="301"/>
    </row>
    <row r="23" spans="3:37" x14ac:dyDescent="0.25">
      <c r="C23" s="191"/>
      <c r="D23" s="302" t="s">
        <v>664</v>
      </c>
      <c r="E23" s="107"/>
      <c r="F23" s="107"/>
      <c r="G23" s="107"/>
      <c r="H23" s="107"/>
      <c r="I23" s="107"/>
      <c r="J23" s="107"/>
      <c r="K23" s="15"/>
      <c r="L23" s="10"/>
      <c r="M23" s="107"/>
      <c r="N23" s="15"/>
      <c r="O23" s="302"/>
      <c r="P23" s="302"/>
      <c r="Q23" s="302"/>
      <c r="R23" s="302"/>
      <c r="S23" s="303" t="s">
        <v>665</v>
      </c>
      <c r="T23" s="302"/>
      <c r="U23" s="302"/>
      <c r="V23" s="302"/>
      <c r="W23" s="302"/>
      <c r="X23" s="302"/>
      <c r="Y23" s="304"/>
      <c r="Z23" s="303"/>
      <c r="AA23" s="302"/>
      <c r="AB23" s="302"/>
      <c r="AC23" s="302"/>
      <c r="AD23" s="303" t="s">
        <v>666</v>
      </c>
      <c r="AE23" s="302"/>
      <c r="AF23" s="302"/>
      <c r="AG23" s="302"/>
      <c r="AH23" s="303"/>
      <c r="AI23" s="302"/>
      <c r="AJ23" s="302"/>
      <c r="AK23" s="15"/>
    </row>
    <row r="24" spans="3:37" x14ac:dyDescent="0.25">
      <c r="C24" s="73"/>
      <c r="D24" s="305" t="s">
        <v>667</v>
      </c>
      <c r="J24" s="306" t="s">
        <v>668</v>
      </c>
      <c r="K24" s="11"/>
      <c r="L24" s="11"/>
      <c r="M24" s="307" t="s">
        <v>669</v>
      </c>
      <c r="N24" s="11"/>
      <c r="O24" s="26" t="s">
        <v>670</v>
      </c>
      <c r="P24" s="26"/>
      <c r="Q24" s="26"/>
      <c r="R24" s="26"/>
      <c r="S24" s="307" t="s">
        <v>474</v>
      </c>
      <c r="T24" s="26"/>
      <c r="U24" s="26"/>
      <c r="V24" s="26" t="s">
        <v>477</v>
      </c>
      <c r="W24" s="26"/>
      <c r="X24" s="26" t="s">
        <v>625</v>
      </c>
      <c r="Y24" s="308"/>
      <c r="Z24" s="307"/>
      <c r="AA24" s="26"/>
      <c r="AB24" s="26"/>
      <c r="AC24" s="26"/>
      <c r="AD24" s="307" t="s">
        <v>671</v>
      </c>
      <c r="AE24" s="26"/>
      <c r="AF24" s="26"/>
      <c r="AG24" s="26"/>
      <c r="AH24" s="307" t="s">
        <v>672</v>
      </c>
      <c r="AI24" s="26"/>
      <c r="AJ24" s="26"/>
      <c r="AK24" s="11"/>
    </row>
    <row r="25" spans="3:37" ht="60" x14ac:dyDescent="0.25">
      <c r="C25" s="210"/>
      <c r="D25" s="309" t="s">
        <v>673</v>
      </c>
      <c r="E25" s="309" t="s">
        <v>674</v>
      </c>
      <c r="F25" s="309" t="s">
        <v>675</v>
      </c>
      <c r="G25" s="309" t="s">
        <v>676</v>
      </c>
      <c r="H25" s="309" t="s">
        <v>677</v>
      </c>
      <c r="I25" s="309" t="s">
        <v>480</v>
      </c>
      <c r="J25" s="309" t="s">
        <v>678</v>
      </c>
      <c r="K25" s="310" t="s">
        <v>679</v>
      </c>
      <c r="L25" s="310" t="s">
        <v>680</v>
      </c>
      <c r="M25" s="311" t="s">
        <v>681</v>
      </c>
      <c r="N25" s="310" t="s">
        <v>682</v>
      </c>
      <c r="O25" s="311" t="s">
        <v>683</v>
      </c>
      <c r="P25" s="309" t="s">
        <v>684</v>
      </c>
      <c r="Q25" s="309" t="s">
        <v>685</v>
      </c>
      <c r="R25" s="309" t="s">
        <v>686</v>
      </c>
      <c r="S25" s="311" t="s">
        <v>687</v>
      </c>
      <c r="T25" s="309" t="s">
        <v>688</v>
      </c>
      <c r="U25" s="309" t="s">
        <v>687</v>
      </c>
      <c r="V25" s="309" t="s">
        <v>689</v>
      </c>
      <c r="W25" s="309" t="s">
        <v>690</v>
      </c>
      <c r="X25" s="309" t="s">
        <v>690</v>
      </c>
      <c r="Y25" s="310" t="s">
        <v>689</v>
      </c>
      <c r="Z25" s="311" t="s">
        <v>681</v>
      </c>
      <c r="AA25" s="309" t="s">
        <v>691</v>
      </c>
      <c r="AB25" s="309" t="s">
        <v>692</v>
      </c>
      <c r="AC25" s="309" t="s">
        <v>693</v>
      </c>
      <c r="AD25" s="311" t="s">
        <v>683</v>
      </c>
      <c r="AE25" s="309" t="s">
        <v>684</v>
      </c>
      <c r="AF25" s="309" t="s">
        <v>685</v>
      </c>
      <c r="AG25" s="310" t="s">
        <v>686</v>
      </c>
      <c r="AH25" s="311" t="s">
        <v>694</v>
      </c>
      <c r="AI25" s="309" t="s">
        <v>695</v>
      </c>
      <c r="AJ25" s="309" t="s">
        <v>696</v>
      </c>
      <c r="AK25" s="310" t="s">
        <v>697</v>
      </c>
    </row>
    <row r="26" spans="3:37" x14ac:dyDescent="0.25">
      <c r="C26" s="210"/>
      <c r="D26" s="311" t="s">
        <v>638</v>
      </c>
      <c r="E26" s="309" t="s">
        <v>638</v>
      </c>
      <c r="F26" s="309" t="s">
        <v>638</v>
      </c>
      <c r="G26" s="309" t="s">
        <v>638</v>
      </c>
      <c r="H26" s="309" t="s">
        <v>638</v>
      </c>
      <c r="I26" s="309" t="s">
        <v>698</v>
      </c>
      <c r="J26" s="309" t="s">
        <v>699</v>
      </c>
      <c r="K26" s="310" t="s">
        <v>618</v>
      </c>
      <c r="L26" s="310" t="s">
        <v>616</v>
      </c>
      <c r="M26" s="311" t="s">
        <v>638</v>
      </c>
      <c r="N26" s="310" t="s">
        <v>638</v>
      </c>
      <c r="O26" s="311" t="s">
        <v>638</v>
      </c>
      <c r="P26" s="309" t="s">
        <v>638</v>
      </c>
      <c r="Q26" s="309" t="s">
        <v>638</v>
      </c>
      <c r="R26" s="309" t="s">
        <v>698</v>
      </c>
      <c r="S26" s="311" t="s">
        <v>638</v>
      </c>
      <c r="T26" s="309" t="s">
        <v>638</v>
      </c>
      <c r="U26" s="309" t="s">
        <v>638</v>
      </c>
      <c r="V26" s="309" t="s">
        <v>638</v>
      </c>
      <c r="W26" s="309" t="s">
        <v>638</v>
      </c>
      <c r="X26" s="309" t="s">
        <v>638</v>
      </c>
      <c r="Y26" s="310" t="s">
        <v>638</v>
      </c>
      <c r="Z26" s="311" t="s">
        <v>638</v>
      </c>
      <c r="AA26" s="309" t="s">
        <v>638</v>
      </c>
      <c r="AB26" s="309" t="s">
        <v>638</v>
      </c>
      <c r="AC26" s="309" t="s">
        <v>698</v>
      </c>
      <c r="AD26" s="311" t="s">
        <v>638</v>
      </c>
      <c r="AE26" s="309" t="s">
        <v>638</v>
      </c>
      <c r="AF26" s="309" t="s">
        <v>638</v>
      </c>
      <c r="AG26" s="309" t="s">
        <v>698</v>
      </c>
      <c r="AH26" s="311" t="s">
        <v>638</v>
      </c>
      <c r="AI26" s="309" t="s">
        <v>638</v>
      </c>
      <c r="AJ26" s="309" t="s">
        <v>638</v>
      </c>
      <c r="AK26" s="309" t="s">
        <v>698</v>
      </c>
    </row>
    <row r="27" spans="3:37" x14ac:dyDescent="0.25">
      <c r="C27" s="312">
        <v>38718</v>
      </c>
      <c r="D27" s="73">
        <v>266.23200000000003</v>
      </c>
      <c r="E27">
        <v>269.01299999999998</v>
      </c>
      <c r="F27">
        <v>307.63</v>
      </c>
      <c r="G27">
        <v>315.02999999999997</v>
      </c>
      <c r="H27">
        <v>307.12799999999999</v>
      </c>
      <c r="J27">
        <v>6.3761999999999999</v>
      </c>
      <c r="K27" s="11">
        <v>54.46</v>
      </c>
      <c r="L27" s="313">
        <f t="shared" ref="L27:L90" si="0">K27*J27</f>
        <v>347.24785200000002</v>
      </c>
      <c r="M27" s="73">
        <f>AVERAGE(D27:E27)</f>
        <v>267.6225</v>
      </c>
      <c r="N27" s="11">
        <f t="shared" ref="N27:N90" si="1">AVERAGE(G27:H27)</f>
        <v>311.07899999999995</v>
      </c>
      <c r="O27" s="73">
        <f t="shared" ref="O27:O90" si="2">$E$7*L27+$F$7</f>
        <v>258.09627500781392</v>
      </c>
      <c r="P27">
        <f t="shared" ref="P27:P90" si="3">$I$7*L27+$J$7</f>
        <v>259.3226866225329</v>
      </c>
      <c r="S27" s="73"/>
      <c r="Y27" s="11"/>
      <c r="Z27" s="73"/>
      <c r="AD27" s="73"/>
      <c r="AH27" s="73"/>
      <c r="AK27" s="11"/>
    </row>
    <row r="28" spans="3:37" x14ac:dyDescent="0.25">
      <c r="C28" s="312">
        <v>38749</v>
      </c>
      <c r="D28" s="73">
        <v>280.23200000000003</v>
      </c>
      <c r="E28">
        <v>283.01299999999998</v>
      </c>
      <c r="F28">
        <v>307.63</v>
      </c>
      <c r="G28">
        <v>314.02999999999997</v>
      </c>
      <c r="H28">
        <v>311.12799999999999</v>
      </c>
      <c r="J28">
        <v>6.1407999999999996</v>
      </c>
      <c r="K28" s="11">
        <v>55.49</v>
      </c>
      <c r="L28" s="313">
        <f t="shared" si="0"/>
        <v>340.75299200000001</v>
      </c>
      <c r="M28" s="73">
        <f t="shared" ref="M28:M91" si="4">AVERAGE(D28:E28)</f>
        <v>281.6225</v>
      </c>
      <c r="N28" s="11">
        <f t="shared" si="1"/>
        <v>312.57899999999995</v>
      </c>
      <c r="O28" s="73">
        <f t="shared" si="2"/>
        <v>253.60630567425645</v>
      </c>
      <c r="P28">
        <f t="shared" si="3"/>
        <v>254.34912438136848</v>
      </c>
      <c r="S28" s="73"/>
      <c r="Y28" s="11"/>
      <c r="Z28" s="73"/>
      <c r="AD28" s="73"/>
      <c r="AH28" s="73"/>
      <c r="AK28" s="11"/>
    </row>
    <row r="29" spans="3:37" x14ac:dyDescent="0.25">
      <c r="C29" s="312">
        <v>38777</v>
      </c>
      <c r="D29" s="73">
        <v>269.23200000000003</v>
      </c>
      <c r="E29">
        <v>272.01299999999998</v>
      </c>
      <c r="F29">
        <v>307.63</v>
      </c>
      <c r="G29">
        <v>312.02999999999997</v>
      </c>
      <c r="H29">
        <v>315.12799999999999</v>
      </c>
      <c r="J29">
        <v>6.1372999999999998</v>
      </c>
      <c r="K29" s="11">
        <v>61.08</v>
      </c>
      <c r="L29" s="313">
        <f t="shared" si="0"/>
        <v>374.86628399999995</v>
      </c>
      <c r="M29" s="73">
        <f t="shared" si="4"/>
        <v>270.6225</v>
      </c>
      <c r="N29" s="11">
        <f t="shared" si="1"/>
        <v>313.57899999999995</v>
      </c>
      <c r="O29" s="73">
        <f t="shared" si="2"/>
        <v>277.18920583633701</v>
      </c>
      <c r="P29">
        <f t="shared" si="3"/>
        <v>280.47202480000971</v>
      </c>
      <c r="S29" s="73"/>
      <c r="Y29" s="11"/>
      <c r="Z29" s="73"/>
      <c r="AD29" s="73"/>
      <c r="AH29" s="73"/>
      <c r="AK29" s="11"/>
    </row>
    <row r="30" spans="3:37" x14ac:dyDescent="0.25">
      <c r="C30" s="312">
        <v>38808</v>
      </c>
      <c r="D30" s="73">
        <v>295.63200000000001</v>
      </c>
      <c r="E30">
        <v>297.41300000000001</v>
      </c>
      <c r="F30">
        <v>338.63</v>
      </c>
      <c r="G30">
        <v>342.03</v>
      </c>
      <c r="H30">
        <v>330.12799999999999</v>
      </c>
      <c r="J30">
        <v>6.26</v>
      </c>
      <c r="K30" s="11">
        <v>65.66</v>
      </c>
      <c r="L30" s="313">
        <f t="shared" si="0"/>
        <v>411.03159999999997</v>
      </c>
      <c r="M30" s="73">
        <f t="shared" si="4"/>
        <v>296.52250000000004</v>
      </c>
      <c r="N30" s="11">
        <f t="shared" si="1"/>
        <v>336.07899999999995</v>
      </c>
      <c r="O30" s="73">
        <f t="shared" si="2"/>
        <v>302.19069313220098</v>
      </c>
      <c r="P30">
        <f t="shared" si="3"/>
        <v>308.16630151996668</v>
      </c>
      <c r="S30" s="73"/>
      <c r="Y30" s="11"/>
      <c r="Z30" s="73"/>
      <c r="AD30" s="73"/>
      <c r="AH30" s="73"/>
      <c r="AK30" s="11"/>
    </row>
    <row r="31" spans="3:37" x14ac:dyDescent="0.25">
      <c r="C31" s="312">
        <v>38838</v>
      </c>
      <c r="D31" s="73">
        <v>334.63200000000001</v>
      </c>
      <c r="E31">
        <v>336.41300000000001</v>
      </c>
      <c r="F31">
        <v>365.63</v>
      </c>
      <c r="G31">
        <v>369.03</v>
      </c>
      <c r="H31">
        <v>350.12799999999999</v>
      </c>
      <c r="J31">
        <v>6.0904999999999996</v>
      </c>
      <c r="K31" s="11">
        <v>68.8</v>
      </c>
      <c r="L31" s="313">
        <f t="shared" si="0"/>
        <v>419.02639999999997</v>
      </c>
      <c r="M31" s="73">
        <f t="shared" si="4"/>
        <v>335.52250000000004</v>
      </c>
      <c r="N31" s="11">
        <f t="shared" si="1"/>
        <v>359.57899999999995</v>
      </c>
      <c r="O31" s="73">
        <f t="shared" si="2"/>
        <v>307.71758775778568</v>
      </c>
      <c r="P31">
        <f t="shared" si="3"/>
        <v>314.28847126737639</v>
      </c>
      <c r="S31" s="73"/>
      <c r="Y31" s="11"/>
      <c r="Z31" s="73"/>
      <c r="AD31" s="73"/>
      <c r="AH31" s="73"/>
      <c r="AK31" s="11"/>
    </row>
    <row r="32" spans="3:37" x14ac:dyDescent="0.25">
      <c r="C32" s="312">
        <v>38869</v>
      </c>
      <c r="D32" s="73">
        <v>370.63200000000001</v>
      </c>
      <c r="E32">
        <v>372.41300000000001</v>
      </c>
      <c r="F32">
        <v>394.63</v>
      </c>
      <c r="G32">
        <v>401.03</v>
      </c>
      <c r="H32">
        <v>370.12799999999999</v>
      </c>
      <c r="J32">
        <v>6.34</v>
      </c>
      <c r="K32" s="11">
        <v>70.11</v>
      </c>
      <c r="L32" s="313">
        <f t="shared" si="0"/>
        <v>444.49739999999997</v>
      </c>
      <c r="M32" s="73">
        <f t="shared" si="4"/>
        <v>371.52250000000004</v>
      </c>
      <c r="N32" s="11">
        <f t="shared" si="1"/>
        <v>385.57899999999995</v>
      </c>
      <c r="O32" s="73">
        <f t="shared" si="2"/>
        <v>325.32597483541969</v>
      </c>
      <c r="P32">
        <f t="shared" si="3"/>
        <v>333.79337265781425</v>
      </c>
      <c r="S32" s="73"/>
      <c r="Y32" s="11"/>
      <c r="Z32" s="73"/>
      <c r="AD32" s="73"/>
      <c r="AH32" s="73"/>
      <c r="AK32" s="11"/>
    </row>
    <row r="33" spans="3:37" x14ac:dyDescent="0.25">
      <c r="C33" s="312">
        <v>38899</v>
      </c>
      <c r="D33" s="73">
        <v>395.63200000000001</v>
      </c>
      <c r="E33">
        <v>397.41300000000001</v>
      </c>
      <c r="F33">
        <v>426.63</v>
      </c>
      <c r="G33">
        <v>432.03</v>
      </c>
      <c r="H33">
        <v>406.12799999999999</v>
      </c>
      <c r="J33">
        <v>6.9859999999999998</v>
      </c>
      <c r="K33" s="11">
        <v>72.209999999999994</v>
      </c>
      <c r="L33" s="313">
        <f t="shared" si="0"/>
        <v>504.45905999999997</v>
      </c>
      <c r="M33" s="73">
        <f t="shared" si="4"/>
        <v>396.52250000000004</v>
      </c>
      <c r="N33" s="11">
        <f t="shared" si="1"/>
        <v>419.07899999999995</v>
      </c>
      <c r="O33" s="73">
        <f t="shared" si="2"/>
        <v>366.77814079268416</v>
      </c>
      <c r="P33">
        <f t="shared" si="3"/>
        <v>379.71015117090604</v>
      </c>
      <c r="S33" s="73"/>
      <c r="Y33" s="11"/>
      <c r="Z33" s="73"/>
      <c r="AD33" s="73"/>
      <c r="AH33" s="73"/>
      <c r="AK33" s="11"/>
    </row>
    <row r="34" spans="3:37" x14ac:dyDescent="0.25">
      <c r="C34" s="312">
        <v>38930</v>
      </c>
      <c r="D34" s="73">
        <v>426.63200000000001</v>
      </c>
      <c r="E34">
        <v>428.41300000000001</v>
      </c>
      <c r="F34">
        <v>428.63</v>
      </c>
      <c r="G34">
        <v>457.03</v>
      </c>
      <c r="H34">
        <v>427.12799999999999</v>
      </c>
      <c r="J34">
        <v>7.1276000000000002</v>
      </c>
      <c r="K34" s="11">
        <v>73.7</v>
      </c>
      <c r="L34" s="313">
        <f t="shared" si="0"/>
        <v>525.30412000000001</v>
      </c>
      <c r="M34" s="73">
        <f t="shared" si="4"/>
        <v>427.52250000000004</v>
      </c>
      <c r="N34" s="11">
        <f t="shared" si="1"/>
        <v>442.07899999999995</v>
      </c>
      <c r="O34" s="73">
        <f t="shared" si="2"/>
        <v>381.18856382815608</v>
      </c>
      <c r="P34">
        <f t="shared" si="3"/>
        <v>395.67265126033169</v>
      </c>
      <c r="S34" s="73"/>
      <c r="Y34" s="11"/>
      <c r="Z34" s="73"/>
      <c r="AD34" s="73"/>
      <c r="AH34" s="73"/>
      <c r="AK34" s="11"/>
    </row>
    <row r="35" spans="3:37" x14ac:dyDescent="0.25">
      <c r="C35" s="312">
        <v>38961</v>
      </c>
      <c r="D35" s="73">
        <v>390.63200000000001</v>
      </c>
      <c r="E35">
        <v>392.41300000000001</v>
      </c>
      <c r="F35">
        <v>423.63</v>
      </c>
      <c r="G35">
        <v>445.03</v>
      </c>
      <c r="H35">
        <v>422.12799999999999</v>
      </c>
      <c r="J35">
        <v>6.9705000000000004</v>
      </c>
      <c r="K35" s="11">
        <v>65.12</v>
      </c>
      <c r="L35" s="313">
        <f t="shared" si="0"/>
        <v>453.91896000000008</v>
      </c>
      <c r="M35" s="73">
        <f t="shared" si="4"/>
        <v>391.52250000000004</v>
      </c>
      <c r="N35" s="11">
        <f t="shared" si="1"/>
        <v>433.57899999999995</v>
      </c>
      <c r="O35" s="73">
        <f t="shared" si="2"/>
        <v>331.83920460084528</v>
      </c>
      <c r="P35">
        <f t="shared" si="3"/>
        <v>341.00811093837234</v>
      </c>
      <c r="S35" s="73"/>
      <c r="Y35" s="11"/>
      <c r="Z35" s="73"/>
      <c r="AD35" s="73"/>
      <c r="AH35" s="73"/>
      <c r="AK35" s="11"/>
    </row>
    <row r="36" spans="3:37" x14ac:dyDescent="0.25">
      <c r="C36" s="312">
        <v>38991</v>
      </c>
      <c r="D36" s="73">
        <v>337.63200000000001</v>
      </c>
      <c r="E36">
        <v>339.63</v>
      </c>
      <c r="F36">
        <v>389.63</v>
      </c>
      <c r="G36">
        <v>391.03</v>
      </c>
      <c r="H36">
        <v>400.12799999999999</v>
      </c>
      <c r="J36">
        <v>7.4347000000000003</v>
      </c>
      <c r="K36" s="11">
        <v>59.11</v>
      </c>
      <c r="L36" s="313">
        <f t="shared" si="0"/>
        <v>439.46511700000002</v>
      </c>
      <c r="M36" s="73">
        <f t="shared" si="4"/>
        <v>338.63099999999997</v>
      </c>
      <c r="N36" s="11">
        <f t="shared" si="1"/>
        <v>395.57899999999995</v>
      </c>
      <c r="O36" s="73">
        <f t="shared" si="2"/>
        <v>321.84710133425381</v>
      </c>
      <c r="P36">
        <f t="shared" si="3"/>
        <v>329.93980649693418</v>
      </c>
      <c r="S36" s="73"/>
      <c r="Y36" s="11"/>
      <c r="Z36" s="73"/>
      <c r="AD36" s="73"/>
      <c r="AH36" s="73"/>
      <c r="AK36" s="11"/>
    </row>
    <row r="37" spans="3:37" x14ac:dyDescent="0.25">
      <c r="C37" s="312">
        <v>39022</v>
      </c>
      <c r="D37" s="73">
        <v>316.63200000000001</v>
      </c>
      <c r="E37">
        <v>318.41300000000001</v>
      </c>
      <c r="F37">
        <v>387.63</v>
      </c>
      <c r="G37">
        <v>390.03</v>
      </c>
      <c r="H37">
        <v>387.12799999999999</v>
      </c>
      <c r="J37">
        <v>7.7000999999999999</v>
      </c>
      <c r="K37" s="11">
        <v>63.03</v>
      </c>
      <c r="L37" s="313">
        <f t="shared" si="0"/>
        <v>485.33730300000002</v>
      </c>
      <c r="M37" s="73">
        <f t="shared" si="4"/>
        <v>317.52250000000004</v>
      </c>
      <c r="N37" s="11">
        <f t="shared" si="1"/>
        <v>388.57899999999995</v>
      </c>
      <c r="O37" s="73">
        <f t="shared" si="2"/>
        <v>353.55905638844183</v>
      </c>
      <c r="P37">
        <f t="shared" si="3"/>
        <v>365.06730304178217</v>
      </c>
      <c r="S37" s="73"/>
      <c r="Y37" s="11"/>
      <c r="Z37" s="73"/>
      <c r="AD37" s="73"/>
      <c r="AH37" s="73"/>
      <c r="AK37" s="11"/>
    </row>
    <row r="38" spans="3:37" x14ac:dyDescent="0.25">
      <c r="C38" s="312">
        <v>39052</v>
      </c>
      <c r="D38" s="73">
        <v>309.63200000000001</v>
      </c>
      <c r="E38">
        <v>311.41300000000001</v>
      </c>
      <c r="F38">
        <v>362.63</v>
      </c>
      <c r="G38">
        <v>364.03</v>
      </c>
      <c r="H38">
        <v>362.12799999999999</v>
      </c>
      <c r="J38">
        <v>7.3083</v>
      </c>
      <c r="K38" s="11">
        <v>58.32</v>
      </c>
      <c r="L38" s="313">
        <f t="shared" si="0"/>
        <v>426.220056</v>
      </c>
      <c r="M38" s="73">
        <f t="shared" si="4"/>
        <v>310.52250000000004</v>
      </c>
      <c r="N38" s="11">
        <f t="shared" si="1"/>
        <v>363.07899999999995</v>
      </c>
      <c r="O38" s="73">
        <f t="shared" si="2"/>
        <v>312.69064257900766</v>
      </c>
      <c r="P38">
        <f t="shared" si="3"/>
        <v>319.79714980048198</v>
      </c>
      <c r="S38" s="73"/>
      <c r="Y38" s="11"/>
      <c r="Z38" s="73"/>
      <c r="AD38" s="73"/>
      <c r="AH38" s="73"/>
      <c r="AK38" s="11"/>
    </row>
    <row r="39" spans="3:37" x14ac:dyDescent="0.25">
      <c r="C39" s="312">
        <v>39083</v>
      </c>
      <c r="D39" s="73">
        <v>315.63200000000001</v>
      </c>
      <c r="E39">
        <v>319.41300000000001</v>
      </c>
      <c r="F39">
        <v>345.63</v>
      </c>
      <c r="G39">
        <v>347.03</v>
      </c>
      <c r="H39">
        <v>365.12799999999999</v>
      </c>
      <c r="J39">
        <v>7.0609000000000002</v>
      </c>
      <c r="K39" s="11">
        <v>58.02</v>
      </c>
      <c r="L39" s="313">
        <f t="shared" si="0"/>
        <v>409.67341800000003</v>
      </c>
      <c r="M39" s="73">
        <f t="shared" si="4"/>
        <v>317.52250000000004</v>
      </c>
      <c r="N39" s="11">
        <f t="shared" si="1"/>
        <v>356.07899999999995</v>
      </c>
      <c r="O39" s="73">
        <f t="shared" si="2"/>
        <v>301.25176673049418</v>
      </c>
      <c r="P39">
        <f t="shared" si="3"/>
        <v>307.12624789112346</v>
      </c>
      <c r="S39" s="73"/>
      <c r="Y39" s="11"/>
      <c r="Z39" s="73"/>
      <c r="AD39" s="73"/>
      <c r="AH39" s="73"/>
      <c r="AK39" s="11"/>
    </row>
    <row r="40" spans="3:37" x14ac:dyDescent="0.25">
      <c r="C40" s="312">
        <v>39114</v>
      </c>
      <c r="D40" s="73">
        <v>292.63200000000001</v>
      </c>
      <c r="E40">
        <v>296.41300000000001</v>
      </c>
      <c r="F40">
        <v>336.63</v>
      </c>
      <c r="G40">
        <v>341.03</v>
      </c>
      <c r="H40">
        <v>339.12799999999999</v>
      </c>
      <c r="J40">
        <v>7.1928999999999998</v>
      </c>
      <c r="K40" s="11">
        <v>53.12</v>
      </c>
      <c r="L40" s="313">
        <f t="shared" si="0"/>
        <v>382.08684799999997</v>
      </c>
      <c r="M40" s="73">
        <f t="shared" si="4"/>
        <v>294.52250000000004</v>
      </c>
      <c r="N40" s="11">
        <f t="shared" si="1"/>
        <v>340.07899999999995</v>
      </c>
      <c r="O40" s="73">
        <f t="shared" si="2"/>
        <v>282.18086245880295</v>
      </c>
      <c r="P40">
        <f t="shared" si="3"/>
        <v>286.00130864451307</v>
      </c>
      <c r="S40" s="73"/>
      <c r="Y40" s="11"/>
      <c r="Z40" s="73"/>
      <c r="AD40" s="73"/>
      <c r="AH40" s="73"/>
      <c r="AK40" s="11"/>
    </row>
    <row r="41" spans="3:37" x14ac:dyDescent="0.25">
      <c r="C41" s="312">
        <v>39142</v>
      </c>
      <c r="D41" s="73">
        <v>315.53199999999998</v>
      </c>
      <c r="E41">
        <v>319.31299999999999</v>
      </c>
      <c r="F41">
        <v>346.63</v>
      </c>
      <c r="G41">
        <v>349.03</v>
      </c>
      <c r="H41">
        <v>349.12799999999999</v>
      </c>
      <c r="J41">
        <v>7.1955999999999998</v>
      </c>
      <c r="K41" s="11">
        <v>57.35</v>
      </c>
      <c r="L41" s="313">
        <f t="shared" si="0"/>
        <v>412.66766000000001</v>
      </c>
      <c r="M41" s="73">
        <f t="shared" si="4"/>
        <v>317.42250000000001</v>
      </c>
      <c r="N41" s="11">
        <f t="shared" si="1"/>
        <v>349.07899999999995</v>
      </c>
      <c r="O41" s="73">
        <f t="shared" si="2"/>
        <v>303.32171970211323</v>
      </c>
      <c r="P41">
        <f t="shared" si="3"/>
        <v>309.41914549817096</v>
      </c>
      <c r="S41" s="73"/>
      <c r="Y41" s="11"/>
      <c r="Z41" s="73"/>
      <c r="AD41" s="73"/>
      <c r="AH41" s="73"/>
      <c r="AK41" s="11"/>
    </row>
    <row r="42" spans="3:37" x14ac:dyDescent="0.25">
      <c r="C42" s="312">
        <v>39173</v>
      </c>
      <c r="D42" s="73">
        <v>374.53199999999998</v>
      </c>
      <c r="E42">
        <v>377.31299999999999</v>
      </c>
      <c r="F42">
        <v>374.63</v>
      </c>
      <c r="G42">
        <v>376.03</v>
      </c>
      <c r="H42">
        <v>379.12799999999999</v>
      </c>
      <c r="J42">
        <v>7.3841000000000001</v>
      </c>
      <c r="K42" s="11">
        <v>62.1</v>
      </c>
      <c r="L42" s="313">
        <f t="shared" si="0"/>
        <v>458.55261000000002</v>
      </c>
      <c r="M42" s="73">
        <f t="shared" si="4"/>
        <v>375.92250000000001</v>
      </c>
      <c r="N42" s="11">
        <f t="shared" si="1"/>
        <v>377.57899999999995</v>
      </c>
      <c r="O42" s="73">
        <f t="shared" si="2"/>
        <v>335.04249865220868</v>
      </c>
      <c r="P42">
        <f t="shared" si="3"/>
        <v>344.55641631812978</v>
      </c>
      <c r="S42" s="73"/>
      <c r="Y42" s="11"/>
      <c r="Z42" s="73"/>
      <c r="AD42" s="73"/>
      <c r="AH42" s="73"/>
      <c r="AK42" s="11"/>
    </row>
    <row r="43" spans="3:37" x14ac:dyDescent="0.25">
      <c r="C43" s="312">
        <v>39203</v>
      </c>
      <c r="D43" s="73">
        <v>408.53199999999998</v>
      </c>
      <c r="E43">
        <v>411.31299999999999</v>
      </c>
      <c r="F43">
        <v>404.63</v>
      </c>
      <c r="G43">
        <v>406.03</v>
      </c>
      <c r="H43">
        <v>397.12799999999999</v>
      </c>
      <c r="J43">
        <v>7.1680000000000001</v>
      </c>
      <c r="K43" s="11">
        <v>64.13</v>
      </c>
      <c r="L43" s="313">
        <f t="shared" si="0"/>
        <v>459.68383999999998</v>
      </c>
      <c r="M43" s="73">
        <f t="shared" si="4"/>
        <v>409.92250000000001</v>
      </c>
      <c r="N43" s="11">
        <f t="shared" si="1"/>
        <v>401.57899999999995</v>
      </c>
      <c r="O43" s="73">
        <f t="shared" si="2"/>
        <v>335.82453059888655</v>
      </c>
      <c r="P43">
        <f t="shared" si="3"/>
        <v>345.42267714808952</v>
      </c>
      <c r="S43" s="73"/>
      <c r="Y43" s="11"/>
      <c r="Z43" s="73"/>
      <c r="AD43" s="73"/>
      <c r="AH43" s="73"/>
      <c r="AK43" s="11"/>
    </row>
    <row r="44" spans="3:37" x14ac:dyDescent="0.25">
      <c r="C44" s="312">
        <v>39234</v>
      </c>
      <c r="D44" s="73">
        <v>431.53199999999998</v>
      </c>
      <c r="E44">
        <v>434.31299999999999</v>
      </c>
      <c r="F44">
        <v>409.63</v>
      </c>
      <c r="G44">
        <v>413.03</v>
      </c>
      <c r="H44">
        <v>399.12799999999999</v>
      </c>
      <c r="J44">
        <v>7.0457000000000001</v>
      </c>
      <c r="K44" s="11">
        <v>66.45</v>
      </c>
      <c r="L44" s="313">
        <f t="shared" si="0"/>
        <v>468.18676500000004</v>
      </c>
      <c r="M44" s="73">
        <f t="shared" si="4"/>
        <v>432.92250000000001</v>
      </c>
      <c r="N44" s="11">
        <f t="shared" si="1"/>
        <v>406.07899999999995</v>
      </c>
      <c r="O44" s="73">
        <f t="shared" si="2"/>
        <v>341.70269771804527</v>
      </c>
      <c r="P44">
        <f t="shared" si="3"/>
        <v>351.93395325249412</v>
      </c>
      <c r="S44" s="73"/>
      <c r="Y44" s="11"/>
      <c r="Z44" s="73"/>
      <c r="AD44" s="73"/>
      <c r="AH44" s="73"/>
      <c r="AK44" s="11"/>
    </row>
    <row r="45" spans="3:37" x14ac:dyDescent="0.25">
      <c r="C45" s="312">
        <v>39264</v>
      </c>
      <c r="D45" s="73">
        <v>423.33199999999999</v>
      </c>
      <c r="E45">
        <v>426.113</v>
      </c>
      <c r="F45">
        <v>420.63</v>
      </c>
      <c r="G45">
        <v>424.03</v>
      </c>
      <c r="H45">
        <v>416.12799999999999</v>
      </c>
      <c r="J45">
        <v>7.1947999999999999</v>
      </c>
      <c r="K45" s="11">
        <v>63.33</v>
      </c>
      <c r="L45" s="313">
        <f t="shared" si="0"/>
        <v>455.64668399999999</v>
      </c>
      <c r="M45" s="73">
        <f t="shared" si="4"/>
        <v>424.72249999999997</v>
      </c>
      <c r="N45" s="11">
        <f t="shared" si="1"/>
        <v>420.07899999999995</v>
      </c>
      <c r="O45" s="73">
        <f t="shared" si="2"/>
        <v>333.03359951880361</v>
      </c>
      <c r="P45">
        <f t="shared" si="3"/>
        <v>342.33114836328269</v>
      </c>
      <c r="S45" s="73"/>
      <c r="Y45" s="11"/>
      <c r="Z45" s="73"/>
      <c r="AD45" s="73"/>
      <c r="AH45" s="73"/>
      <c r="AK45" s="11"/>
    </row>
    <row r="46" spans="3:37" x14ac:dyDescent="0.25">
      <c r="C46" s="312">
        <v>39295</v>
      </c>
      <c r="D46" s="73">
        <v>408.33199999999999</v>
      </c>
      <c r="E46">
        <v>411.113</v>
      </c>
      <c r="F46">
        <v>435.63</v>
      </c>
      <c r="G46">
        <v>439.03</v>
      </c>
      <c r="H46">
        <v>423.12799999999999</v>
      </c>
      <c r="J46">
        <v>6.9782000000000002</v>
      </c>
      <c r="K46" s="11">
        <v>60.48</v>
      </c>
      <c r="L46" s="313">
        <f t="shared" si="0"/>
        <v>422.04153600000001</v>
      </c>
      <c r="M46" s="73">
        <f t="shared" si="4"/>
        <v>409.72249999999997</v>
      </c>
      <c r="N46" s="11">
        <f t="shared" si="1"/>
        <v>431.07899999999995</v>
      </c>
      <c r="O46" s="73">
        <f t="shared" si="2"/>
        <v>309.8019849852094</v>
      </c>
      <c r="P46">
        <f t="shared" si="3"/>
        <v>316.5973688512467</v>
      </c>
      <c r="S46" s="73"/>
      <c r="Y46" s="11"/>
      <c r="Z46" s="73"/>
      <c r="AD46" s="73"/>
      <c r="AH46" s="73"/>
      <c r="AK46" s="11"/>
    </row>
    <row r="47" spans="3:37" x14ac:dyDescent="0.25">
      <c r="C47" s="312">
        <v>39326</v>
      </c>
      <c r="D47" s="73">
        <v>386.63200000000001</v>
      </c>
      <c r="E47">
        <v>389.41300000000001</v>
      </c>
      <c r="F47">
        <v>440.63</v>
      </c>
      <c r="G47">
        <v>444.03</v>
      </c>
      <c r="H47">
        <v>423.12799999999999</v>
      </c>
      <c r="J47">
        <v>7.2355999999999998</v>
      </c>
      <c r="K47" s="11">
        <v>71.790000000000006</v>
      </c>
      <c r="L47" s="313">
        <f t="shared" si="0"/>
        <v>519.44372400000009</v>
      </c>
      <c r="M47" s="73">
        <f t="shared" si="4"/>
        <v>388.02250000000004</v>
      </c>
      <c r="N47" s="11">
        <f t="shared" si="1"/>
        <v>433.57899999999995</v>
      </c>
      <c r="O47" s="73">
        <f t="shared" si="2"/>
        <v>377.1372065514015</v>
      </c>
      <c r="P47">
        <f t="shared" si="3"/>
        <v>391.18494186184267</v>
      </c>
      <c r="S47" s="73"/>
      <c r="Y47" s="11"/>
      <c r="Z47" s="73"/>
      <c r="AD47" s="73"/>
      <c r="AH47" s="73"/>
      <c r="AK47" s="11"/>
    </row>
    <row r="48" spans="3:37" x14ac:dyDescent="0.25">
      <c r="C48" s="312">
        <v>39356</v>
      </c>
      <c r="D48" s="73">
        <v>395.63200000000001</v>
      </c>
      <c r="E48">
        <v>399.41300000000001</v>
      </c>
      <c r="F48">
        <v>463.63</v>
      </c>
      <c r="G48">
        <v>467.03</v>
      </c>
      <c r="H48">
        <v>441.12799999999999</v>
      </c>
      <c r="J48">
        <v>7.1580000000000004</v>
      </c>
      <c r="K48" s="11">
        <v>76.432000000000002</v>
      </c>
      <c r="L48" s="313">
        <f t="shared" si="0"/>
        <v>547.10025600000006</v>
      </c>
      <c r="M48" s="73">
        <f t="shared" si="4"/>
        <v>397.52250000000004</v>
      </c>
      <c r="N48" s="11">
        <f t="shared" si="1"/>
        <v>454.07899999999995</v>
      </c>
      <c r="O48" s="73">
        <f t="shared" si="2"/>
        <v>396.25647633590035</v>
      </c>
      <c r="P48">
        <f t="shared" si="3"/>
        <v>412.36345583701001</v>
      </c>
      <c r="S48" s="73"/>
      <c r="Y48" s="11"/>
      <c r="Z48" s="73"/>
      <c r="AD48" s="73"/>
      <c r="AH48" s="73"/>
      <c r="AK48" s="11"/>
    </row>
    <row r="49" spans="3:37" x14ac:dyDescent="0.25">
      <c r="C49" s="312">
        <v>39387</v>
      </c>
      <c r="D49" s="73">
        <v>398.63200000000001</v>
      </c>
      <c r="E49">
        <v>402.41300000000001</v>
      </c>
      <c r="F49">
        <v>457.63</v>
      </c>
      <c r="G49">
        <v>461.03</v>
      </c>
      <c r="H49">
        <v>451.12799999999999</v>
      </c>
      <c r="J49">
        <v>6.7877000000000001</v>
      </c>
      <c r="K49" s="11">
        <v>82.78</v>
      </c>
      <c r="L49" s="313">
        <f t="shared" si="0"/>
        <v>561.885806</v>
      </c>
      <c r="M49" s="73">
        <f t="shared" si="4"/>
        <v>400.52250000000004</v>
      </c>
      <c r="N49" s="11">
        <f t="shared" si="1"/>
        <v>456.07899999999995</v>
      </c>
      <c r="O49" s="73">
        <f t="shared" si="2"/>
        <v>406.47789236023038</v>
      </c>
      <c r="P49">
        <f t="shared" si="3"/>
        <v>423.68577120560127</v>
      </c>
      <c r="S49" s="73"/>
      <c r="Y49" s="11"/>
      <c r="Z49" s="73"/>
      <c r="AD49" s="73"/>
      <c r="AH49" s="73"/>
      <c r="AK49" s="11"/>
    </row>
    <row r="50" spans="3:37" x14ac:dyDescent="0.25">
      <c r="C50" s="312">
        <v>39417</v>
      </c>
      <c r="D50" s="73">
        <v>441.63</v>
      </c>
      <c r="E50">
        <v>445.41300000000001</v>
      </c>
      <c r="F50">
        <v>508.63</v>
      </c>
      <c r="G50">
        <v>513.03</v>
      </c>
      <c r="H50">
        <v>509.12799999999999</v>
      </c>
      <c r="J50">
        <v>6.7243000000000004</v>
      </c>
      <c r="K50" s="11">
        <v>92.91</v>
      </c>
      <c r="L50" s="313">
        <f t="shared" si="0"/>
        <v>624.75471300000004</v>
      </c>
      <c r="M50" s="73">
        <f t="shared" si="4"/>
        <v>443.5215</v>
      </c>
      <c r="N50" s="11">
        <f t="shared" si="1"/>
        <v>511.07899999999995</v>
      </c>
      <c r="O50" s="73">
        <f t="shared" si="2"/>
        <v>449.93987067296939</v>
      </c>
      <c r="P50">
        <f t="shared" si="3"/>
        <v>471.82882925434723</v>
      </c>
      <c r="S50" s="73"/>
      <c r="Y50" s="11"/>
      <c r="Z50" s="73"/>
      <c r="AD50" s="73"/>
      <c r="AH50" s="73"/>
      <c r="AK50" s="11"/>
    </row>
    <row r="51" spans="3:37" x14ac:dyDescent="0.25">
      <c r="C51" s="312">
        <v>39448</v>
      </c>
      <c r="D51" s="73">
        <v>441.63200000000001</v>
      </c>
      <c r="E51">
        <v>445.41300000000001</v>
      </c>
      <c r="F51">
        <v>509.63</v>
      </c>
      <c r="G51">
        <v>513.03</v>
      </c>
      <c r="H51">
        <v>500.12799999999999</v>
      </c>
      <c r="J51">
        <v>6.8433000000000002</v>
      </c>
      <c r="K51" s="11">
        <v>90.37</v>
      </c>
      <c r="L51" s="313">
        <f t="shared" si="0"/>
        <v>618.42902100000003</v>
      </c>
      <c r="M51" s="73">
        <f t="shared" si="4"/>
        <v>443.52250000000004</v>
      </c>
      <c r="N51" s="11">
        <f t="shared" si="1"/>
        <v>506.57899999999995</v>
      </c>
      <c r="O51" s="73">
        <f t="shared" si="2"/>
        <v>445.56684906918889</v>
      </c>
      <c r="P51">
        <f t="shared" si="3"/>
        <v>466.98481061800464</v>
      </c>
      <c r="S51" s="73"/>
      <c r="Y51" s="11"/>
      <c r="Z51" s="73"/>
      <c r="AD51" s="73"/>
      <c r="AH51" s="73"/>
      <c r="AK51" s="11"/>
    </row>
    <row r="52" spans="3:37" x14ac:dyDescent="0.25">
      <c r="C52" s="312">
        <v>39479</v>
      </c>
      <c r="D52" s="73">
        <v>458.63200000000001</v>
      </c>
      <c r="E52">
        <v>462.41300000000001</v>
      </c>
      <c r="F52">
        <v>516.63</v>
      </c>
      <c r="G52">
        <v>520.29999999999995</v>
      </c>
      <c r="H52">
        <v>502.12799999999999</v>
      </c>
      <c r="J52">
        <v>6.9837999999999996</v>
      </c>
      <c r="K52" s="11">
        <v>92.16</v>
      </c>
      <c r="L52" s="313">
        <f t="shared" si="0"/>
        <v>643.62700799999993</v>
      </c>
      <c r="M52" s="73">
        <f t="shared" si="4"/>
        <v>460.52250000000004</v>
      </c>
      <c r="N52" s="11">
        <f t="shared" si="1"/>
        <v>511.21399999999994</v>
      </c>
      <c r="O52" s="73">
        <f t="shared" si="2"/>
        <v>462.98649920751041</v>
      </c>
      <c r="P52">
        <f t="shared" si="3"/>
        <v>486.28064712511207</v>
      </c>
      <c r="S52" s="73"/>
      <c r="Y52" s="11"/>
      <c r="Z52" s="73"/>
      <c r="AD52" s="73"/>
      <c r="AH52" s="73"/>
      <c r="AK52" s="11"/>
    </row>
    <row r="53" spans="3:37" x14ac:dyDescent="0.25">
      <c r="C53" s="312">
        <v>39508</v>
      </c>
      <c r="D53" s="73">
        <v>519.63199999999995</v>
      </c>
      <c r="E53">
        <v>523.41300000000001</v>
      </c>
      <c r="F53">
        <v>594.63</v>
      </c>
      <c r="G53">
        <v>598.29999999999995</v>
      </c>
      <c r="H53">
        <v>578.12800000000004</v>
      </c>
      <c r="J53">
        <v>7.6645000000000003</v>
      </c>
      <c r="K53" s="11">
        <v>94.74</v>
      </c>
      <c r="L53" s="313">
        <f t="shared" si="0"/>
        <v>726.13472999999999</v>
      </c>
      <c r="M53" s="73">
        <f t="shared" si="4"/>
        <v>521.52250000000004</v>
      </c>
      <c r="N53" s="11">
        <f t="shared" si="1"/>
        <v>588.21399999999994</v>
      </c>
      <c r="O53" s="73">
        <f t="shared" si="2"/>
        <v>520.02500990084081</v>
      </c>
      <c r="P53">
        <f t="shared" si="3"/>
        <v>549.46250027417022</v>
      </c>
      <c r="S53" s="73"/>
      <c r="Y53" s="11"/>
      <c r="Z53" s="73"/>
      <c r="AD53" s="73"/>
      <c r="AH53" s="73"/>
      <c r="AK53" s="11"/>
    </row>
    <row r="54" spans="3:37" x14ac:dyDescent="0.25">
      <c r="C54" s="312">
        <v>39539</v>
      </c>
      <c r="D54" s="73">
        <v>575.63199999999995</v>
      </c>
      <c r="E54">
        <v>578.41300000000001</v>
      </c>
      <c r="F54">
        <v>711.63</v>
      </c>
      <c r="G54">
        <v>717.03</v>
      </c>
      <c r="H54">
        <v>696.12800000000004</v>
      </c>
      <c r="J54">
        <v>7.9884000000000004</v>
      </c>
      <c r="K54" s="11">
        <v>102.4</v>
      </c>
      <c r="L54" s="313">
        <f t="shared" si="0"/>
        <v>818.01216000000011</v>
      </c>
      <c r="M54" s="73">
        <f t="shared" si="4"/>
        <v>577.02250000000004</v>
      </c>
      <c r="N54" s="11">
        <f t="shared" si="1"/>
        <v>706.57899999999995</v>
      </c>
      <c r="O54" s="73">
        <f t="shared" si="2"/>
        <v>583.54090449226737</v>
      </c>
      <c r="P54">
        <f t="shared" si="3"/>
        <v>619.81938505124447</v>
      </c>
      <c r="S54" s="73"/>
      <c r="Y54" s="11"/>
      <c r="Z54" s="73"/>
      <c r="AD54" s="73"/>
      <c r="AH54" s="73"/>
      <c r="AK54" s="11"/>
    </row>
    <row r="55" spans="3:37" x14ac:dyDescent="0.25">
      <c r="C55" s="312">
        <v>39569</v>
      </c>
      <c r="D55" s="73">
        <v>606.63199999999995</v>
      </c>
      <c r="E55">
        <v>609.41300000000001</v>
      </c>
      <c r="F55">
        <v>758.63</v>
      </c>
      <c r="G55">
        <v>765.03</v>
      </c>
      <c r="H55">
        <v>749.12800000000004</v>
      </c>
      <c r="J55">
        <v>7.8445999999999998</v>
      </c>
      <c r="K55" s="11">
        <v>108.37</v>
      </c>
      <c r="L55" s="313">
        <f t="shared" si="0"/>
        <v>850.11930200000006</v>
      </c>
      <c r="M55" s="73">
        <f t="shared" si="4"/>
        <v>608.02250000000004</v>
      </c>
      <c r="N55" s="11">
        <f t="shared" si="1"/>
        <v>757.07899999999995</v>
      </c>
      <c r="O55" s="73">
        <f t="shared" si="2"/>
        <v>605.73693072965727</v>
      </c>
      <c r="P55">
        <f t="shared" si="3"/>
        <v>644.40603805421972</v>
      </c>
      <c r="S55" s="73"/>
      <c r="Y55" s="11"/>
      <c r="Z55" s="73"/>
      <c r="AD55" s="73"/>
      <c r="AH55" s="73"/>
      <c r="AK55" s="11"/>
    </row>
    <row r="56" spans="3:37" x14ac:dyDescent="0.25">
      <c r="C56" s="312">
        <v>39600</v>
      </c>
      <c r="D56" s="73">
        <v>651.63199999999995</v>
      </c>
      <c r="E56">
        <v>654.41300000000001</v>
      </c>
      <c r="F56">
        <v>829.63</v>
      </c>
      <c r="G56">
        <v>835.03</v>
      </c>
      <c r="H56">
        <v>820.12800000000004</v>
      </c>
      <c r="J56">
        <v>7.6433999999999997</v>
      </c>
      <c r="K56" s="11">
        <v>122.25</v>
      </c>
      <c r="L56" s="313">
        <f t="shared" si="0"/>
        <v>934.40564999999992</v>
      </c>
      <c r="M56" s="73">
        <f t="shared" si="4"/>
        <v>653.02250000000004</v>
      </c>
      <c r="N56" s="11">
        <f t="shared" si="1"/>
        <v>827.57899999999995</v>
      </c>
      <c r="O56" s="73">
        <f t="shared" si="2"/>
        <v>664.00502546265398</v>
      </c>
      <c r="P56">
        <f t="shared" si="3"/>
        <v>708.94990780021033</v>
      </c>
      <c r="S56" s="73"/>
      <c r="Y56" s="11"/>
      <c r="Z56" s="73"/>
      <c r="AD56" s="73"/>
      <c r="AH56" s="73"/>
      <c r="AK56" s="11"/>
    </row>
    <row r="57" spans="3:37" x14ac:dyDescent="0.25">
      <c r="C57" s="312">
        <v>39630</v>
      </c>
      <c r="D57" s="73">
        <v>723.23199999999997</v>
      </c>
      <c r="E57">
        <v>730.01300000000003</v>
      </c>
      <c r="F57">
        <v>892.63</v>
      </c>
      <c r="G57">
        <v>898.03</v>
      </c>
      <c r="H57">
        <v>869.12800000000004</v>
      </c>
      <c r="J57">
        <v>7.9352</v>
      </c>
      <c r="K57" s="11">
        <v>131.54</v>
      </c>
      <c r="L57" s="313">
        <f t="shared" si="0"/>
        <v>1043.796208</v>
      </c>
      <c r="M57" s="73">
        <f t="shared" si="4"/>
        <v>726.62249999999995</v>
      </c>
      <c r="N57" s="11">
        <f t="shared" si="1"/>
        <v>883.57899999999995</v>
      </c>
      <c r="O57" s="73">
        <f t="shared" si="2"/>
        <v>739.62794124540198</v>
      </c>
      <c r="P57">
        <f t="shared" si="3"/>
        <v>792.71780253677241</v>
      </c>
      <c r="S57" s="73"/>
      <c r="Y57" s="11"/>
      <c r="Z57" s="73"/>
      <c r="AD57" s="73"/>
      <c r="AH57" s="73"/>
      <c r="AK57" s="11"/>
    </row>
    <row r="58" spans="3:37" x14ac:dyDescent="0.25">
      <c r="C58" s="312">
        <v>39661</v>
      </c>
      <c r="D58" s="73">
        <v>682.63199999999995</v>
      </c>
      <c r="E58">
        <v>692.41300000000001</v>
      </c>
      <c r="F58">
        <v>870.63</v>
      </c>
      <c r="G58">
        <v>875.03</v>
      </c>
      <c r="H58">
        <v>867.12800000000004</v>
      </c>
      <c r="J58">
        <v>7.6814</v>
      </c>
      <c r="K58" s="11">
        <v>133.63999999999999</v>
      </c>
      <c r="L58" s="313">
        <f t="shared" si="0"/>
        <v>1026.5422959999999</v>
      </c>
      <c r="M58" s="73">
        <f t="shared" si="4"/>
        <v>687.52250000000004</v>
      </c>
      <c r="N58" s="11">
        <f t="shared" si="1"/>
        <v>871.07899999999995</v>
      </c>
      <c r="O58" s="73">
        <f t="shared" si="2"/>
        <v>727.70011897303584</v>
      </c>
      <c r="P58">
        <f t="shared" si="3"/>
        <v>779.50529214615972</v>
      </c>
      <c r="S58" s="73"/>
      <c r="Y58" s="11"/>
      <c r="Z58" s="73"/>
      <c r="AD58" s="73"/>
      <c r="AH58" s="73"/>
      <c r="AK58" s="11"/>
    </row>
    <row r="59" spans="3:37" x14ac:dyDescent="0.25">
      <c r="C59" s="312">
        <v>39692</v>
      </c>
      <c r="D59" s="73">
        <v>593.63199999999995</v>
      </c>
      <c r="E59">
        <v>598.41300000000001</v>
      </c>
      <c r="F59">
        <v>706.63</v>
      </c>
      <c r="G59">
        <v>709.03</v>
      </c>
      <c r="H59">
        <v>721.12800000000004</v>
      </c>
      <c r="J59">
        <v>7.6844999999999999</v>
      </c>
      <c r="K59" s="11">
        <v>113</v>
      </c>
      <c r="L59" s="313">
        <f t="shared" si="0"/>
        <v>868.34849999999994</v>
      </c>
      <c r="M59" s="73">
        <f t="shared" si="4"/>
        <v>596.02250000000004</v>
      </c>
      <c r="N59" s="11">
        <f t="shared" si="1"/>
        <v>715.07899999999995</v>
      </c>
      <c r="O59" s="73">
        <f t="shared" si="2"/>
        <v>618.33897911797453</v>
      </c>
      <c r="P59">
        <f t="shared" si="3"/>
        <v>658.36539219880638</v>
      </c>
      <c r="S59" s="73"/>
      <c r="Y59" s="11"/>
      <c r="Z59" s="73"/>
      <c r="AD59" s="73"/>
      <c r="AH59" s="73"/>
      <c r="AK59" s="11"/>
    </row>
    <row r="60" spans="3:37" x14ac:dyDescent="0.25">
      <c r="C60" s="312">
        <v>39722</v>
      </c>
      <c r="D60" s="73">
        <v>564.03200000000004</v>
      </c>
      <c r="E60">
        <v>570.81299999999999</v>
      </c>
      <c r="F60">
        <v>650.63</v>
      </c>
      <c r="G60">
        <v>654.03</v>
      </c>
      <c r="H60">
        <v>656.12800000000004</v>
      </c>
      <c r="J60">
        <v>8.0182000000000002</v>
      </c>
      <c r="K60" s="11">
        <v>99.08</v>
      </c>
      <c r="L60" s="313">
        <f t="shared" si="0"/>
        <v>794.44325600000002</v>
      </c>
      <c r="M60" s="73">
        <f t="shared" si="4"/>
        <v>567.42250000000001</v>
      </c>
      <c r="N60" s="11">
        <f t="shared" si="1"/>
        <v>655.07899999999995</v>
      </c>
      <c r="O60" s="73">
        <f t="shared" si="2"/>
        <v>567.24745764575175</v>
      </c>
      <c r="P60">
        <f t="shared" si="3"/>
        <v>601.77104975224961</v>
      </c>
      <c r="S60" s="73"/>
      <c r="Y60" s="11"/>
      <c r="Z60" s="73"/>
      <c r="AD60" s="73"/>
      <c r="AH60" s="73"/>
      <c r="AK60" s="11"/>
    </row>
    <row r="61" spans="3:37" x14ac:dyDescent="0.25">
      <c r="C61" s="312">
        <v>39753</v>
      </c>
      <c r="D61" s="73">
        <v>519.03200000000004</v>
      </c>
      <c r="E61">
        <v>525.81299999999999</v>
      </c>
      <c r="F61">
        <v>626.63</v>
      </c>
      <c r="G61">
        <v>633.03</v>
      </c>
      <c r="H61">
        <v>617.12800000000004</v>
      </c>
      <c r="J61">
        <v>9.5900999999999996</v>
      </c>
      <c r="K61" s="11">
        <v>75.33</v>
      </c>
      <c r="L61" s="313">
        <f t="shared" si="0"/>
        <v>722.42223300000001</v>
      </c>
      <c r="M61" s="73">
        <f t="shared" si="4"/>
        <v>522.42250000000001</v>
      </c>
      <c r="N61" s="11">
        <f t="shared" si="1"/>
        <v>625.07899999999995</v>
      </c>
      <c r="O61" s="73">
        <f t="shared" si="2"/>
        <v>517.45851921729661</v>
      </c>
      <c r="P61">
        <f t="shared" si="3"/>
        <v>546.61958527682827</v>
      </c>
      <c r="S61" s="73"/>
      <c r="Y61" s="11"/>
      <c r="Z61" s="73"/>
      <c r="AD61" s="73"/>
      <c r="AH61" s="73"/>
      <c r="AK61" s="11"/>
    </row>
    <row r="62" spans="3:37" x14ac:dyDescent="0.25">
      <c r="C62" s="312">
        <v>39783</v>
      </c>
      <c r="D62" s="73">
        <v>358.03199999999998</v>
      </c>
      <c r="E62">
        <v>364.81299999999999</v>
      </c>
      <c r="F62">
        <v>545.63</v>
      </c>
      <c r="G62">
        <v>553.03</v>
      </c>
      <c r="H62">
        <v>542.12800000000004</v>
      </c>
      <c r="J62">
        <v>10.1823</v>
      </c>
      <c r="K62" s="11">
        <v>53.11</v>
      </c>
      <c r="L62" s="313">
        <f t="shared" si="0"/>
        <v>540.78195299999993</v>
      </c>
      <c r="M62" s="73">
        <f t="shared" si="4"/>
        <v>361.42250000000001</v>
      </c>
      <c r="N62" s="11">
        <f t="shared" si="1"/>
        <v>547.57899999999995</v>
      </c>
      <c r="O62" s="73">
        <f t="shared" si="2"/>
        <v>391.88856283043225</v>
      </c>
      <c r="P62">
        <f t="shared" si="3"/>
        <v>407.52509546757381</v>
      </c>
      <c r="S62" s="73"/>
      <c r="Y62" s="11"/>
      <c r="Z62" s="73"/>
      <c r="AD62" s="73"/>
      <c r="AH62" s="73"/>
      <c r="AK62" s="11"/>
    </row>
    <row r="63" spans="3:37" x14ac:dyDescent="0.25">
      <c r="C63" s="312">
        <v>39814</v>
      </c>
      <c r="D63" s="73">
        <v>265.98200000000003</v>
      </c>
      <c r="E63">
        <v>274.76299999999998</v>
      </c>
      <c r="F63">
        <v>421.63</v>
      </c>
      <c r="G63">
        <v>431.03</v>
      </c>
      <c r="H63">
        <v>405.12799999999999</v>
      </c>
      <c r="J63">
        <v>9.9518000000000004</v>
      </c>
      <c r="K63" s="11">
        <v>39.988999999999997</v>
      </c>
      <c r="L63" s="313">
        <f t="shared" si="0"/>
        <v>397.9625302</v>
      </c>
      <c r="M63" s="73">
        <f t="shared" si="4"/>
        <v>270.3725</v>
      </c>
      <c r="N63" s="11">
        <f t="shared" si="1"/>
        <v>418.07899999999995</v>
      </c>
      <c r="O63" s="73">
        <f t="shared" si="2"/>
        <v>293.15589906117839</v>
      </c>
      <c r="P63">
        <f t="shared" si="3"/>
        <v>298.1584134231606</v>
      </c>
      <c r="S63" s="73"/>
      <c r="Y63" s="11"/>
      <c r="Z63" s="73"/>
      <c r="AD63" s="73"/>
      <c r="AH63" s="73"/>
      <c r="AK63" s="11"/>
    </row>
    <row r="64" spans="3:37" x14ac:dyDescent="0.25">
      <c r="C64" s="312">
        <v>39845</v>
      </c>
      <c r="D64" s="73">
        <v>326.98200000000003</v>
      </c>
      <c r="E64">
        <v>335.76299999999998</v>
      </c>
      <c r="F64">
        <v>416.63</v>
      </c>
      <c r="G64">
        <v>424.03</v>
      </c>
      <c r="H64">
        <v>391.12799999999999</v>
      </c>
      <c r="J64">
        <v>9.9331999999999994</v>
      </c>
      <c r="K64" s="11">
        <v>43.548000000000002</v>
      </c>
      <c r="L64" s="313">
        <f t="shared" si="0"/>
        <v>432.57099360000001</v>
      </c>
      <c r="M64" s="73">
        <f t="shared" si="4"/>
        <v>331.3725</v>
      </c>
      <c r="N64" s="11">
        <f t="shared" si="1"/>
        <v>407.57899999999995</v>
      </c>
      <c r="O64" s="73">
        <f t="shared" si="2"/>
        <v>317.08111674832571</v>
      </c>
      <c r="P64">
        <f t="shared" si="3"/>
        <v>324.66050073388953</v>
      </c>
      <c r="S64" s="73"/>
      <c r="Y64" s="11"/>
      <c r="Z64" s="73"/>
      <c r="AD64" s="73"/>
      <c r="AH64" s="73"/>
      <c r="AK64" s="11"/>
    </row>
    <row r="65" spans="3:47" x14ac:dyDescent="0.25">
      <c r="C65" s="312">
        <v>39873</v>
      </c>
      <c r="D65" s="73">
        <v>371.98200000000003</v>
      </c>
      <c r="E65">
        <v>380.76299999999998</v>
      </c>
      <c r="F65">
        <v>378.63</v>
      </c>
      <c r="G65">
        <v>386.03</v>
      </c>
      <c r="H65">
        <v>365.12799999999999</v>
      </c>
      <c r="J65">
        <v>10.0602</v>
      </c>
      <c r="K65" s="11">
        <v>43.07</v>
      </c>
      <c r="L65" s="313">
        <f t="shared" si="0"/>
        <v>433.29281400000002</v>
      </c>
      <c r="M65" s="73">
        <f t="shared" si="4"/>
        <v>376.3725</v>
      </c>
      <c r="N65" s="11">
        <f t="shared" si="1"/>
        <v>375.57899999999995</v>
      </c>
      <c r="O65" s="73">
        <f t="shared" si="2"/>
        <v>317.58011926113369</v>
      </c>
      <c r="P65">
        <f t="shared" si="3"/>
        <v>325.21324839686338</v>
      </c>
      <c r="S65" s="73"/>
      <c r="Y65" s="11"/>
      <c r="Z65" s="73"/>
      <c r="AD65" s="73"/>
      <c r="AH65" s="73"/>
      <c r="AK65" s="11"/>
    </row>
    <row r="66" spans="3:47" x14ac:dyDescent="0.25">
      <c r="C66" s="312">
        <v>39904</v>
      </c>
      <c r="D66" s="73">
        <v>367.48200000000003</v>
      </c>
      <c r="E66">
        <v>371.26299999999998</v>
      </c>
      <c r="F66">
        <v>376.63</v>
      </c>
      <c r="G66">
        <v>384.03</v>
      </c>
      <c r="H66">
        <v>360.12799999999999</v>
      </c>
      <c r="J66">
        <v>10.0655</v>
      </c>
      <c r="K66" s="11">
        <v>46.543999999999997</v>
      </c>
      <c r="L66" s="313">
        <f t="shared" si="0"/>
        <v>468.488632</v>
      </c>
      <c r="M66" s="73">
        <f t="shared" si="4"/>
        <v>369.3725</v>
      </c>
      <c r="N66" s="11">
        <f t="shared" si="1"/>
        <v>372.07899999999995</v>
      </c>
      <c r="O66" s="73">
        <f t="shared" si="2"/>
        <v>341.9113817501588</v>
      </c>
      <c r="P66">
        <f t="shared" si="3"/>
        <v>352.16511363363446</v>
      </c>
      <c r="S66" s="73"/>
      <c r="Y66" s="11"/>
      <c r="Z66" s="73"/>
      <c r="AD66" s="73"/>
      <c r="AH66" s="73"/>
      <c r="AK66" s="11"/>
    </row>
    <row r="67" spans="3:47" x14ac:dyDescent="0.25">
      <c r="C67" s="312">
        <v>39934</v>
      </c>
      <c r="D67" s="73">
        <v>364.48200000000003</v>
      </c>
      <c r="E67">
        <v>368.26299999999998</v>
      </c>
      <c r="F67">
        <v>384.63</v>
      </c>
      <c r="G67">
        <v>390.03</v>
      </c>
      <c r="H67">
        <v>373.12799999999999</v>
      </c>
      <c r="J67">
        <v>9.1531000000000002</v>
      </c>
      <c r="K67" s="11">
        <v>50.274000000000001</v>
      </c>
      <c r="L67" s="313">
        <f t="shared" si="0"/>
        <v>460.1629494</v>
      </c>
      <c r="M67" s="73">
        <f t="shared" si="4"/>
        <v>366.3725</v>
      </c>
      <c r="N67" s="11">
        <f t="shared" si="1"/>
        <v>381.57899999999995</v>
      </c>
      <c r="O67" s="73">
        <f t="shared" si="2"/>
        <v>336.15574428377261</v>
      </c>
      <c r="P67">
        <f t="shared" si="3"/>
        <v>345.78956425900907</v>
      </c>
      <c r="S67" s="73"/>
      <c r="Y67" s="11"/>
      <c r="Z67" s="73"/>
      <c r="AD67" s="73"/>
      <c r="AH67" s="73"/>
      <c r="AK67" s="11"/>
      <c r="AR67" t="s">
        <v>700</v>
      </c>
    </row>
    <row r="68" spans="3:47" x14ac:dyDescent="0.25">
      <c r="C68" s="312">
        <v>39965</v>
      </c>
      <c r="D68" s="73">
        <v>379.38200000000001</v>
      </c>
      <c r="E68">
        <v>383.16300000000001</v>
      </c>
      <c r="F68">
        <v>371.63</v>
      </c>
      <c r="G68">
        <v>376.03</v>
      </c>
      <c r="H68">
        <v>364.12799999999999</v>
      </c>
      <c r="J68">
        <v>8.4370999999999992</v>
      </c>
      <c r="K68" s="11">
        <v>56.576999999999998</v>
      </c>
      <c r="L68" s="313">
        <f t="shared" si="0"/>
        <v>477.34580669999991</v>
      </c>
      <c r="M68" s="73">
        <f t="shared" si="4"/>
        <v>381.27250000000004</v>
      </c>
      <c r="N68" s="11">
        <f t="shared" si="1"/>
        <v>370.07899999999995</v>
      </c>
      <c r="O68" s="73">
        <f t="shared" si="2"/>
        <v>348.03444564760395</v>
      </c>
      <c r="P68">
        <f t="shared" si="3"/>
        <v>358.94766316531286</v>
      </c>
      <c r="S68" s="73"/>
      <c r="Y68" s="11"/>
      <c r="Z68" s="73"/>
      <c r="AD68" s="73"/>
      <c r="AH68" s="73"/>
      <c r="AK68" s="11"/>
    </row>
    <row r="69" spans="3:47" x14ac:dyDescent="0.25">
      <c r="C69" s="312">
        <v>39995</v>
      </c>
      <c r="D69" s="73">
        <v>416.38200000000001</v>
      </c>
      <c r="E69">
        <v>423.16300000000001</v>
      </c>
      <c r="F69">
        <v>411.63</v>
      </c>
      <c r="G69">
        <v>416.03</v>
      </c>
      <c r="H69">
        <v>410.12799999999999</v>
      </c>
      <c r="J69">
        <v>8.1092999999999993</v>
      </c>
      <c r="K69" s="11">
        <v>68.34</v>
      </c>
      <c r="L69" s="313">
        <f t="shared" si="0"/>
        <v>554.18956200000002</v>
      </c>
      <c r="M69" s="73">
        <f t="shared" si="4"/>
        <v>419.77250000000004</v>
      </c>
      <c r="N69" s="11">
        <f t="shared" si="1"/>
        <v>413.07899999999995</v>
      </c>
      <c r="O69" s="73">
        <f t="shared" si="2"/>
        <v>401.1573928354407</v>
      </c>
      <c r="P69">
        <f t="shared" si="3"/>
        <v>417.79222637827809</v>
      </c>
      <c r="S69" s="73"/>
      <c r="Y69" s="11"/>
      <c r="Z69" s="73"/>
      <c r="AD69" s="73"/>
      <c r="AH69" s="73"/>
      <c r="AK69" s="11"/>
    </row>
    <row r="70" spans="3:47" x14ac:dyDescent="0.25">
      <c r="C70" s="312">
        <v>40026</v>
      </c>
      <c r="D70" s="73">
        <v>389.98099999999999</v>
      </c>
      <c r="E70">
        <v>396.76299999999998</v>
      </c>
      <c r="F70">
        <v>391.63</v>
      </c>
      <c r="G70">
        <v>395.03</v>
      </c>
      <c r="H70">
        <v>396.12799999999999</v>
      </c>
      <c r="J70">
        <v>7.984</v>
      </c>
      <c r="K70" s="11">
        <v>64.89</v>
      </c>
      <c r="L70" s="313">
        <f t="shared" si="0"/>
        <v>518.08176000000003</v>
      </c>
      <c r="M70" s="73">
        <f t="shared" si="4"/>
        <v>393.37199999999996</v>
      </c>
      <c r="N70" s="11">
        <f t="shared" si="1"/>
        <v>395.57899999999995</v>
      </c>
      <c r="O70" s="73">
        <f t="shared" si="2"/>
        <v>376.19566561081007</v>
      </c>
      <c r="P70">
        <f t="shared" si="3"/>
        <v>390.14199209476135</v>
      </c>
      <c r="S70" s="73"/>
      <c r="Y70" s="11"/>
      <c r="Z70" s="73"/>
      <c r="AD70" s="73"/>
      <c r="AH70" s="73"/>
      <c r="AK70" s="11"/>
      <c r="AQ70" s="314">
        <v>100</v>
      </c>
      <c r="AR70" s="315">
        <v>100</v>
      </c>
    </row>
    <row r="71" spans="3:47" x14ac:dyDescent="0.25">
      <c r="C71" s="312">
        <v>40057</v>
      </c>
      <c r="D71" s="73">
        <v>425.928</v>
      </c>
      <c r="E71">
        <v>432.76299999999998</v>
      </c>
      <c r="F71">
        <v>426.63</v>
      </c>
      <c r="G71">
        <v>431.03</v>
      </c>
      <c r="H71">
        <v>417.12799999999999</v>
      </c>
      <c r="J71">
        <v>7.9912999999999998</v>
      </c>
      <c r="K71" s="11">
        <v>72.66</v>
      </c>
      <c r="L71" s="313">
        <f t="shared" si="0"/>
        <v>580.64785799999993</v>
      </c>
      <c r="M71" s="73">
        <f t="shared" si="4"/>
        <v>429.34550000000002</v>
      </c>
      <c r="N71" s="11">
        <f t="shared" si="1"/>
        <v>424.07899999999995</v>
      </c>
      <c r="O71" s="73">
        <f t="shared" si="2"/>
        <v>419.44830867630344</v>
      </c>
      <c r="P71">
        <f t="shared" si="3"/>
        <v>438.05316840799873</v>
      </c>
      <c r="S71" s="73"/>
      <c r="Y71" s="11"/>
      <c r="Z71" s="73"/>
      <c r="AD71" s="73"/>
      <c r="AH71" s="73"/>
      <c r="AK71" s="11"/>
      <c r="AQ71" s="316">
        <f>0.4706</f>
        <v>0.47060000000000002</v>
      </c>
      <c r="AR71" s="317">
        <v>0.33400000000000002</v>
      </c>
    </row>
    <row r="72" spans="3:47" x14ac:dyDescent="0.25">
      <c r="C72" s="312">
        <v>40087</v>
      </c>
      <c r="D72" s="73">
        <v>379.48200000000003</v>
      </c>
      <c r="E72">
        <v>385.26299999999998</v>
      </c>
      <c r="F72">
        <v>386.63</v>
      </c>
      <c r="G72">
        <v>390.03</v>
      </c>
      <c r="H72">
        <v>382.12799999999999</v>
      </c>
      <c r="J72">
        <v>7.5763999999999996</v>
      </c>
      <c r="K72" s="11">
        <v>67.84</v>
      </c>
      <c r="L72" s="313">
        <f t="shared" si="0"/>
        <v>513.98297600000001</v>
      </c>
      <c r="M72" s="73">
        <f t="shared" si="4"/>
        <v>382.3725</v>
      </c>
      <c r="N72" s="11">
        <f t="shared" si="1"/>
        <v>386.07899999999995</v>
      </c>
      <c r="O72" s="73">
        <f t="shared" si="2"/>
        <v>373.36213040529742</v>
      </c>
      <c r="P72">
        <f t="shared" si="3"/>
        <v>387.0032704999789</v>
      </c>
      <c r="S72" s="73"/>
      <c r="Y72" s="11"/>
      <c r="Z72" s="73"/>
      <c r="AD72" s="73"/>
      <c r="AH72" s="73"/>
      <c r="AK72" s="11"/>
      <c r="AQ72" s="316">
        <v>77.042000000000002</v>
      </c>
      <c r="AR72" s="317">
        <v>50.293999999999997</v>
      </c>
    </row>
    <row r="73" spans="3:47" x14ac:dyDescent="0.25">
      <c r="C73" s="312">
        <v>40118</v>
      </c>
      <c r="D73" s="73">
        <v>379.48200000000003</v>
      </c>
      <c r="E73">
        <v>385.26299999999998</v>
      </c>
      <c r="F73">
        <v>396.63</v>
      </c>
      <c r="G73">
        <v>398.03</v>
      </c>
      <c r="H73">
        <v>396.12799999999999</v>
      </c>
      <c r="J73">
        <v>7.4988000000000001</v>
      </c>
      <c r="K73" s="11">
        <v>72.92</v>
      </c>
      <c r="L73" s="313">
        <f t="shared" si="0"/>
        <v>546.81249600000001</v>
      </c>
      <c r="M73" s="73">
        <f t="shared" si="4"/>
        <v>382.3725</v>
      </c>
      <c r="N73" s="11">
        <f t="shared" si="1"/>
        <v>397.07899999999995</v>
      </c>
      <c r="O73" s="73">
        <f t="shared" si="2"/>
        <v>396.05754463060958</v>
      </c>
      <c r="P73">
        <f t="shared" si="3"/>
        <v>412.14309815870473</v>
      </c>
      <c r="S73" s="73"/>
      <c r="Y73" s="11"/>
      <c r="Z73" s="73"/>
      <c r="AD73" s="73"/>
      <c r="AH73" s="73"/>
      <c r="AK73" s="11"/>
      <c r="AL73" t="str">
        <f>L25</f>
        <v>Crude in Rands</v>
      </c>
      <c r="AP73" t="s">
        <v>701</v>
      </c>
      <c r="AQ73" s="248">
        <f>AQ70*AQ$71+AQ$72</f>
        <v>124.102</v>
      </c>
      <c r="AR73" s="248">
        <f>AR70*AR$71+AR$72</f>
        <v>83.693999999999988</v>
      </c>
    </row>
    <row r="74" spans="3:47" x14ac:dyDescent="0.25">
      <c r="C74" s="312">
        <v>40148</v>
      </c>
      <c r="D74" s="73">
        <v>406.48200000000003</v>
      </c>
      <c r="E74">
        <v>412.26299999999998</v>
      </c>
      <c r="F74">
        <v>421.63</v>
      </c>
      <c r="G74">
        <v>424.03</v>
      </c>
      <c r="H74">
        <v>425.12799999999999</v>
      </c>
      <c r="J74">
        <v>7.5721999999999996</v>
      </c>
      <c r="K74" s="11">
        <v>76.599999999999994</v>
      </c>
      <c r="L74" s="313">
        <f t="shared" si="0"/>
        <v>580.03051999999991</v>
      </c>
      <c r="M74" s="73">
        <f t="shared" si="4"/>
        <v>409.3725</v>
      </c>
      <c r="N74" s="11">
        <f t="shared" si="1"/>
        <v>424.57899999999995</v>
      </c>
      <c r="O74" s="73">
        <f t="shared" si="2"/>
        <v>419.02153601477727</v>
      </c>
      <c r="P74">
        <f t="shared" si="3"/>
        <v>437.58043012467374</v>
      </c>
      <c r="S74" s="73"/>
      <c r="Y74" s="11"/>
      <c r="Z74" s="73"/>
      <c r="AD74" s="73"/>
      <c r="AH74" s="73"/>
      <c r="AK74" s="11"/>
      <c r="AL74" t="s">
        <v>702</v>
      </c>
      <c r="AQ74" t="s">
        <v>703</v>
      </c>
      <c r="AR74" t="s">
        <v>704</v>
      </c>
      <c r="AT74" t="s">
        <v>705</v>
      </c>
      <c r="AU74" t="s">
        <v>706</v>
      </c>
    </row>
    <row r="75" spans="3:47" x14ac:dyDescent="0.25">
      <c r="C75" s="312">
        <v>40179</v>
      </c>
      <c r="D75" s="73">
        <v>397.48200000000003</v>
      </c>
      <c r="E75">
        <v>406.26299999999998</v>
      </c>
      <c r="F75">
        <v>407.63</v>
      </c>
      <c r="G75">
        <v>410.03</v>
      </c>
      <c r="H75">
        <v>413.12799999999999</v>
      </c>
      <c r="J75">
        <v>7.5246000000000004</v>
      </c>
      <c r="K75" s="11">
        <v>74.31</v>
      </c>
      <c r="L75" s="313">
        <f t="shared" si="0"/>
        <v>559.15302600000007</v>
      </c>
      <c r="M75" s="73">
        <f t="shared" si="4"/>
        <v>401.8725</v>
      </c>
      <c r="N75" s="11">
        <f t="shared" si="1"/>
        <v>411.57899999999995</v>
      </c>
      <c r="O75" s="73">
        <f t="shared" si="2"/>
        <v>404.58869099247823</v>
      </c>
      <c r="P75">
        <f t="shared" si="3"/>
        <v>421.5930930845318</v>
      </c>
      <c r="S75" s="73">
        <v>767</v>
      </c>
      <c r="T75">
        <v>763</v>
      </c>
      <c r="U75">
        <v>786</v>
      </c>
      <c r="V75">
        <v>689.45</v>
      </c>
      <c r="W75">
        <v>676.15</v>
      </c>
      <c r="X75">
        <v>483.1</v>
      </c>
      <c r="Y75" s="11">
        <v>512.20000000000005</v>
      </c>
      <c r="Z75" s="61">
        <f>AVERAGE(S75:U75)</f>
        <v>772</v>
      </c>
      <c r="AA75" s="57">
        <f t="shared" ref="AA75:AA98" si="5">AVERAGE(V75:W75)</f>
        <v>682.8</v>
      </c>
      <c r="AB75" s="57">
        <f t="shared" ref="AB75:AB98" si="6">AVERAGE(X75:Y75)</f>
        <v>497.65000000000003</v>
      </c>
      <c r="AC75" s="57"/>
      <c r="AD75" s="73">
        <f>L75*$E$12+$F$12</f>
        <v>789.22523227507838</v>
      </c>
      <c r="AE75">
        <f t="shared" ref="AE75:AE110" si="7">L75*$I$12+$J$12</f>
        <v>710.35635681148051</v>
      </c>
      <c r="AF75">
        <f t="shared" ref="AF75:AF110" si="8">L75*$M$12+$N$12</f>
        <v>502.55261762128106</v>
      </c>
      <c r="AH75" s="61">
        <f>M75*$E$17+$F$17</f>
        <v>785.35960832452008</v>
      </c>
      <c r="AI75" s="57">
        <f t="shared" ref="AI75:AI110" si="9">N75*$I$17+$J$17</f>
        <v>697.28841299445492</v>
      </c>
      <c r="AJ75" s="57">
        <f t="shared" ref="AJ75:AJ110" si="10">H75*$M$17+$N$17</f>
        <v>496.18505630617784</v>
      </c>
      <c r="AK75" s="11"/>
      <c r="AL75">
        <f>L75/$AP$7</f>
        <v>90.9191912195122</v>
      </c>
      <c r="AQ75" s="318">
        <f>(Z75-M75)/$AN$8 *10</f>
        <v>115.30451713395638</v>
      </c>
      <c r="AR75" s="318">
        <f>(AA75-N75)/$AN$9*10</f>
        <v>75.7600558659218</v>
      </c>
      <c r="AT75">
        <f>AQ75*$AN$8/1000</f>
        <v>3.7012749999999999</v>
      </c>
      <c r="AU75">
        <f>AR75*$AN$9/1000</f>
        <v>2.7122100000000002</v>
      </c>
    </row>
    <row r="76" spans="3:47" x14ac:dyDescent="0.25">
      <c r="C76" s="312">
        <v>40210</v>
      </c>
      <c r="D76" s="73">
        <v>415.48200000000003</v>
      </c>
      <c r="E76">
        <v>424.26299999999998</v>
      </c>
      <c r="F76">
        <v>417.63</v>
      </c>
      <c r="G76">
        <v>420.03</v>
      </c>
      <c r="H76">
        <v>418.12799999999999</v>
      </c>
      <c r="J76">
        <v>7.4734999999999996</v>
      </c>
      <c r="K76" s="11">
        <v>76.84</v>
      </c>
      <c r="L76" s="313">
        <f t="shared" si="0"/>
        <v>574.26373999999998</v>
      </c>
      <c r="M76" s="73">
        <f t="shared" si="4"/>
        <v>419.8725</v>
      </c>
      <c r="N76" s="11">
        <f t="shared" si="1"/>
        <v>419.07899999999995</v>
      </c>
      <c r="O76" s="73">
        <f t="shared" si="2"/>
        <v>415.03489652549308</v>
      </c>
      <c r="P76">
        <f t="shared" si="3"/>
        <v>433.1644089539169</v>
      </c>
      <c r="S76" s="73">
        <v>785</v>
      </c>
      <c r="T76">
        <v>781</v>
      </c>
      <c r="U76">
        <v>804</v>
      </c>
      <c r="V76">
        <v>699.45</v>
      </c>
      <c r="W76">
        <v>686.15</v>
      </c>
      <c r="X76">
        <v>488.1</v>
      </c>
      <c r="Y76" s="11">
        <v>517.20000000000005</v>
      </c>
      <c r="Z76" s="61">
        <f t="shared" ref="Z76:Z98" si="11">AVERAGE(S76:U76)</f>
        <v>790</v>
      </c>
      <c r="AA76" s="57">
        <f t="shared" si="5"/>
        <v>692.8</v>
      </c>
      <c r="AB76" s="57">
        <f t="shared" si="6"/>
        <v>502.65000000000003</v>
      </c>
      <c r="AC76" s="57"/>
      <c r="AD76" s="73">
        <f t="shared" ref="AD76:AD110" si="12">L76*$E$12+$F$12</f>
        <v>803.38272704595818</v>
      </c>
      <c r="AE76">
        <f t="shared" si="7"/>
        <v>724.86549267425937</v>
      </c>
      <c r="AF76">
        <f t="shared" si="8"/>
        <v>514.73147064117984</v>
      </c>
      <c r="AH76" s="61">
        <f t="shared" ref="AH76:AH110" si="13">M76*$E$17+$F$17</f>
        <v>809.77797005609966</v>
      </c>
      <c r="AI76" s="57">
        <f t="shared" si="9"/>
        <v>706.71592718939928</v>
      </c>
      <c r="AJ76" s="57">
        <f t="shared" si="10"/>
        <v>501.52979789622339</v>
      </c>
      <c r="AK76" s="11"/>
      <c r="AL76">
        <f t="shared" ref="AL76:AL110" si="14">L76/$AP$7</f>
        <v>93.37621788617885</v>
      </c>
      <c r="AQ76" s="318">
        <f t="shared" ref="AQ76:AQ110" si="15">(Z76-M76)/$AN$8 *10</f>
        <v>115.30451713395638</v>
      </c>
      <c r="AR76" s="318">
        <f t="shared" ref="AR76:AR110" si="16">(AA76-N76)/$AN$9*10</f>
        <v>76.458379888268155</v>
      </c>
      <c r="AT76">
        <f t="shared" ref="AT76:AT110" si="17">AQ76*$AN$8/1000</f>
        <v>3.7012749999999999</v>
      </c>
      <c r="AU76">
        <f t="shared" ref="AU76:AU110" si="18">AR76*$AN$9/1000</f>
        <v>2.7372099999999997</v>
      </c>
    </row>
    <row r="77" spans="3:47" x14ac:dyDescent="0.25">
      <c r="C77" s="312">
        <v>40238</v>
      </c>
      <c r="D77" s="73">
        <v>421.78199999999998</v>
      </c>
      <c r="E77">
        <v>430.56299999999999</v>
      </c>
      <c r="F77">
        <v>421.63</v>
      </c>
      <c r="G77">
        <v>424.03</v>
      </c>
      <c r="H77">
        <v>416.12799999999999</v>
      </c>
      <c r="J77">
        <v>7.6901999999999999</v>
      </c>
      <c r="K77" s="11">
        <v>73.17</v>
      </c>
      <c r="L77" s="313">
        <f t="shared" si="0"/>
        <v>562.69193400000006</v>
      </c>
      <c r="M77" s="73">
        <f t="shared" si="4"/>
        <v>426.17250000000001</v>
      </c>
      <c r="N77" s="11">
        <f t="shared" si="1"/>
        <v>420.07899999999995</v>
      </c>
      <c r="O77" s="73">
        <f t="shared" si="2"/>
        <v>407.03517765951665</v>
      </c>
      <c r="P77">
        <f t="shared" si="3"/>
        <v>424.30307901244322</v>
      </c>
      <c r="S77" s="73">
        <v>791</v>
      </c>
      <c r="T77">
        <v>787</v>
      </c>
      <c r="U77">
        <v>810</v>
      </c>
      <c r="V77">
        <v>703.45</v>
      </c>
      <c r="W77">
        <v>690.15</v>
      </c>
      <c r="X77">
        <v>486.1</v>
      </c>
      <c r="Y77" s="11">
        <v>515.20000000000005</v>
      </c>
      <c r="Z77" s="61">
        <f t="shared" si="11"/>
        <v>796</v>
      </c>
      <c r="AA77" s="57">
        <f t="shared" si="5"/>
        <v>696.8</v>
      </c>
      <c r="AB77" s="57">
        <f t="shared" si="6"/>
        <v>500.65000000000003</v>
      </c>
      <c r="AC77" s="57"/>
      <c r="AD77" s="73">
        <f t="shared" si="12"/>
        <v>792.54089767015</v>
      </c>
      <c r="AE77">
        <f t="shared" si="7"/>
        <v>713.75437605649267</v>
      </c>
      <c r="AF77">
        <f t="shared" si="8"/>
        <v>505.40488789672565</v>
      </c>
      <c r="AH77" s="61">
        <f t="shared" si="13"/>
        <v>818.32439666215248</v>
      </c>
      <c r="AI77" s="57">
        <f t="shared" si="9"/>
        <v>707.9729290820585</v>
      </c>
      <c r="AJ77" s="57">
        <f t="shared" si="10"/>
        <v>499.39190126020515</v>
      </c>
      <c r="AK77" s="11"/>
      <c r="AL77">
        <f t="shared" si="14"/>
        <v>91.494623414634148</v>
      </c>
      <c r="AQ77" s="318">
        <f t="shared" si="15"/>
        <v>115.21105919003114</v>
      </c>
      <c r="AR77" s="318">
        <f>(AA77-N77)/$AN$9*10</f>
        <v>77.296368715083801</v>
      </c>
      <c r="AT77">
        <f t="shared" si="17"/>
        <v>3.6982749999999998</v>
      </c>
      <c r="AU77">
        <f t="shared" si="18"/>
        <v>2.7672099999999999</v>
      </c>
    </row>
    <row r="78" spans="3:47" x14ac:dyDescent="0.25">
      <c r="C78" s="312">
        <v>40269</v>
      </c>
      <c r="D78" s="73">
        <v>445.28199999999998</v>
      </c>
      <c r="E78">
        <v>453.06299999999999</v>
      </c>
      <c r="F78">
        <v>444.63</v>
      </c>
      <c r="G78">
        <v>447.03</v>
      </c>
      <c r="H78">
        <v>437.12799999999999</v>
      </c>
      <c r="J78">
        <v>7.4752999999999998</v>
      </c>
      <c r="K78" s="11">
        <v>78.89</v>
      </c>
      <c r="L78" s="313">
        <f t="shared" si="0"/>
        <v>589.72641699999997</v>
      </c>
      <c r="M78" s="73">
        <f t="shared" si="4"/>
        <v>449.17250000000001</v>
      </c>
      <c r="N78" s="11">
        <f t="shared" si="1"/>
        <v>442.07899999999995</v>
      </c>
      <c r="O78" s="73">
        <f t="shared" si="2"/>
        <v>425.72441801551815</v>
      </c>
      <c r="P78">
        <f t="shared" si="3"/>
        <v>445.00524716667616</v>
      </c>
      <c r="S78" s="73">
        <v>840</v>
      </c>
      <c r="T78">
        <v>835</v>
      </c>
      <c r="U78">
        <v>858</v>
      </c>
      <c r="V78">
        <v>751.95</v>
      </c>
      <c r="W78">
        <v>738.65</v>
      </c>
      <c r="X78">
        <v>507.1</v>
      </c>
      <c r="Y78" s="11">
        <v>536.20000000000005</v>
      </c>
      <c r="Z78" s="61">
        <f t="shared" si="11"/>
        <v>844.33333333333337</v>
      </c>
      <c r="AA78" s="57">
        <f t="shared" si="5"/>
        <v>745.3</v>
      </c>
      <c r="AB78" s="57">
        <f t="shared" si="6"/>
        <v>521.65000000000009</v>
      </c>
      <c r="AC78" s="57"/>
      <c r="AD78" s="73">
        <f t="shared" si="12"/>
        <v>817.86998216648431</v>
      </c>
      <c r="AE78">
        <f t="shared" si="7"/>
        <v>739.71257940988733</v>
      </c>
      <c r="AF78">
        <f t="shared" si="8"/>
        <v>527.19399693061723</v>
      </c>
      <c r="AH78" s="61">
        <f t="shared" si="13"/>
        <v>849.52563665250409</v>
      </c>
      <c r="AI78" s="57">
        <f t="shared" si="9"/>
        <v>735.62697072056187</v>
      </c>
      <c r="AJ78" s="57">
        <f t="shared" si="10"/>
        <v>521.83981593839644</v>
      </c>
      <c r="AK78" s="11"/>
      <c r="AL78">
        <f t="shared" si="14"/>
        <v>95.890474308943084</v>
      </c>
      <c r="AQ78" s="318">
        <f t="shared" si="15"/>
        <v>123.10306334371757</v>
      </c>
      <c r="AR78" s="318">
        <f t="shared" si="16"/>
        <v>84.698603351955327</v>
      </c>
      <c r="AT78">
        <f t="shared" si="17"/>
        <v>3.9516083333333341</v>
      </c>
      <c r="AU78">
        <f t="shared" si="18"/>
        <v>3.0322100000000005</v>
      </c>
    </row>
    <row r="79" spans="3:47" x14ac:dyDescent="0.25">
      <c r="C79" s="312">
        <v>40299</v>
      </c>
      <c r="D79" s="73">
        <v>457.28199999999998</v>
      </c>
      <c r="E79">
        <v>465.06299999999999</v>
      </c>
      <c r="F79">
        <v>472.63</v>
      </c>
      <c r="G79">
        <v>475.03</v>
      </c>
      <c r="H79">
        <v>467.12880000000001</v>
      </c>
      <c r="J79">
        <v>7.3749000000000002</v>
      </c>
      <c r="K79" s="11">
        <v>85.75</v>
      </c>
      <c r="L79" s="313">
        <f t="shared" si="0"/>
        <v>632.39767500000005</v>
      </c>
      <c r="M79" s="73">
        <f t="shared" si="4"/>
        <v>461.17250000000001</v>
      </c>
      <c r="N79" s="11">
        <f t="shared" si="1"/>
        <v>471.07939999999996</v>
      </c>
      <c r="O79" s="73">
        <f t="shared" si="2"/>
        <v>455.2235357554415</v>
      </c>
      <c r="P79">
        <f t="shared" si="3"/>
        <v>477.68157237950379</v>
      </c>
      <c r="S79" s="73">
        <v>854</v>
      </c>
      <c r="T79">
        <v>848</v>
      </c>
      <c r="U79">
        <v>872</v>
      </c>
      <c r="V79">
        <v>781.45</v>
      </c>
      <c r="W79">
        <v>767.65</v>
      </c>
      <c r="X79">
        <v>566.20000000000005</v>
      </c>
      <c r="Y79" s="11">
        <v>538.1</v>
      </c>
      <c r="Z79" s="61">
        <f t="shared" si="11"/>
        <v>858</v>
      </c>
      <c r="AA79" s="57">
        <f t="shared" si="5"/>
        <v>774.55</v>
      </c>
      <c r="AB79" s="57">
        <f t="shared" si="6"/>
        <v>552.15000000000009</v>
      </c>
      <c r="AC79" s="57"/>
      <c r="AD79" s="73">
        <f t="shared" si="12"/>
        <v>857.84943727375912</v>
      </c>
      <c r="AE79">
        <f t="shared" si="7"/>
        <v>780.68503642003895</v>
      </c>
      <c r="AF79">
        <f t="shared" si="8"/>
        <v>561.5859508353883</v>
      </c>
      <c r="AH79" s="61">
        <f t="shared" si="13"/>
        <v>865.80454447355714</v>
      </c>
      <c r="AI79" s="57">
        <f t="shared" si="9"/>
        <v>772.08052840843686</v>
      </c>
      <c r="AJ79" s="57">
        <f t="shared" si="10"/>
        <v>553.90912063732435</v>
      </c>
      <c r="AK79" s="11"/>
      <c r="AL79">
        <f t="shared" si="14"/>
        <v>102.82889024390244</v>
      </c>
      <c r="AQ79" s="318">
        <f t="shared" si="15"/>
        <v>123.62227414330218</v>
      </c>
      <c r="AR79" s="318">
        <f t="shared" si="16"/>
        <v>84.768324022346363</v>
      </c>
      <c r="AT79">
        <f t="shared" si="17"/>
        <v>3.9682750000000002</v>
      </c>
      <c r="AU79">
        <f t="shared" si="18"/>
        <v>3.0347059999999995</v>
      </c>
    </row>
    <row r="80" spans="3:47" x14ac:dyDescent="0.25">
      <c r="C80" s="312">
        <v>40330</v>
      </c>
      <c r="D80" s="73">
        <v>430.28199999999998</v>
      </c>
      <c r="E80">
        <v>438.06299999999999</v>
      </c>
      <c r="F80">
        <v>457.63</v>
      </c>
      <c r="G80">
        <v>460.03</v>
      </c>
      <c r="H80">
        <v>454.12799999999999</v>
      </c>
      <c r="J80">
        <v>7.6574999999999998</v>
      </c>
      <c r="K80" s="11">
        <v>76.3</v>
      </c>
      <c r="L80" s="313">
        <f t="shared" si="0"/>
        <v>584.26724999999999</v>
      </c>
      <c r="M80" s="73">
        <f t="shared" si="4"/>
        <v>434.17250000000001</v>
      </c>
      <c r="N80" s="11">
        <f t="shared" si="1"/>
        <v>457.07899999999995</v>
      </c>
      <c r="O80" s="73">
        <f t="shared" si="2"/>
        <v>421.95043483239044</v>
      </c>
      <c r="P80">
        <f t="shared" si="3"/>
        <v>440.82478648555127</v>
      </c>
      <c r="S80" s="73">
        <v>827</v>
      </c>
      <c r="T80">
        <v>821</v>
      </c>
      <c r="U80">
        <v>845</v>
      </c>
      <c r="V80">
        <v>766.45</v>
      </c>
      <c r="W80">
        <v>752.65</v>
      </c>
      <c r="X80">
        <v>553.20000000000005</v>
      </c>
      <c r="Y80" s="11">
        <v>525.1</v>
      </c>
      <c r="Z80" s="61">
        <f t="shared" si="11"/>
        <v>831</v>
      </c>
      <c r="AA80" s="57">
        <f t="shared" si="5"/>
        <v>759.55</v>
      </c>
      <c r="AB80" s="57">
        <f t="shared" si="6"/>
        <v>539.15000000000009</v>
      </c>
      <c r="AC80" s="57"/>
      <c r="AD80" s="73">
        <f t="shared" si="12"/>
        <v>812.75519220646925</v>
      </c>
      <c r="AE80">
        <f t="shared" si="7"/>
        <v>734.47074929513576</v>
      </c>
      <c r="AF80">
        <f t="shared" si="8"/>
        <v>522.79404650444394</v>
      </c>
      <c r="AH80" s="61">
        <f t="shared" si="13"/>
        <v>829.17700187618777</v>
      </c>
      <c r="AI80" s="57">
        <f t="shared" si="9"/>
        <v>754.48199911045037</v>
      </c>
      <c r="AJ80" s="57">
        <f t="shared" si="10"/>
        <v>540.01193734455137</v>
      </c>
      <c r="AK80" s="11"/>
      <c r="AL80">
        <f t="shared" si="14"/>
        <v>95.002804878048778</v>
      </c>
      <c r="AQ80" s="318">
        <f t="shared" si="15"/>
        <v>123.62227414330218</v>
      </c>
      <c r="AR80" s="318">
        <f t="shared" si="16"/>
        <v>84.489106145251398</v>
      </c>
      <c r="AT80">
        <f t="shared" si="17"/>
        <v>3.9682750000000002</v>
      </c>
      <c r="AU80">
        <f t="shared" si="18"/>
        <v>3.0247100000000002</v>
      </c>
    </row>
    <row r="81" spans="3:47" x14ac:dyDescent="0.25">
      <c r="C81" s="312">
        <v>40360</v>
      </c>
      <c r="D81" s="73">
        <v>415.28199999999998</v>
      </c>
      <c r="E81">
        <v>420.06299999999999</v>
      </c>
      <c r="F81">
        <v>442.63</v>
      </c>
      <c r="G81">
        <v>444.03</v>
      </c>
      <c r="H81">
        <v>442.12799999999999</v>
      </c>
      <c r="J81">
        <v>7.6707999999999998</v>
      </c>
      <c r="K81" s="11">
        <v>74.61</v>
      </c>
      <c r="L81" s="313">
        <f t="shared" si="0"/>
        <v>572.31838800000003</v>
      </c>
      <c r="M81" s="73">
        <f t="shared" si="4"/>
        <v>417.67250000000001</v>
      </c>
      <c r="N81" s="11">
        <f t="shared" si="1"/>
        <v>443.07899999999995</v>
      </c>
      <c r="O81" s="73">
        <f t="shared" si="2"/>
        <v>413.69005293795243</v>
      </c>
      <c r="P81">
        <f t="shared" si="3"/>
        <v>431.67471875998297</v>
      </c>
      <c r="S81" s="73">
        <v>812</v>
      </c>
      <c r="T81">
        <v>803</v>
      </c>
      <c r="U81">
        <v>827</v>
      </c>
      <c r="V81">
        <v>751.45</v>
      </c>
      <c r="W81">
        <v>737.65</v>
      </c>
      <c r="X81">
        <v>513.1</v>
      </c>
      <c r="Y81" s="11">
        <v>541.20000000000005</v>
      </c>
      <c r="Z81" s="61">
        <f t="shared" si="11"/>
        <v>814</v>
      </c>
      <c r="AA81" s="57">
        <f t="shared" si="5"/>
        <v>744.55</v>
      </c>
      <c r="AB81" s="57">
        <f t="shared" si="6"/>
        <v>527.15000000000009</v>
      </c>
      <c r="AC81" s="57"/>
      <c r="AD81" s="73">
        <f t="shared" si="12"/>
        <v>801.56009240622382</v>
      </c>
      <c r="AE81">
        <f t="shared" si="7"/>
        <v>722.99758779107992</v>
      </c>
      <c r="AF81">
        <f t="shared" si="8"/>
        <v>513.1635661675748</v>
      </c>
      <c r="AH81" s="61">
        <f t="shared" si="13"/>
        <v>806.79350362223988</v>
      </c>
      <c r="AI81" s="57">
        <f t="shared" si="9"/>
        <v>736.88397261322109</v>
      </c>
      <c r="AJ81" s="57">
        <f t="shared" si="10"/>
        <v>527.18455752844216</v>
      </c>
      <c r="AK81" s="11"/>
      <c r="AL81">
        <f t="shared" si="14"/>
        <v>93.059900487804882</v>
      </c>
      <c r="AQ81" s="318">
        <f t="shared" si="15"/>
        <v>123.46651090342678</v>
      </c>
      <c r="AR81" s="318">
        <f t="shared" si="16"/>
        <v>84.209776536312845</v>
      </c>
      <c r="AT81">
        <f t="shared" si="17"/>
        <v>3.9632749999999994</v>
      </c>
      <c r="AU81">
        <f t="shared" si="18"/>
        <v>3.0147099999999996</v>
      </c>
    </row>
    <row r="82" spans="3:47" x14ac:dyDescent="0.25">
      <c r="C82" s="312">
        <v>40391</v>
      </c>
      <c r="D82" s="73">
        <v>405.28199999999998</v>
      </c>
      <c r="E82">
        <v>410.06299999999999</v>
      </c>
      <c r="F82">
        <v>429.63</v>
      </c>
      <c r="G82">
        <v>431.03</v>
      </c>
      <c r="H82">
        <v>427.18200000000002</v>
      </c>
      <c r="J82">
        <v>7.5757000000000003</v>
      </c>
      <c r="K82" s="11">
        <v>78.680000000000007</v>
      </c>
      <c r="L82" s="313">
        <f t="shared" si="0"/>
        <v>596.05607600000008</v>
      </c>
      <c r="M82" s="73">
        <f t="shared" si="4"/>
        <v>407.67250000000001</v>
      </c>
      <c r="N82" s="11">
        <f t="shared" si="1"/>
        <v>429.10599999999999</v>
      </c>
      <c r="O82" s="73">
        <f t="shared" si="2"/>
        <v>430.10018205075164</v>
      </c>
      <c r="P82">
        <f t="shared" si="3"/>
        <v>449.85230360851585</v>
      </c>
      <c r="S82" s="73">
        <v>802</v>
      </c>
      <c r="T82">
        <v>793</v>
      </c>
      <c r="U82">
        <v>817</v>
      </c>
      <c r="V82">
        <v>738.45</v>
      </c>
      <c r="W82">
        <v>724.65</v>
      </c>
      <c r="X82">
        <v>498.1</v>
      </c>
      <c r="Y82" s="11">
        <v>526.20000000000005</v>
      </c>
      <c r="Z82" s="61">
        <f t="shared" si="11"/>
        <v>804</v>
      </c>
      <c r="AA82" s="57">
        <f t="shared" si="5"/>
        <v>731.55</v>
      </c>
      <c r="AB82" s="57">
        <f t="shared" si="6"/>
        <v>512.15000000000009</v>
      </c>
      <c r="AC82" s="57"/>
      <c r="AD82" s="73">
        <f t="shared" si="12"/>
        <v>823.80035145240652</v>
      </c>
      <c r="AE82">
        <f t="shared" si="7"/>
        <v>745.79024605066047</v>
      </c>
      <c r="AF82">
        <f t="shared" si="8"/>
        <v>532.29554187595068</v>
      </c>
      <c r="AH82" s="61">
        <f t="shared" si="13"/>
        <v>793.22774710469571</v>
      </c>
      <c r="AI82" s="57">
        <f t="shared" si="9"/>
        <v>719.3198851670935</v>
      </c>
      <c r="AJ82" s="57">
        <f t="shared" si="10"/>
        <v>511.20805596747795</v>
      </c>
      <c r="AK82" s="11"/>
      <c r="AL82">
        <f t="shared" si="14"/>
        <v>96.919687154471546</v>
      </c>
      <c r="AQ82" s="318">
        <f t="shared" si="15"/>
        <v>123.46651090342678</v>
      </c>
      <c r="AR82" s="318">
        <f t="shared" si="16"/>
        <v>84.481564245810063</v>
      </c>
      <c r="AT82">
        <f t="shared" si="17"/>
        <v>3.9632749999999994</v>
      </c>
      <c r="AU82">
        <f t="shared" si="18"/>
        <v>3.0244400000000002</v>
      </c>
    </row>
    <row r="83" spans="3:47" x14ac:dyDescent="0.25">
      <c r="C83" s="312">
        <v>40422</v>
      </c>
      <c r="D83" s="73">
        <v>395.28199999999998</v>
      </c>
      <c r="E83">
        <v>400.06299999999999</v>
      </c>
      <c r="F83">
        <v>429.63</v>
      </c>
      <c r="G83">
        <v>433.03</v>
      </c>
      <c r="H83">
        <v>422.12799999999999</v>
      </c>
      <c r="J83">
        <v>7.3178000000000001</v>
      </c>
      <c r="K83" s="11">
        <v>77.39</v>
      </c>
      <c r="L83" s="313">
        <f t="shared" si="0"/>
        <v>566.32454200000006</v>
      </c>
      <c r="M83" s="73">
        <f t="shared" si="4"/>
        <v>397.67250000000001</v>
      </c>
      <c r="N83" s="11">
        <f t="shared" si="1"/>
        <v>427.57899999999995</v>
      </c>
      <c r="O83" s="73">
        <f t="shared" si="2"/>
        <v>409.54644018416468</v>
      </c>
      <c r="P83">
        <f t="shared" si="3"/>
        <v>427.0848174926802</v>
      </c>
      <c r="S83" s="73">
        <v>792</v>
      </c>
      <c r="T83">
        <v>783</v>
      </c>
      <c r="U83">
        <v>807</v>
      </c>
      <c r="V83">
        <v>738.45</v>
      </c>
      <c r="W83">
        <v>724.65</v>
      </c>
      <c r="X83">
        <v>493.1</v>
      </c>
      <c r="Y83" s="11">
        <v>521.20000000000005</v>
      </c>
      <c r="Z83" s="61">
        <f t="shared" si="11"/>
        <v>794</v>
      </c>
      <c r="AA83" s="57">
        <f t="shared" si="5"/>
        <v>731.55</v>
      </c>
      <c r="AB83" s="57">
        <f t="shared" si="6"/>
        <v>507.15000000000003</v>
      </c>
      <c r="AC83" s="57"/>
      <c r="AD83" s="73">
        <f t="shared" si="12"/>
        <v>795.9443522497719</v>
      </c>
      <c r="AE83">
        <f t="shared" si="7"/>
        <v>717.24236497668653</v>
      </c>
      <c r="AF83">
        <f t="shared" si="8"/>
        <v>508.33267800054921</v>
      </c>
      <c r="AH83" s="61">
        <f t="shared" si="13"/>
        <v>779.66199058715154</v>
      </c>
      <c r="AI83" s="57">
        <f t="shared" si="9"/>
        <v>717.40044327700286</v>
      </c>
      <c r="AJ83" s="57">
        <f t="shared" si="10"/>
        <v>505.80559116825981</v>
      </c>
      <c r="AK83" s="11"/>
      <c r="AL83">
        <f t="shared" si="14"/>
        <v>92.085291382113823</v>
      </c>
      <c r="AQ83" s="318">
        <f t="shared" si="15"/>
        <v>123.46651090342678</v>
      </c>
      <c r="AR83" s="318">
        <f t="shared" si="16"/>
        <v>84.908100558659228</v>
      </c>
      <c r="AT83">
        <f t="shared" si="17"/>
        <v>3.9632749999999994</v>
      </c>
      <c r="AU83">
        <f t="shared" si="18"/>
        <v>3.0397099999999999</v>
      </c>
    </row>
    <row r="84" spans="3:47" x14ac:dyDescent="0.25">
      <c r="C84" s="312">
        <v>40452</v>
      </c>
      <c r="D84" s="73">
        <v>390.78199999999998</v>
      </c>
      <c r="E84">
        <v>396.56299999999999</v>
      </c>
      <c r="F84">
        <v>426.63</v>
      </c>
      <c r="G84">
        <v>430.03</v>
      </c>
      <c r="H84">
        <v>421.12799999999999</v>
      </c>
      <c r="J84">
        <v>7.1859000000000002</v>
      </c>
      <c r="K84" s="11">
        <v>77.37</v>
      </c>
      <c r="L84" s="313">
        <f t="shared" si="0"/>
        <v>555.97308300000009</v>
      </c>
      <c r="M84" s="73">
        <f t="shared" si="4"/>
        <v>393.67250000000001</v>
      </c>
      <c r="N84" s="11">
        <f t="shared" si="1"/>
        <v>425.57899999999995</v>
      </c>
      <c r="O84" s="73">
        <f t="shared" si="2"/>
        <v>402.3903608433356</v>
      </c>
      <c r="P84">
        <f t="shared" si="3"/>
        <v>419.15799141431029</v>
      </c>
      <c r="S84" s="73">
        <v>796</v>
      </c>
      <c r="T84">
        <v>788</v>
      </c>
      <c r="U84">
        <v>812</v>
      </c>
      <c r="V84">
        <v>735.45</v>
      </c>
      <c r="W84">
        <v>721.65</v>
      </c>
      <c r="X84">
        <v>492.1</v>
      </c>
      <c r="Y84" s="11">
        <v>520.20000000000005</v>
      </c>
      <c r="Z84" s="61">
        <f t="shared" si="11"/>
        <v>798.66666666666663</v>
      </c>
      <c r="AA84" s="57">
        <f t="shared" si="5"/>
        <v>728.55</v>
      </c>
      <c r="AB84" s="57">
        <f t="shared" si="6"/>
        <v>506.15000000000003</v>
      </c>
      <c r="AC84" s="57"/>
      <c r="AD84" s="73">
        <f t="shared" si="12"/>
        <v>786.24588752709383</v>
      </c>
      <c r="AE84">
        <f t="shared" si="7"/>
        <v>707.30301168014569</v>
      </c>
      <c r="AF84">
        <f t="shared" si="8"/>
        <v>499.98966405014897</v>
      </c>
      <c r="AH84" s="61">
        <f t="shared" si="13"/>
        <v>774.23568798013378</v>
      </c>
      <c r="AI84" s="57">
        <f t="shared" si="9"/>
        <v>714.88643949168431</v>
      </c>
      <c r="AJ84" s="57">
        <f t="shared" si="10"/>
        <v>504.73664285025075</v>
      </c>
      <c r="AK84" s="11"/>
      <c r="AL84">
        <f t="shared" si="14"/>
        <v>90.40212731707318</v>
      </c>
      <c r="AQ84" s="318">
        <f t="shared" si="15"/>
        <v>126.16640706126685</v>
      </c>
      <c r="AR84" s="318">
        <f t="shared" si="16"/>
        <v>84.628770949720689</v>
      </c>
      <c r="AT84">
        <f t="shared" si="17"/>
        <v>4.0499416666666663</v>
      </c>
      <c r="AU84">
        <f t="shared" si="18"/>
        <v>3.0297100000000006</v>
      </c>
    </row>
    <row r="85" spans="3:47" x14ac:dyDescent="0.25">
      <c r="C85" s="312">
        <v>40483</v>
      </c>
      <c r="D85" s="73">
        <v>410.78199999999998</v>
      </c>
      <c r="E85">
        <v>416.56299999999999</v>
      </c>
      <c r="F85">
        <v>437.63</v>
      </c>
      <c r="G85">
        <v>442.03</v>
      </c>
      <c r="H85">
        <v>435.12799999999999</v>
      </c>
      <c r="J85">
        <v>6.9374000000000002</v>
      </c>
      <c r="K85" s="11">
        <v>82.73</v>
      </c>
      <c r="L85" s="313">
        <f t="shared" si="0"/>
        <v>573.93110200000001</v>
      </c>
      <c r="M85" s="73">
        <f t="shared" si="4"/>
        <v>413.67250000000001</v>
      </c>
      <c r="N85" s="11">
        <f t="shared" si="1"/>
        <v>438.57899999999995</v>
      </c>
      <c r="O85" s="73">
        <f t="shared" si="2"/>
        <v>414.80494015704545</v>
      </c>
      <c r="P85">
        <f t="shared" si="3"/>
        <v>432.90968509585429</v>
      </c>
      <c r="S85" s="73">
        <v>816</v>
      </c>
      <c r="T85">
        <v>808</v>
      </c>
      <c r="U85">
        <v>832</v>
      </c>
      <c r="V85">
        <v>746.45</v>
      </c>
      <c r="W85">
        <v>732.65</v>
      </c>
      <c r="X85">
        <v>506.1</v>
      </c>
      <c r="Y85" s="11">
        <v>534.20000000000005</v>
      </c>
      <c r="Z85" s="61">
        <f t="shared" si="11"/>
        <v>818.66666666666663</v>
      </c>
      <c r="AA85" s="57">
        <f t="shared" si="5"/>
        <v>739.55</v>
      </c>
      <c r="AB85" s="57">
        <f t="shared" si="6"/>
        <v>520.15000000000009</v>
      </c>
      <c r="AC85" s="57"/>
      <c r="AD85" s="73">
        <f t="shared" si="12"/>
        <v>803.07107263005207</v>
      </c>
      <c r="AE85">
        <f t="shared" si="7"/>
        <v>724.54609744679874</v>
      </c>
      <c r="AF85">
        <f t="shared" si="8"/>
        <v>514.46337283251023</v>
      </c>
      <c r="AH85" s="61">
        <f t="shared" si="13"/>
        <v>801.36720101522224</v>
      </c>
      <c r="AI85" s="57">
        <f t="shared" si="9"/>
        <v>731.22746409625449</v>
      </c>
      <c r="AJ85" s="57">
        <f t="shared" si="10"/>
        <v>519.70191930237831</v>
      </c>
      <c r="AK85" s="11"/>
      <c r="AL85">
        <f t="shared" si="14"/>
        <v>93.322130406504058</v>
      </c>
      <c r="AQ85" s="318">
        <f t="shared" si="15"/>
        <v>126.16640706126685</v>
      </c>
      <c r="AR85" s="318">
        <f t="shared" si="16"/>
        <v>84.070111731843582</v>
      </c>
      <c r="AT85">
        <f t="shared" si="17"/>
        <v>4.0499416666666663</v>
      </c>
      <c r="AU85">
        <f t="shared" si="18"/>
        <v>3.0097100000000001</v>
      </c>
    </row>
    <row r="86" spans="3:47" x14ac:dyDescent="0.25">
      <c r="C86" s="312">
        <v>40513</v>
      </c>
      <c r="D86" s="73">
        <v>423.78199999999998</v>
      </c>
      <c r="E86">
        <v>429.56299999999999</v>
      </c>
      <c r="F86">
        <v>451.63</v>
      </c>
      <c r="G86">
        <v>457.03</v>
      </c>
      <c r="H86">
        <v>449.12799999999999</v>
      </c>
      <c r="J86">
        <v>6.9767000000000001</v>
      </c>
      <c r="K86" s="11">
        <v>85.15</v>
      </c>
      <c r="L86" s="313">
        <f t="shared" si="0"/>
        <v>594.06600500000002</v>
      </c>
      <c r="M86" s="73">
        <f t="shared" si="4"/>
        <v>426.67250000000001</v>
      </c>
      <c r="N86" s="11">
        <f t="shared" si="1"/>
        <v>453.07899999999995</v>
      </c>
      <c r="O86" s="73">
        <f t="shared" si="2"/>
        <v>428.72442371853163</v>
      </c>
      <c r="P86">
        <f t="shared" si="3"/>
        <v>448.32836899209047</v>
      </c>
      <c r="S86" s="73">
        <v>829</v>
      </c>
      <c r="T86">
        <v>821</v>
      </c>
      <c r="U86">
        <v>845</v>
      </c>
      <c r="V86">
        <v>760.45</v>
      </c>
      <c r="W86">
        <v>746.65</v>
      </c>
      <c r="X86">
        <v>520.1</v>
      </c>
      <c r="Y86" s="11">
        <v>548.20000000000005</v>
      </c>
      <c r="Z86" s="61">
        <f t="shared" si="11"/>
        <v>831.66666666666663</v>
      </c>
      <c r="AA86" s="57">
        <f t="shared" si="5"/>
        <v>753.55</v>
      </c>
      <c r="AB86" s="57">
        <f t="shared" si="6"/>
        <v>534.15000000000009</v>
      </c>
      <c r="AC86" s="57"/>
      <c r="AD86" s="73">
        <f t="shared" si="12"/>
        <v>821.93581879192595</v>
      </c>
      <c r="AE86">
        <f t="shared" si="7"/>
        <v>743.87940249187318</v>
      </c>
      <c r="AF86">
        <f t="shared" si="8"/>
        <v>530.69159502021876</v>
      </c>
      <c r="AH86" s="61">
        <f t="shared" si="13"/>
        <v>819.00268448802967</v>
      </c>
      <c r="AI86" s="57">
        <f t="shared" si="9"/>
        <v>749.4539915398135</v>
      </c>
      <c r="AJ86" s="57">
        <f t="shared" si="10"/>
        <v>534.66719575450588</v>
      </c>
      <c r="AK86" s="11"/>
      <c r="AL86">
        <f t="shared" si="14"/>
        <v>96.596098373983736</v>
      </c>
      <c r="AQ86" s="318">
        <f t="shared" si="15"/>
        <v>126.16640706126685</v>
      </c>
      <c r="AR86" s="318">
        <f t="shared" si="16"/>
        <v>83.930446927374319</v>
      </c>
      <c r="AT86">
        <f t="shared" si="17"/>
        <v>4.0499416666666663</v>
      </c>
      <c r="AU86">
        <f t="shared" si="18"/>
        <v>3.0047100000000007</v>
      </c>
    </row>
    <row r="87" spans="3:47" x14ac:dyDescent="0.25">
      <c r="C87" s="312">
        <v>40544</v>
      </c>
      <c r="D87" s="73">
        <v>449.18099999999998</v>
      </c>
      <c r="E87">
        <v>453.94900000000001</v>
      </c>
      <c r="F87">
        <v>471.63</v>
      </c>
      <c r="G87">
        <v>477.03</v>
      </c>
      <c r="H87">
        <v>467.12799999999999</v>
      </c>
      <c r="J87">
        <v>6.9009999999999998</v>
      </c>
      <c r="K87" s="11">
        <v>90.77</v>
      </c>
      <c r="L87" s="313">
        <f t="shared" si="0"/>
        <v>626.40377000000001</v>
      </c>
      <c r="M87" s="73">
        <f t="shared" si="4"/>
        <v>451.565</v>
      </c>
      <c r="N87" s="11">
        <f t="shared" si="1"/>
        <v>472.07899999999995</v>
      </c>
      <c r="O87" s="73">
        <f t="shared" si="2"/>
        <v>451.07988221429406</v>
      </c>
      <c r="P87">
        <f t="shared" si="3"/>
        <v>473.0916259318318</v>
      </c>
      <c r="S87" s="73">
        <v>858</v>
      </c>
      <c r="T87">
        <v>849</v>
      </c>
      <c r="U87">
        <v>858</v>
      </c>
      <c r="V87">
        <v>784.05100000000004</v>
      </c>
      <c r="W87">
        <v>770.25099999999998</v>
      </c>
      <c r="X87">
        <v>541.71299999999997</v>
      </c>
      <c r="Y87" s="11">
        <v>569.81299999999999</v>
      </c>
      <c r="Z87" s="61">
        <f t="shared" si="11"/>
        <v>855</v>
      </c>
      <c r="AA87" s="57">
        <f t="shared" si="5"/>
        <v>777.15100000000007</v>
      </c>
      <c r="AB87" s="57">
        <f t="shared" si="6"/>
        <v>555.76299999999992</v>
      </c>
      <c r="AC87" s="57"/>
      <c r="AD87" s="73">
        <f t="shared" si="12"/>
        <v>852.23364183916544</v>
      </c>
      <c r="AE87">
        <f t="shared" si="7"/>
        <v>774.92975695451594</v>
      </c>
      <c r="AF87">
        <f t="shared" si="8"/>
        <v>556.75501511585605</v>
      </c>
      <c r="AH87" s="61">
        <f t="shared" si="13"/>
        <v>852.77124389932658</v>
      </c>
      <c r="AI87" s="57">
        <f t="shared" si="9"/>
        <v>773.33702750033899</v>
      </c>
      <c r="AJ87" s="57">
        <f t="shared" si="10"/>
        <v>553.90826547866993</v>
      </c>
      <c r="AK87" s="11"/>
      <c r="AL87">
        <f t="shared" si="14"/>
        <v>101.85427154471544</v>
      </c>
      <c r="AQ87" s="318">
        <f t="shared" si="15"/>
        <v>125.68068535825545</v>
      </c>
      <c r="AR87" s="318">
        <f t="shared" si="16"/>
        <v>85.215642458100604</v>
      </c>
      <c r="AT87">
        <f t="shared" si="17"/>
        <v>4.0343499999999999</v>
      </c>
      <c r="AU87">
        <f t="shared" si="18"/>
        <v>3.050720000000001</v>
      </c>
    </row>
    <row r="88" spans="3:47" x14ac:dyDescent="0.25">
      <c r="C88" s="312">
        <v>40575</v>
      </c>
      <c r="D88" s="73">
        <v>475.18099999999998</v>
      </c>
      <c r="E88">
        <v>479.94900000000001</v>
      </c>
      <c r="F88">
        <v>501.63</v>
      </c>
      <c r="G88">
        <v>509.03</v>
      </c>
      <c r="H88">
        <v>499.12799999999999</v>
      </c>
      <c r="J88">
        <v>6.8982999999999999</v>
      </c>
      <c r="K88" s="11">
        <v>95.97</v>
      </c>
      <c r="L88" s="313">
        <f t="shared" si="0"/>
        <v>662.02985100000001</v>
      </c>
      <c r="M88" s="73">
        <f t="shared" si="4"/>
        <v>477.565</v>
      </c>
      <c r="N88" s="11">
        <f t="shared" si="1"/>
        <v>504.07899999999995</v>
      </c>
      <c r="O88" s="73">
        <f t="shared" si="2"/>
        <v>475.70859032575976</v>
      </c>
      <c r="P88">
        <f t="shared" si="3"/>
        <v>500.37297322219149</v>
      </c>
      <c r="S88" s="73">
        <v>884</v>
      </c>
      <c r="T88">
        <v>875</v>
      </c>
      <c r="U88">
        <v>899</v>
      </c>
      <c r="V88">
        <v>814.05100000000004</v>
      </c>
      <c r="W88">
        <v>800.25099999999998</v>
      </c>
      <c r="X88">
        <v>573.71299999999997</v>
      </c>
      <c r="Y88" s="11">
        <v>601.81299999999999</v>
      </c>
      <c r="Z88" s="61">
        <f t="shared" si="11"/>
        <v>886</v>
      </c>
      <c r="AA88" s="57">
        <f t="shared" si="5"/>
        <v>807.15100000000007</v>
      </c>
      <c r="AB88" s="57">
        <f t="shared" si="6"/>
        <v>587.76299999999992</v>
      </c>
      <c r="AC88" s="57"/>
      <c r="AD88" s="73">
        <f t="shared" si="12"/>
        <v>885.6123462117348</v>
      </c>
      <c r="AE88">
        <f t="shared" si="7"/>
        <v>809.13751507152938</v>
      </c>
      <c r="AF88">
        <f t="shared" si="8"/>
        <v>585.4687346776193</v>
      </c>
      <c r="AH88" s="61">
        <f t="shared" si="13"/>
        <v>888.04221084494145</v>
      </c>
      <c r="AI88" s="57">
        <f t="shared" si="9"/>
        <v>813.56108806543477</v>
      </c>
      <c r="AJ88" s="57">
        <f t="shared" si="10"/>
        <v>588.11461165496155</v>
      </c>
      <c r="AK88" s="11"/>
      <c r="AL88">
        <f t="shared" si="14"/>
        <v>107.64713024390244</v>
      </c>
      <c r="AQ88" s="318">
        <f t="shared" si="15"/>
        <v>127.23831775700933</v>
      </c>
      <c r="AR88" s="318">
        <f t="shared" si="16"/>
        <v>84.656983240223497</v>
      </c>
      <c r="AT88">
        <f t="shared" si="17"/>
        <v>4.0843499999999997</v>
      </c>
      <c r="AU88">
        <f t="shared" si="18"/>
        <v>3.0307200000000005</v>
      </c>
    </row>
    <row r="89" spans="3:47" x14ac:dyDescent="0.25">
      <c r="C89" s="312">
        <v>40603</v>
      </c>
      <c r="D89" s="73">
        <v>518.18100000000004</v>
      </c>
      <c r="E89">
        <v>522.94899999999996</v>
      </c>
      <c r="F89">
        <v>565.63</v>
      </c>
      <c r="G89">
        <v>572.03</v>
      </c>
      <c r="H89">
        <v>569.12800000000004</v>
      </c>
      <c r="J89">
        <v>7.2333999999999996</v>
      </c>
      <c r="K89" s="11">
        <v>102.37</v>
      </c>
      <c r="L89" s="313">
        <f t="shared" si="0"/>
        <v>740.483158</v>
      </c>
      <c r="M89" s="73">
        <f t="shared" si="4"/>
        <v>520.56500000000005</v>
      </c>
      <c r="N89" s="11">
        <f t="shared" si="1"/>
        <v>570.57899999999995</v>
      </c>
      <c r="O89" s="73">
        <f t="shared" si="2"/>
        <v>529.94423859934352</v>
      </c>
      <c r="P89">
        <f t="shared" si="3"/>
        <v>560.45008117981968</v>
      </c>
      <c r="S89" s="73">
        <v>927</v>
      </c>
      <c r="T89">
        <v>918</v>
      </c>
      <c r="U89">
        <v>942</v>
      </c>
      <c r="V89">
        <v>878.05100000000004</v>
      </c>
      <c r="W89">
        <v>864.25099999999998</v>
      </c>
      <c r="X89">
        <v>643.71299999999997</v>
      </c>
      <c r="Y89" s="11">
        <v>671.81299999999999</v>
      </c>
      <c r="Z89" s="61">
        <f t="shared" si="11"/>
        <v>929</v>
      </c>
      <c r="AA89" s="57">
        <f t="shared" si="5"/>
        <v>871.15100000000007</v>
      </c>
      <c r="AB89" s="57">
        <f t="shared" si="6"/>
        <v>657.76299999999992</v>
      </c>
      <c r="AC89" s="57"/>
      <c r="AD89" s="73">
        <f t="shared" si="12"/>
        <v>959.11663486485452</v>
      </c>
      <c r="AE89">
        <f t="shared" si="7"/>
        <v>884.46748889985474</v>
      </c>
      <c r="AF89">
        <f t="shared" si="8"/>
        <v>648.70011440448036</v>
      </c>
      <c r="AH89" s="61">
        <f t="shared" si="13"/>
        <v>946.37496387038163</v>
      </c>
      <c r="AI89" s="57">
        <f t="shared" si="9"/>
        <v>897.15171392727427</v>
      </c>
      <c r="AJ89" s="57">
        <f t="shared" si="10"/>
        <v>662.94099391559951</v>
      </c>
      <c r="AK89" s="11"/>
      <c r="AL89">
        <f t="shared" si="14"/>
        <v>120.40376552845528</v>
      </c>
      <c r="AQ89" s="318">
        <f t="shared" si="15"/>
        <v>127.23831775700931</v>
      </c>
      <c r="AR89" s="318">
        <f t="shared" si="16"/>
        <v>83.958659217877141</v>
      </c>
      <c r="AT89">
        <f t="shared" si="17"/>
        <v>4.0843499999999988</v>
      </c>
      <c r="AU89">
        <f t="shared" si="18"/>
        <v>3.0057200000000015</v>
      </c>
    </row>
    <row r="90" spans="3:47" x14ac:dyDescent="0.25">
      <c r="C90" s="312">
        <v>40634</v>
      </c>
      <c r="D90" s="73">
        <v>546.38099999999997</v>
      </c>
      <c r="E90">
        <v>552.149</v>
      </c>
      <c r="F90">
        <v>610.63</v>
      </c>
      <c r="G90">
        <v>616.03</v>
      </c>
      <c r="H90">
        <v>609.12800000000004</v>
      </c>
      <c r="J90">
        <v>6.9512</v>
      </c>
      <c r="K90" s="11">
        <v>114.41</v>
      </c>
      <c r="L90" s="313">
        <f t="shared" si="0"/>
        <v>795.28679199999999</v>
      </c>
      <c r="M90" s="73">
        <f t="shared" si="4"/>
        <v>549.26499999999999</v>
      </c>
      <c r="N90" s="11">
        <f t="shared" si="1"/>
        <v>612.57899999999995</v>
      </c>
      <c r="O90" s="73">
        <f t="shared" si="2"/>
        <v>567.83060351367681</v>
      </c>
      <c r="P90">
        <f t="shared" si="3"/>
        <v>602.41700344465596</v>
      </c>
      <c r="S90" s="73">
        <v>980</v>
      </c>
      <c r="T90">
        <v>966</v>
      </c>
      <c r="U90">
        <v>996</v>
      </c>
      <c r="V90">
        <v>948.45100000000002</v>
      </c>
      <c r="W90">
        <v>928.05100000000004</v>
      </c>
      <c r="X90">
        <v>684.51300000000003</v>
      </c>
      <c r="Y90" s="11">
        <v>720.41300000000001</v>
      </c>
      <c r="Z90" s="61">
        <f t="shared" si="11"/>
        <v>980.66666666666663</v>
      </c>
      <c r="AA90" s="57">
        <f t="shared" si="5"/>
        <v>938.25099999999998</v>
      </c>
      <c r="AB90" s="57">
        <f t="shared" si="6"/>
        <v>702.46299999999997</v>
      </c>
      <c r="AC90" s="57"/>
      <c r="AD90" s="73">
        <f t="shared" si="12"/>
        <v>1010.4631272794564</v>
      </c>
      <c r="AE90">
        <f t="shared" si="7"/>
        <v>937.08931547138627</v>
      </c>
      <c r="AF90">
        <f t="shared" si="8"/>
        <v>692.87045628523651</v>
      </c>
      <c r="AH90" s="61">
        <f t="shared" si="13"/>
        <v>985.30868507573337</v>
      </c>
      <c r="AI90" s="57">
        <f t="shared" si="9"/>
        <v>949.94579341896235</v>
      </c>
      <c r="AJ90" s="57">
        <f t="shared" si="10"/>
        <v>705.69892663596397</v>
      </c>
      <c r="AK90" s="11"/>
      <c r="AL90">
        <f t="shared" si="14"/>
        <v>129.31492552845526</v>
      </c>
      <c r="AQ90" s="318">
        <f t="shared" si="15"/>
        <v>134.39304257528556</v>
      </c>
      <c r="AR90" s="318">
        <f t="shared" si="16"/>
        <v>90.969832402234658</v>
      </c>
      <c r="AT90">
        <f t="shared" si="17"/>
        <v>4.3140166666666664</v>
      </c>
      <c r="AU90">
        <f t="shared" si="18"/>
        <v>3.2567200000000005</v>
      </c>
    </row>
    <row r="91" spans="3:47" x14ac:dyDescent="0.25">
      <c r="C91" s="312">
        <v>40664</v>
      </c>
      <c r="D91" s="73">
        <v>575.38099999999997</v>
      </c>
      <c r="E91">
        <v>581.149</v>
      </c>
      <c r="F91">
        <v>626.63</v>
      </c>
      <c r="G91">
        <v>632.03</v>
      </c>
      <c r="H91">
        <v>624.12800000000004</v>
      </c>
      <c r="J91">
        <v>6.7701000000000002</v>
      </c>
      <c r="K91" s="11">
        <v>123.49</v>
      </c>
      <c r="L91" s="313">
        <f t="shared" ref="L91:L110" si="19">K91*J91</f>
        <v>836.03964899999994</v>
      </c>
      <c r="M91" s="73">
        <f t="shared" si="4"/>
        <v>578.26499999999999</v>
      </c>
      <c r="N91" s="11">
        <f t="shared" ref="N91:N110" si="20">AVERAGE(G91:H91)</f>
        <v>628.07899999999995</v>
      </c>
      <c r="O91" s="73">
        <f t="shared" ref="O91:O110" si="21">$E$7*L91+$F$7</f>
        <v>596.00350919368407</v>
      </c>
      <c r="P91">
        <f t="shared" ref="P91:P110" si="22">$I$7*L91+$J$7</f>
        <v>633.62427670301315</v>
      </c>
      <c r="S91" s="73">
        <v>1009</v>
      </c>
      <c r="T91">
        <v>995</v>
      </c>
      <c r="U91">
        <v>1025</v>
      </c>
      <c r="V91">
        <v>964.45100000000002</v>
      </c>
      <c r="W91">
        <v>944.05100000000004</v>
      </c>
      <c r="X91">
        <v>699.51300000000003</v>
      </c>
      <c r="Y91" s="11">
        <v>735.41300000000001</v>
      </c>
      <c r="Z91" s="61">
        <f t="shared" si="11"/>
        <v>1009.6666666666666</v>
      </c>
      <c r="AA91" s="57">
        <f t="shared" si="5"/>
        <v>954.25099999999998</v>
      </c>
      <c r="AB91" s="57">
        <f t="shared" si="6"/>
        <v>717.46299999999997</v>
      </c>
      <c r="AC91" s="57"/>
      <c r="AD91" s="73">
        <f t="shared" si="12"/>
        <v>1048.6451986147963</v>
      </c>
      <c r="AE91">
        <f t="shared" si="7"/>
        <v>976.21974564228378</v>
      </c>
      <c r="AF91">
        <f t="shared" si="8"/>
        <v>725.71622754025145</v>
      </c>
      <c r="AH91" s="61">
        <f t="shared" si="13"/>
        <v>1024.6493789766114</v>
      </c>
      <c r="AI91" s="57">
        <f t="shared" si="9"/>
        <v>969.42932275518058</v>
      </c>
      <c r="AJ91" s="57">
        <f t="shared" si="10"/>
        <v>721.73315140610066</v>
      </c>
      <c r="AK91" s="11"/>
      <c r="AL91">
        <f t="shared" si="14"/>
        <v>135.94140634146339</v>
      </c>
      <c r="AQ91" s="318">
        <f t="shared" si="15"/>
        <v>134.39304257528556</v>
      </c>
      <c r="AR91" s="318">
        <f t="shared" si="16"/>
        <v>91.109497206703921</v>
      </c>
      <c r="AT91">
        <f t="shared" si="17"/>
        <v>4.3140166666666664</v>
      </c>
      <c r="AU91">
        <f t="shared" si="18"/>
        <v>3.2617200000000004</v>
      </c>
    </row>
    <row r="92" spans="3:47" x14ac:dyDescent="0.25">
      <c r="C92" s="312">
        <v>40695</v>
      </c>
      <c r="D92" s="73">
        <v>573.38099999999997</v>
      </c>
      <c r="E92">
        <v>579.149</v>
      </c>
      <c r="F92">
        <v>588.63</v>
      </c>
      <c r="G92">
        <v>595.03</v>
      </c>
      <c r="H92">
        <v>592.12800000000004</v>
      </c>
      <c r="J92">
        <v>6.8516000000000004</v>
      </c>
      <c r="K92" s="11">
        <v>116.15</v>
      </c>
      <c r="L92" s="313">
        <f t="shared" si="19"/>
        <v>795.81334000000004</v>
      </c>
      <c r="M92" s="73">
        <f t="shared" ref="M92:M110" si="23">AVERAGE(D92:E92)</f>
        <v>576.26499999999999</v>
      </c>
      <c r="N92" s="11">
        <f t="shared" si="20"/>
        <v>593.57899999999995</v>
      </c>
      <c r="O92" s="73">
        <f t="shared" si="21"/>
        <v>568.19461203312858</v>
      </c>
      <c r="P92">
        <f t="shared" si="22"/>
        <v>602.82021756335314</v>
      </c>
      <c r="S92" s="73">
        <v>1007</v>
      </c>
      <c r="T92">
        <v>993</v>
      </c>
      <c r="U92">
        <v>1023</v>
      </c>
      <c r="V92">
        <v>926.45100000000002</v>
      </c>
      <c r="W92">
        <v>906.05100000000004</v>
      </c>
      <c r="X92">
        <v>667.51300000000003</v>
      </c>
      <c r="Y92" s="11">
        <v>703.41300000000001</v>
      </c>
      <c r="Z92" s="61">
        <f t="shared" si="11"/>
        <v>1007.6666666666666</v>
      </c>
      <c r="AA92" s="57">
        <f t="shared" si="5"/>
        <v>916.25099999999998</v>
      </c>
      <c r="AB92" s="57">
        <f t="shared" si="6"/>
        <v>685.46299999999997</v>
      </c>
      <c r="AC92" s="57"/>
      <c r="AD92" s="73">
        <f t="shared" si="12"/>
        <v>1010.9564593984163</v>
      </c>
      <c r="AE92">
        <f t="shared" si="7"/>
        <v>937.59490087722975</v>
      </c>
      <c r="AF92">
        <f t="shared" si="8"/>
        <v>693.29484064589087</v>
      </c>
      <c r="AH92" s="61">
        <f t="shared" si="13"/>
        <v>1021.9362276731026</v>
      </c>
      <c r="AI92" s="57">
        <f t="shared" si="9"/>
        <v>926.06275745843675</v>
      </c>
      <c r="AJ92" s="57">
        <f t="shared" si="10"/>
        <v>687.52680522980904</v>
      </c>
      <c r="AK92" s="11"/>
      <c r="AL92">
        <f t="shared" si="14"/>
        <v>129.4005430894309</v>
      </c>
      <c r="AQ92" s="318">
        <f t="shared" si="15"/>
        <v>134.39304257528556</v>
      </c>
      <c r="AR92" s="318">
        <f t="shared" si="16"/>
        <v>90.131843575419012</v>
      </c>
      <c r="AT92">
        <f t="shared" si="17"/>
        <v>4.3140166666666664</v>
      </c>
      <c r="AU92">
        <f t="shared" si="18"/>
        <v>3.2267200000000003</v>
      </c>
    </row>
    <row r="93" spans="3:47" x14ac:dyDescent="0.25">
      <c r="C93" s="312">
        <v>40725</v>
      </c>
      <c r="D93" s="73">
        <v>540.38099999999997</v>
      </c>
      <c r="E93">
        <v>548.149</v>
      </c>
      <c r="F93">
        <v>577.63</v>
      </c>
      <c r="G93">
        <v>583.03</v>
      </c>
      <c r="H93">
        <v>580.12800000000004</v>
      </c>
      <c r="J93">
        <v>6.8353000000000002</v>
      </c>
      <c r="K93" s="11">
        <v>114.19</v>
      </c>
      <c r="L93" s="313">
        <f t="shared" si="19"/>
        <v>780.52290700000003</v>
      </c>
      <c r="M93" s="73">
        <f t="shared" si="23"/>
        <v>544.26499999999999</v>
      </c>
      <c r="N93" s="11">
        <f t="shared" si="20"/>
        <v>581.57899999999995</v>
      </c>
      <c r="O93" s="73">
        <f t="shared" si="21"/>
        <v>557.62416474607153</v>
      </c>
      <c r="P93">
        <f t="shared" si="22"/>
        <v>591.11127846076204</v>
      </c>
      <c r="S93" s="73">
        <v>974</v>
      </c>
      <c r="T93">
        <v>962</v>
      </c>
      <c r="U93">
        <v>992</v>
      </c>
      <c r="V93">
        <v>915.45100000000002</v>
      </c>
      <c r="W93">
        <v>895.05100000000004</v>
      </c>
      <c r="X93">
        <v>655.51300000000003</v>
      </c>
      <c r="Y93" s="11">
        <v>691.41300000000001</v>
      </c>
      <c r="Z93" s="61">
        <f t="shared" si="11"/>
        <v>976</v>
      </c>
      <c r="AA93" s="57">
        <f t="shared" si="5"/>
        <v>905.25099999999998</v>
      </c>
      <c r="AB93" s="57">
        <f t="shared" si="6"/>
        <v>673.46299999999997</v>
      </c>
      <c r="AC93" s="57"/>
      <c r="AD93" s="73">
        <f t="shared" si="12"/>
        <v>996.63058272296678</v>
      </c>
      <c r="AE93">
        <f t="shared" si="7"/>
        <v>922.91320087299971</v>
      </c>
      <c r="AF93">
        <f t="shared" si="8"/>
        <v>680.97113866082191</v>
      </c>
      <c r="AH93" s="61">
        <f t="shared" si="13"/>
        <v>978.52580681696122</v>
      </c>
      <c r="AI93" s="57">
        <f t="shared" si="9"/>
        <v>910.9787347465259</v>
      </c>
      <c r="AJ93" s="57">
        <f t="shared" si="10"/>
        <v>674.69942541369971</v>
      </c>
      <c r="AK93" s="11"/>
      <c r="AL93">
        <f t="shared" si="14"/>
        <v>126.91429382113822</v>
      </c>
      <c r="AQ93" s="318">
        <f t="shared" si="15"/>
        <v>134.49688473520249</v>
      </c>
      <c r="AR93" s="318">
        <f t="shared" si="16"/>
        <v>90.411173184357551</v>
      </c>
      <c r="AT93">
        <f t="shared" si="17"/>
        <v>4.3173500000000002</v>
      </c>
      <c r="AU93">
        <f t="shared" si="18"/>
        <v>3.23672</v>
      </c>
    </row>
    <row r="94" spans="3:47" x14ac:dyDescent="0.25">
      <c r="C94" s="312">
        <v>40756</v>
      </c>
      <c r="D94" s="73">
        <v>557.38099999999997</v>
      </c>
      <c r="E94">
        <v>565.149</v>
      </c>
      <c r="F94">
        <v>592.63</v>
      </c>
      <c r="G94">
        <v>598.03</v>
      </c>
      <c r="H94">
        <v>590.12800000000004</v>
      </c>
      <c r="J94">
        <v>6.8133999999999997</v>
      </c>
      <c r="K94" s="11">
        <v>116.88</v>
      </c>
      <c r="L94" s="313">
        <f t="shared" si="19"/>
        <v>796.35019199999988</v>
      </c>
      <c r="M94" s="73">
        <f t="shared" si="23"/>
        <v>561.26499999999999</v>
      </c>
      <c r="N94" s="11">
        <f t="shared" si="20"/>
        <v>594.07899999999995</v>
      </c>
      <c r="O94" s="73">
        <f t="shared" si="21"/>
        <v>568.56574382298368</v>
      </c>
      <c r="P94">
        <f t="shared" si="22"/>
        <v>603.23132216549891</v>
      </c>
      <c r="S94" s="73">
        <v>991</v>
      </c>
      <c r="T94">
        <v>979</v>
      </c>
      <c r="U94">
        <v>1009</v>
      </c>
      <c r="V94">
        <v>930.45100000000002</v>
      </c>
      <c r="W94">
        <v>910.05100000000004</v>
      </c>
      <c r="X94">
        <v>665.51300000000003</v>
      </c>
      <c r="Y94" s="11">
        <v>701.41300000000001</v>
      </c>
      <c r="Z94" s="61">
        <f t="shared" si="11"/>
        <v>993</v>
      </c>
      <c r="AA94" s="57">
        <f t="shared" si="5"/>
        <v>920.25099999999998</v>
      </c>
      <c r="AB94" s="57">
        <f t="shared" si="6"/>
        <v>683.46299999999997</v>
      </c>
      <c r="AC94" s="57"/>
      <c r="AD94" s="73">
        <f t="shared" si="12"/>
        <v>1011.4594455169237</v>
      </c>
      <c r="AE94">
        <f t="shared" si="7"/>
        <v>938.11038006677722</v>
      </c>
      <c r="AF94">
        <f t="shared" si="8"/>
        <v>693.72752976974277</v>
      </c>
      <c r="AH94" s="61">
        <f t="shared" si="13"/>
        <v>1001.5875928967864</v>
      </c>
      <c r="AI94" s="57">
        <f t="shared" si="9"/>
        <v>926.69125840476636</v>
      </c>
      <c r="AJ94" s="57">
        <f t="shared" si="10"/>
        <v>685.3889085937908</v>
      </c>
      <c r="AK94" s="11"/>
      <c r="AL94">
        <f t="shared" si="14"/>
        <v>129.48783609756094</v>
      </c>
      <c r="AQ94" s="318">
        <f t="shared" si="15"/>
        <v>134.49688473520249</v>
      </c>
      <c r="AR94" s="318">
        <f t="shared" si="16"/>
        <v>91.109497206703921</v>
      </c>
      <c r="AT94">
        <f t="shared" si="17"/>
        <v>4.3173500000000002</v>
      </c>
      <c r="AU94">
        <f t="shared" si="18"/>
        <v>3.2617200000000004</v>
      </c>
    </row>
    <row r="95" spans="3:47" x14ac:dyDescent="0.25">
      <c r="C95" s="312">
        <v>40787</v>
      </c>
      <c r="D95" s="73">
        <v>566.38099999999997</v>
      </c>
      <c r="E95">
        <v>574.149</v>
      </c>
      <c r="F95">
        <v>592.63</v>
      </c>
      <c r="G95">
        <v>598.03</v>
      </c>
      <c r="H95">
        <v>588.12800000000004</v>
      </c>
      <c r="J95">
        <v>7.0590000000000002</v>
      </c>
      <c r="K95" s="11">
        <v>110.67</v>
      </c>
      <c r="L95" s="313">
        <f t="shared" si="19"/>
        <v>781.21953000000008</v>
      </c>
      <c r="M95" s="73">
        <f t="shared" si="23"/>
        <v>570.26499999999999</v>
      </c>
      <c r="N95" s="11">
        <f t="shared" si="20"/>
        <v>593.07899999999995</v>
      </c>
      <c r="O95" s="73">
        <f t="shared" si="21"/>
        <v>558.10574801454095</v>
      </c>
      <c r="P95">
        <f t="shared" si="22"/>
        <v>591.64473073673514</v>
      </c>
      <c r="S95" s="319">
        <v>1000</v>
      </c>
      <c r="T95">
        <v>988</v>
      </c>
      <c r="U95">
        <v>1018</v>
      </c>
      <c r="V95">
        <v>930.45100000000002</v>
      </c>
      <c r="W95">
        <v>910.05100000000004</v>
      </c>
      <c r="X95">
        <v>663.51300000000003</v>
      </c>
      <c r="Y95" s="11">
        <v>699.41300000000001</v>
      </c>
      <c r="Z95" s="61">
        <f t="shared" si="11"/>
        <v>1002</v>
      </c>
      <c r="AA95" s="57">
        <f t="shared" si="5"/>
        <v>920.25099999999998</v>
      </c>
      <c r="AB95" s="57">
        <f t="shared" si="6"/>
        <v>681.46299999999997</v>
      </c>
      <c r="AC95" s="57"/>
      <c r="AD95" s="73">
        <f t="shared" si="12"/>
        <v>997.2832611126031</v>
      </c>
      <c r="AE95">
        <f t="shared" si="7"/>
        <v>923.58209036108997</v>
      </c>
      <c r="AF95">
        <f t="shared" si="8"/>
        <v>681.53259916674381</v>
      </c>
      <c r="AH95" s="61">
        <f t="shared" si="13"/>
        <v>1013.7967737625761</v>
      </c>
      <c r="AI95" s="57">
        <f t="shared" si="9"/>
        <v>925.43425651210714</v>
      </c>
      <c r="AJ95" s="57">
        <f t="shared" si="10"/>
        <v>683.25101195777268</v>
      </c>
      <c r="AK95" s="11"/>
      <c r="AL95">
        <f t="shared" si="14"/>
        <v>127.02756585365854</v>
      </c>
      <c r="AQ95" s="318">
        <f t="shared" si="15"/>
        <v>134.49688473520249</v>
      </c>
      <c r="AR95" s="318">
        <f t="shared" si="16"/>
        <v>91.388826815642474</v>
      </c>
      <c r="AT95">
        <f t="shared" si="17"/>
        <v>4.3173500000000002</v>
      </c>
      <c r="AU95">
        <f t="shared" si="18"/>
        <v>3.2717200000000002</v>
      </c>
    </row>
    <row r="96" spans="3:47" x14ac:dyDescent="0.25">
      <c r="C96" s="312">
        <v>40817</v>
      </c>
      <c r="D96" s="73">
        <v>599.38099999999997</v>
      </c>
      <c r="E96">
        <v>606.149</v>
      </c>
      <c r="F96">
        <v>627.63</v>
      </c>
      <c r="G96">
        <v>635.03</v>
      </c>
      <c r="H96">
        <v>618.12800000000004</v>
      </c>
      <c r="J96">
        <v>7.5656999999999996</v>
      </c>
      <c r="K96" s="11">
        <v>113.61</v>
      </c>
      <c r="L96" s="313">
        <f t="shared" si="19"/>
        <v>859.539177</v>
      </c>
      <c r="M96" s="73">
        <f t="shared" si="23"/>
        <v>602.76499999999999</v>
      </c>
      <c r="N96" s="11">
        <f t="shared" si="20"/>
        <v>626.57899999999995</v>
      </c>
      <c r="O96" s="73">
        <f t="shared" si="21"/>
        <v>612.24899563574365</v>
      </c>
      <c r="P96">
        <f t="shared" si="22"/>
        <v>651.61948601406618</v>
      </c>
      <c r="S96" s="73">
        <v>1037</v>
      </c>
      <c r="T96">
        <v>1024</v>
      </c>
      <c r="U96">
        <v>1054</v>
      </c>
      <c r="V96">
        <v>965.45100000000002</v>
      </c>
      <c r="W96">
        <v>945.05100000000004</v>
      </c>
      <c r="X96">
        <v>693.51300000000003</v>
      </c>
      <c r="Y96" s="11">
        <v>729.41300000000001</v>
      </c>
      <c r="Z96" s="61">
        <f t="shared" si="11"/>
        <v>1038.3333333333333</v>
      </c>
      <c r="AA96" s="57">
        <f t="shared" si="5"/>
        <v>955.25099999999998</v>
      </c>
      <c r="AB96" s="57">
        <f t="shared" si="6"/>
        <v>711.46299999999997</v>
      </c>
      <c r="AC96" s="57"/>
      <c r="AD96" s="73">
        <f t="shared" si="12"/>
        <v>1070.6623213515609</v>
      </c>
      <c r="AE96">
        <f t="shared" si="7"/>
        <v>998.78372537634391</v>
      </c>
      <c r="AF96">
        <f t="shared" si="8"/>
        <v>744.65625231664501</v>
      </c>
      <c r="AH96" s="61">
        <f t="shared" si="13"/>
        <v>1057.8854824445948</v>
      </c>
      <c r="AI96" s="57">
        <f t="shared" si="9"/>
        <v>967.54381991619175</v>
      </c>
      <c r="AJ96" s="57">
        <f t="shared" si="10"/>
        <v>715.31946149804605</v>
      </c>
      <c r="AK96" s="11"/>
      <c r="AL96">
        <f t="shared" si="14"/>
        <v>139.76246780487804</v>
      </c>
      <c r="AQ96" s="318">
        <f t="shared" si="15"/>
        <v>135.69106957424711</v>
      </c>
      <c r="AR96" s="318">
        <f t="shared" si="16"/>
        <v>91.80782122905029</v>
      </c>
      <c r="AT96">
        <f t="shared" si="17"/>
        <v>4.3556833333333325</v>
      </c>
      <c r="AU96">
        <f t="shared" si="18"/>
        <v>3.2867200000000003</v>
      </c>
    </row>
    <row r="97" spans="3:47" x14ac:dyDescent="0.25">
      <c r="C97" s="312">
        <v>40848</v>
      </c>
      <c r="D97" s="73">
        <v>622.38099999999997</v>
      </c>
      <c r="E97">
        <v>629.149</v>
      </c>
      <c r="F97">
        <v>663.63</v>
      </c>
      <c r="G97">
        <v>671.03</v>
      </c>
      <c r="H97">
        <v>659.12800000000004</v>
      </c>
      <c r="J97">
        <v>8.0012000000000008</v>
      </c>
      <c r="K97" s="11">
        <v>109.28</v>
      </c>
      <c r="L97" s="313">
        <f t="shared" si="19"/>
        <v>874.37113600000009</v>
      </c>
      <c r="M97" s="73">
        <f t="shared" si="23"/>
        <v>625.76499999999999</v>
      </c>
      <c r="N97" s="11">
        <f t="shared" si="20"/>
        <v>665.07899999999995</v>
      </c>
      <c r="O97" s="73">
        <f t="shared" si="21"/>
        <v>622.50249472064797</v>
      </c>
      <c r="P97">
        <f t="shared" si="22"/>
        <v>662.97733995470537</v>
      </c>
      <c r="S97" s="73">
        <v>1060</v>
      </c>
      <c r="T97">
        <v>1047</v>
      </c>
      <c r="U97">
        <v>1077</v>
      </c>
      <c r="V97">
        <v>1001.451</v>
      </c>
      <c r="W97">
        <v>981.05100000000004</v>
      </c>
      <c r="X97">
        <v>734.53099999999995</v>
      </c>
      <c r="Y97" s="11">
        <v>770.41300000000001</v>
      </c>
      <c r="Z97" s="61">
        <f t="shared" si="11"/>
        <v>1061.3333333333333</v>
      </c>
      <c r="AA97" s="57">
        <f t="shared" si="5"/>
        <v>991.25099999999998</v>
      </c>
      <c r="AB97" s="57">
        <f t="shared" si="6"/>
        <v>752.47199999999998</v>
      </c>
      <c r="AC97" s="57"/>
      <c r="AD97" s="73">
        <f t="shared" si="12"/>
        <v>1084.5586456406982</v>
      </c>
      <c r="AE97">
        <f t="shared" si="7"/>
        <v>1013.0252038559292</v>
      </c>
      <c r="AF97">
        <f t="shared" si="8"/>
        <v>756.61043586205301</v>
      </c>
      <c r="AH97" s="61">
        <f t="shared" si="13"/>
        <v>1089.0867224349463</v>
      </c>
      <c r="AI97" s="57">
        <f t="shared" si="9"/>
        <v>1015.9383927835725</v>
      </c>
      <c r="AJ97" s="57">
        <f t="shared" si="10"/>
        <v>759.14634253641964</v>
      </c>
      <c r="AK97" s="11"/>
      <c r="AL97">
        <f t="shared" si="14"/>
        <v>142.17416845528456</v>
      </c>
      <c r="AQ97" s="318">
        <f t="shared" si="15"/>
        <v>135.69106957424711</v>
      </c>
      <c r="AR97" s="318">
        <f t="shared" si="16"/>
        <v>91.109497206703921</v>
      </c>
      <c r="AT97">
        <f t="shared" si="17"/>
        <v>4.3556833333333325</v>
      </c>
      <c r="AU97">
        <f t="shared" si="18"/>
        <v>3.2617200000000004</v>
      </c>
    </row>
    <row r="98" spans="3:47" x14ac:dyDescent="0.25">
      <c r="C98" s="312">
        <v>40878</v>
      </c>
      <c r="D98" s="73">
        <v>596.54999999999995</v>
      </c>
      <c r="E98">
        <v>603.54999999999995</v>
      </c>
      <c r="F98">
        <v>702.63</v>
      </c>
      <c r="G98">
        <v>707.03</v>
      </c>
      <c r="H98">
        <v>694.12800000000004</v>
      </c>
      <c r="J98">
        <v>8.1397999999999993</v>
      </c>
      <c r="K98" s="11">
        <v>110.51</v>
      </c>
      <c r="L98" s="313">
        <f t="shared" si="19"/>
        <v>899.52929799999993</v>
      </c>
      <c r="M98" s="73">
        <f t="shared" si="23"/>
        <v>600.04999999999995</v>
      </c>
      <c r="N98" s="11">
        <f t="shared" si="20"/>
        <v>700.57899999999995</v>
      </c>
      <c r="O98" s="73">
        <f t="shared" si="21"/>
        <v>639.89461339120749</v>
      </c>
      <c r="P98">
        <f t="shared" si="22"/>
        <v>682.24267971265192</v>
      </c>
      <c r="S98" s="73">
        <v>1049</v>
      </c>
      <c r="T98">
        <v>1036</v>
      </c>
      <c r="U98">
        <v>1066</v>
      </c>
      <c r="V98">
        <v>1048.69</v>
      </c>
      <c r="W98">
        <v>1028.29</v>
      </c>
      <c r="X98">
        <v>777.52800000000002</v>
      </c>
      <c r="Y98" s="11">
        <v>813.428</v>
      </c>
      <c r="Z98" s="61">
        <f t="shared" si="11"/>
        <v>1050.3333333333333</v>
      </c>
      <c r="AA98" s="57">
        <f t="shared" si="5"/>
        <v>1038.49</v>
      </c>
      <c r="AB98" s="57">
        <f t="shared" si="6"/>
        <v>795.47800000000007</v>
      </c>
      <c r="AC98" s="57">
        <v>2121</v>
      </c>
      <c r="AD98" s="73">
        <f t="shared" si="12"/>
        <v>1108.129771860144</v>
      </c>
      <c r="AE98">
        <f t="shared" si="7"/>
        <v>1037.1817851078677</v>
      </c>
      <c r="AF98">
        <f t="shared" si="8"/>
        <v>776.88727766111037</v>
      </c>
      <c r="AH98" s="61">
        <f t="shared" si="13"/>
        <v>1054.2023795500813</v>
      </c>
      <c r="AI98" s="57">
        <f t="shared" si="9"/>
        <v>1060.5619599729755</v>
      </c>
      <c r="AJ98" s="57">
        <f t="shared" si="10"/>
        <v>796.55953366673862</v>
      </c>
      <c r="AK98" s="11"/>
      <c r="AL98">
        <f t="shared" si="14"/>
        <v>146.26492650406502</v>
      </c>
      <c r="AQ98" s="318">
        <f t="shared" si="15"/>
        <v>140.27518172377984</v>
      </c>
      <c r="AR98" s="318">
        <f t="shared" si="16"/>
        <v>94.388547486033545</v>
      </c>
      <c r="AT98">
        <f t="shared" si="17"/>
        <v>4.5028333333333332</v>
      </c>
      <c r="AU98">
        <f t="shared" si="18"/>
        <v>3.3791100000000007</v>
      </c>
    </row>
    <row r="99" spans="3:47" x14ac:dyDescent="0.25">
      <c r="C99" s="312">
        <v>40909</v>
      </c>
      <c r="D99" s="73">
        <v>590.54999999999995</v>
      </c>
      <c r="E99">
        <v>598.54999999999995</v>
      </c>
      <c r="F99">
        <v>681.63</v>
      </c>
      <c r="G99">
        <v>687.03</v>
      </c>
      <c r="H99">
        <v>669.12800000000004</v>
      </c>
      <c r="J99">
        <v>8.2121999999999993</v>
      </c>
      <c r="K99" s="11">
        <v>107.96</v>
      </c>
      <c r="L99" s="313">
        <f t="shared" si="19"/>
        <v>886.58911199999989</v>
      </c>
      <c r="M99" s="73">
        <f t="shared" si="23"/>
        <v>594.54999999999995</v>
      </c>
      <c r="N99" s="11">
        <f t="shared" si="20"/>
        <v>678.07899999999995</v>
      </c>
      <c r="O99" s="73">
        <f t="shared" si="21"/>
        <v>630.94891813210575</v>
      </c>
      <c r="P99">
        <f t="shared" si="22"/>
        <v>672.33348683039662</v>
      </c>
      <c r="S99" s="73">
        <v>1043</v>
      </c>
      <c r="T99">
        <v>1031</v>
      </c>
      <c r="U99">
        <v>1061</v>
      </c>
      <c r="V99">
        <v>1027.69</v>
      </c>
      <c r="W99">
        <v>1007.29</v>
      </c>
      <c r="X99">
        <v>752.52800000000002</v>
      </c>
      <c r="Y99" s="11">
        <v>788.428</v>
      </c>
      <c r="Z99" s="61">
        <f>AVERAGE(S99:U99)</f>
        <v>1045</v>
      </c>
      <c r="AA99" s="57">
        <f>AVERAGE(V99:W99)</f>
        <v>1017.49</v>
      </c>
      <c r="AB99" s="57">
        <f>AVERAGE(X99:Y99)</f>
        <v>770.47800000000007</v>
      </c>
      <c r="AC99" s="57"/>
      <c r="AD99" s="73">
        <f t="shared" si="12"/>
        <v>1096.0058830995458</v>
      </c>
      <c r="AE99">
        <f t="shared" si="7"/>
        <v>1024.7567655645403</v>
      </c>
      <c r="AF99">
        <f t="shared" si="8"/>
        <v>766.45781527143424</v>
      </c>
      <c r="AH99" s="61">
        <f t="shared" si="13"/>
        <v>1046.7412134654323</v>
      </c>
      <c r="AI99" s="57">
        <f t="shared" si="9"/>
        <v>1032.2794173881425</v>
      </c>
      <c r="AJ99" s="57">
        <f t="shared" si="10"/>
        <v>769.83582571651073</v>
      </c>
      <c r="AK99" s="11"/>
      <c r="AL99">
        <f t="shared" si="14"/>
        <v>144.16083121951218</v>
      </c>
      <c r="AQ99" s="318">
        <f t="shared" si="15"/>
        <v>140.32710280373831</v>
      </c>
      <c r="AR99" s="318">
        <f t="shared" si="16"/>
        <v>94.807541899441361</v>
      </c>
      <c r="AT99">
        <f t="shared" si="17"/>
        <v>4.5045000000000002</v>
      </c>
      <c r="AU99">
        <f t="shared" si="18"/>
        <v>3.3941100000000004</v>
      </c>
    </row>
    <row r="100" spans="3:47" x14ac:dyDescent="0.25">
      <c r="C100" s="312">
        <v>40940</v>
      </c>
      <c r="D100" s="73">
        <v>624.54999999999995</v>
      </c>
      <c r="E100">
        <v>632.54999999999995</v>
      </c>
      <c r="F100">
        <v>680.63</v>
      </c>
      <c r="G100">
        <v>685.03</v>
      </c>
      <c r="H100">
        <v>666.12800000000004</v>
      </c>
      <c r="J100">
        <v>8.0840999999999994</v>
      </c>
      <c r="K100" s="11">
        <v>110.42</v>
      </c>
      <c r="L100" s="313">
        <f t="shared" si="19"/>
        <v>892.64632199999994</v>
      </c>
      <c r="M100" s="73">
        <f t="shared" si="23"/>
        <v>628.54999999999995</v>
      </c>
      <c r="N100" s="11">
        <f t="shared" si="20"/>
        <v>675.57899999999995</v>
      </c>
      <c r="O100" s="73">
        <f t="shared" si="21"/>
        <v>635.13633512753256</v>
      </c>
      <c r="P100">
        <f t="shared" si="22"/>
        <v>676.97191028260409</v>
      </c>
      <c r="S100" s="73">
        <v>1077</v>
      </c>
      <c r="T100">
        <v>1065</v>
      </c>
      <c r="U100">
        <v>1095</v>
      </c>
      <c r="V100">
        <v>1026.69</v>
      </c>
      <c r="W100">
        <v>1006.29</v>
      </c>
      <c r="X100">
        <v>749.52800000000002</v>
      </c>
      <c r="Y100" s="11">
        <v>785.428</v>
      </c>
      <c r="Z100" s="73">
        <f t="shared" ref="Z100:Z110" si="24">AVERAGE(S100:U100)</f>
        <v>1079</v>
      </c>
      <c r="AA100">
        <f t="shared" ref="AA100:AA110" si="25">AVERAGE(V100:W100)</f>
        <v>1016.49</v>
      </c>
      <c r="AB100">
        <f t="shared" ref="AB100:AB110" si="26">AVERAGE(X100:Y100)</f>
        <v>767.47800000000007</v>
      </c>
      <c r="AD100" s="73">
        <f t="shared" si="12"/>
        <v>1101.6809901064762</v>
      </c>
      <c r="AE100">
        <f t="shared" si="7"/>
        <v>1030.5728297716573</v>
      </c>
      <c r="AF100">
        <f t="shared" si="8"/>
        <v>771.33977321866701</v>
      </c>
      <c r="AH100" s="61">
        <f t="shared" si="13"/>
        <v>1092.8647856250823</v>
      </c>
      <c r="AI100" s="57">
        <f t="shared" si="9"/>
        <v>1029.1369126564946</v>
      </c>
      <c r="AJ100" s="57">
        <f t="shared" si="10"/>
        <v>766.62898076248348</v>
      </c>
      <c r="AK100" s="11"/>
      <c r="AL100">
        <f t="shared" si="14"/>
        <v>145.14574341463413</v>
      </c>
      <c r="AQ100" s="318">
        <f t="shared" si="15"/>
        <v>140.32710280373831</v>
      </c>
      <c r="AR100" s="318">
        <f t="shared" si="16"/>
        <v>95.226536312849177</v>
      </c>
      <c r="AT100">
        <f t="shared" si="17"/>
        <v>4.5045000000000002</v>
      </c>
      <c r="AU100">
        <f t="shared" si="18"/>
        <v>3.4091100000000001</v>
      </c>
    </row>
    <row r="101" spans="3:47" x14ac:dyDescent="0.25">
      <c r="C101" s="312">
        <v>40969</v>
      </c>
      <c r="D101" s="73">
        <v>648.16999999999996</v>
      </c>
      <c r="E101">
        <v>656.17</v>
      </c>
      <c r="F101">
        <v>686.63</v>
      </c>
      <c r="G101">
        <v>690.03</v>
      </c>
      <c r="H101">
        <v>670.12800000000004</v>
      </c>
      <c r="I101">
        <v>1507.415</v>
      </c>
      <c r="J101">
        <v>7.6790000000000003</v>
      </c>
      <c r="K101" s="11">
        <v>126.39</v>
      </c>
      <c r="L101" s="313">
        <f t="shared" si="19"/>
        <v>970.54881</v>
      </c>
      <c r="M101" s="73">
        <f t="shared" si="23"/>
        <v>652.16999999999996</v>
      </c>
      <c r="N101" s="11">
        <f t="shared" si="20"/>
        <v>680.07899999999995</v>
      </c>
      <c r="O101" s="73">
        <f t="shared" si="21"/>
        <v>688.99119606800366</v>
      </c>
      <c r="P101">
        <f t="shared" si="22"/>
        <v>736.62721814290671</v>
      </c>
      <c r="S101" s="73">
        <v>1105</v>
      </c>
      <c r="T101">
        <v>1093</v>
      </c>
      <c r="U101">
        <v>1123</v>
      </c>
      <c r="V101">
        <v>1037.07</v>
      </c>
      <c r="W101">
        <v>1016.67</v>
      </c>
      <c r="X101">
        <v>753.52800000000002</v>
      </c>
      <c r="Y101" s="11">
        <v>789.428</v>
      </c>
      <c r="Z101" s="73">
        <f t="shared" si="24"/>
        <v>1107</v>
      </c>
      <c r="AA101">
        <f t="shared" si="25"/>
        <v>1026.8699999999999</v>
      </c>
      <c r="AB101">
        <f t="shared" si="26"/>
        <v>771.47800000000007</v>
      </c>
      <c r="AC101">
        <v>2207</v>
      </c>
      <c r="AD101" s="73">
        <f t="shared" si="12"/>
        <v>1174.6692067121598</v>
      </c>
      <c r="AE101">
        <f t="shared" si="7"/>
        <v>1105.3739134557579</v>
      </c>
      <c r="AF101">
        <f t="shared" si="8"/>
        <v>834.12720677319192</v>
      </c>
      <c r="AH101" s="61">
        <f t="shared" si="13"/>
        <v>1124.9071025195217</v>
      </c>
      <c r="AI101" s="57">
        <f t="shared" si="9"/>
        <v>1034.793421173461</v>
      </c>
      <c r="AJ101" s="57">
        <f t="shared" si="10"/>
        <v>770.90477403451985</v>
      </c>
      <c r="AK101" s="11"/>
      <c r="AL101">
        <f t="shared" si="14"/>
        <v>157.81281463414632</v>
      </c>
      <c r="AQ101" s="318">
        <f t="shared" si="15"/>
        <v>141.69158878504672</v>
      </c>
      <c r="AR101" s="318">
        <f t="shared" si="16"/>
        <v>96.868994413407819</v>
      </c>
      <c r="AT101">
        <f t="shared" si="17"/>
        <v>4.5483000000000002</v>
      </c>
      <c r="AU101">
        <f t="shared" si="18"/>
        <v>3.4679099999999998</v>
      </c>
    </row>
    <row r="102" spans="3:47" x14ac:dyDescent="0.25">
      <c r="C102" s="312">
        <v>41000</v>
      </c>
      <c r="D102" s="73">
        <v>687.57</v>
      </c>
      <c r="E102">
        <v>694.57</v>
      </c>
      <c r="F102">
        <v>706.63</v>
      </c>
      <c r="G102">
        <v>712.03</v>
      </c>
      <c r="H102">
        <v>691.12800000000004</v>
      </c>
      <c r="I102">
        <v>1559.3980000000001</v>
      </c>
      <c r="J102">
        <v>7.6193</v>
      </c>
      <c r="K102" s="11">
        <v>125.42</v>
      </c>
      <c r="L102" s="313">
        <f t="shared" si="19"/>
        <v>955.61260600000003</v>
      </c>
      <c r="M102" s="73">
        <f t="shared" si="23"/>
        <v>691.07</v>
      </c>
      <c r="N102" s="11">
        <f t="shared" si="20"/>
        <v>701.57899999999995</v>
      </c>
      <c r="O102" s="73">
        <f t="shared" si="21"/>
        <v>678.66563124909169</v>
      </c>
      <c r="P102">
        <f t="shared" si="22"/>
        <v>725.18953661617184</v>
      </c>
      <c r="S102" s="73">
        <v>1177</v>
      </c>
      <c r="T102">
        <v>1164</v>
      </c>
      <c r="U102">
        <v>1194</v>
      </c>
      <c r="V102">
        <v>1088.97</v>
      </c>
      <c r="W102">
        <v>1064.27</v>
      </c>
      <c r="X102">
        <v>774.12800000000004</v>
      </c>
      <c r="Y102" s="11">
        <v>816.02800000000002</v>
      </c>
      <c r="Z102" s="73">
        <f t="shared" si="24"/>
        <v>1178.3333333333333</v>
      </c>
      <c r="AA102">
        <f t="shared" si="25"/>
        <v>1076.6199999999999</v>
      </c>
      <c r="AB102">
        <f t="shared" si="26"/>
        <v>795.07799999999997</v>
      </c>
      <c r="AC102">
        <v>2275</v>
      </c>
      <c r="AD102" s="73">
        <f t="shared" si="12"/>
        <v>1160.6752134417693</v>
      </c>
      <c r="AE102">
        <f t="shared" si="7"/>
        <v>1091.0323401118258</v>
      </c>
      <c r="AF102">
        <f t="shared" si="8"/>
        <v>822.08900439630725</v>
      </c>
      <c r="AH102" s="61">
        <f t="shared" si="13"/>
        <v>1177.6778953727689</v>
      </c>
      <c r="AI102" s="57">
        <f t="shared" si="9"/>
        <v>1061.8189618656347</v>
      </c>
      <c r="AJ102" s="57">
        <f t="shared" si="10"/>
        <v>793.35268871271126</v>
      </c>
      <c r="AK102" s="11"/>
      <c r="AL102">
        <f t="shared" si="14"/>
        <v>155.38416357723577</v>
      </c>
      <c r="AQ102" s="318">
        <f t="shared" si="15"/>
        <v>151.79543094496361</v>
      </c>
      <c r="AR102" s="318">
        <f t="shared" si="16"/>
        <v>104.76005586592179</v>
      </c>
      <c r="AT102">
        <f t="shared" si="17"/>
        <v>4.872633333333332</v>
      </c>
      <c r="AU102">
        <f t="shared" si="18"/>
        <v>3.7504099999999996</v>
      </c>
    </row>
    <row r="103" spans="3:47" x14ac:dyDescent="0.25">
      <c r="C103" s="312">
        <v>41030</v>
      </c>
      <c r="D103" s="73">
        <v>711.17</v>
      </c>
      <c r="E103">
        <v>718.17</v>
      </c>
      <c r="F103">
        <v>711.63</v>
      </c>
      <c r="G103">
        <v>716.03</v>
      </c>
      <c r="H103">
        <v>700.12800000000004</v>
      </c>
      <c r="I103">
        <v>1583.268</v>
      </c>
      <c r="J103">
        <v>7.8536000000000001</v>
      </c>
      <c r="K103" s="11">
        <v>120.18</v>
      </c>
      <c r="L103" s="313">
        <f t="shared" si="19"/>
        <v>943.8456480000001</v>
      </c>
      <c r="M103" s="73">
        <f t="shared" si="23"/>
        <v>714.67</v>
      </c>
      <c r="N103" s="11">
        <f t="shared" si="20"/>
        <v>708.07899999999995</v>
      </c>
      <c r="O103" s="73">
        <f t="shared" si="21"/>
        <v>670.53100162362512</v>
      </c>
      <c r="P103">
        <f t="shared" si="22"/>
        <v>716.17876532900516</v>
      </c>
      <c r="S103" s="73">
        <v>1205</v>
      </c>
      <c r="T103">
        <v>1187</v>
      </c>
      <c r="U103">
        <v>1222</v>
      </c>
      <c r="V103">
        <v>1098.3699999999999</v>
      </c>
      <c r="W103">
        <v>1073.67</v>
      </c>
      <c r="X103">
        <v>783.12800000000004</v>
      </c>
      <c r="Y103" s="11">
        <v>825.02800000000002</v>
      </c>
      <c r="Z103" s="73">
        <f t="shared" si="24"/>
        <v>1204.6666666666667</v>
      </c>
      <c r="AA103">
        <f t="shared" si="25"/>
        <v>1086.02</v>
      </c>
      <c r="AB103">
        <f t="shared" si="26"/>
        <v>804.07799999999997</v>
      </c>
      <c r="AC103">
        <v>2306</v>
      </c>
      <c r="AD103" s="73">
        <f t="shared" si="12"/>
        <v>1149.6505427111765</v>
      </c>
      <c r="AE103">
        <f t="shared" si="7"/>
        <v>1079.7338407613904</v>
      </c>
      <c r="AF103">
        <f t="shared" si="8"/>
        <v>812.60513407930432</v>
      </c>
      <c r="AH103" s="61">
        <f t="shared" si="13"/>
        <v>1209.693080754173</v>
      </c>
      <c r="AI103" s="57">
        <f t="shared" si="9"/>
        <v>1069.98947416792</v>
      </c>
      <c r="AJ103" s="57">
        <f t="shared" si="10"/>
        <v>802.97322357479322</v>
      </c>
      <c r="AK103" s="11"/>
      <c r="AL103">
        <f t="shared" si="14"/>
        <v>153.47083707317074</v>
      </c>
      <c r="AQ103" s="318">
        <f t="shared" si="15"/>
        <v>152.64693665628249</v>
      </c>
      <c r="AR103" s="318">
        <f t="shared" si="16"/>
        <v>105.57011173184358</v>
      </c>
      <c r="AT103">
        <f t="shared" si="17"/>
        <v>4.8999666666666677</v>
      </c>
      <c r="AU103">
        <f t="shared" si="18"/>
        <v>3.7794099999999999</v>
      </c>
    </row>
    <row r="104" spans="3:47" x14ac:dyDescent="0.25">
      <c r="C104" s="312">
        <v>41061</v>
      </c>
      <c r="D104" s="73">
        <v>653.99</v>
      </c>
      <c r="E104">
        <v>660.99</v>
      </c>
      <c r="F104">
        <v>684.63</v>
      </c>
      <c r="G104">
        <v>689.03</v>
      </c>
      <c r="H104">
        <v>679.12800000000004</v>
      </c>
      <c r="I104">
        <v>1507.4009999999998</v>
      </c>
      <c r="J104">
        <v>8.1030999999999995</v>
      </c>
      <c r="K104" s="11">
        <v>110.27</v>
      </c>
      <c r="L104" s="313">
        <f t="shared" si="19"/>
        <v>893.52883699999995</v>
      </c>
      <c r="M104" s="73">
        <f t="shared" si="23"/>
        <v>657.49</v>
      </c>
      <c r="N104" s="11">
        <f t="shared" si="20"/>
        <v>684.07899999999995</v>
      </c>
      <c r="O104" s="73">
        <f t="shared" si="21"/>
        <v>635.74642761396092</v>
      </c>
      <c r="P104">
        <f t="shared" si="22"/>
        <v>677.64771288362408</v>
      </c>
      <c r="S104" s="73">
        <v>1150</v>
      </c>
      <c r="T104">
        <v>1132</v>
      </c>
      <c r="U104">
        <v>1167</v>
      </c>
      <c r="V104">
        <v>1073.55</v>
      </c>
      <c r="W104">
        <v>1048.8499999999999</v>
      </c>
      <c r="X104">
        <v>762.12800000000004</v>
      </c>
      <c r="Y104" s="11">
        <v>804.02800000000002</v>
      </c>
      <c r="Z104" s="73">
        <f t="shared" si="24"/>
        <v>1149.6666666666667</v>
      </c>
      <c r="AA104">
        <f t="shared" si="25"/>
        <v>1061.1999999999998</v>
      </c>
      <c r="AB104">
        <f t="shared" si="26"/>
        <v>783.07799999999997</v>
      </c>
      <c r="AC104">
        <v>2207</v>
      </c>
      <c r="AD104" s="73">
        <f t="shared" si="12"/>
        <v>1102.5078339933848</v>
      </c>
      <c r="AE104">
        <f t="shared" si="7"/>
        <v>1031.4202106456478</v>
      </c>
      <c r="AF104">
        <f t="shared" si="8"/>
        <v>772.05105797151566</v>
      </c>
      <c r="AH104" s="61">
        <f t="shared" si="13"/>
        <v>1132.1240849868555</v>
      </c>
      <c r="AI104" s="57">
        <f t="shared" si="9"/>
        <v>1039.8214287440981</v>
      </c>
      <c r="AJ104" s="57">
        <f t="shared" si="10"/>
        <v>780.52530889660193</v>
      </c>
      <c r="AK104" s="11"/>
      <c r="AL104">
        <f t="shared" si="14"/>
        <v>145.28924178861786</v>
      </c>
      <c r="AQ104" s="318">
        <f t="shared" si="15"/>
        <v>153.32606438213918</v>
      </c>
      <c r="AR104" s="318">
        <f t="shared" si="16"/>
        <v>105.34106145251394</v>
      </c>
      <c r="AT104">
        <f t="shared" si="17"/>
        <v>4.9217666666666684</v>
      </c>
      <c r="AU104">
        <f t="shared" si="18"/>
        <v>3.7712099999999986</v>
      </c>
    </row>
    <row r="105" spans="3:47" x14ac:dyDescent="0.25">
      <c r="C105" s="312">
        <v>41091</v>
      </c>
      <c r="D105" s="73">
        <v>571.57000000000005</v>
      </c>
      <c r="E105">
        <v>582.57000000000005</v>
      </c>
      <c r="F105">
        <v>628.63</v>
      </c>
      <c r="G105">
        <v>634.03</v>
      </c>
      <c r="H105">
        <v>621.12800000000004</v>
      </c>
      <c r="I105">
        <v>1421.42</v>
      </c>
      <c r="J105">
        <v>8.4189000000000007</v>
      </c>
      <c r="K105" s="11">
        <v>95.22</v>
      </c>
      <c r="L105" s="313">
        <f t="shared" si="19"/>
        <v>801.64765800000009</v>
      </c>
      <c r="M105" s="73">
        <f t="shared" si="23"/>
        <v>577.07000000000005</v>
      </c>
      <c r="N105" s="11">
        <f t="shared" si="20"/>
        <v>627.57899999999995</v>
      </c>
      <c r="O105" s="73">
        <f t="shared" si="21"/>
        <v>572.22794129691908</v>
      </c>
      <c r="P105">
        <f t="shared" si="22"/>
        <v>607.28795723868814</v>
      </c>
      <c r="S105" s="73">
        <v>1061</v>
      </c>
      <c r="T105">
        <v>1047</v>
      </c>
      <c r="U105">
        <v>1082</v>
      </c>
      <c r="V105">
        <v>1010.97</v>
      </c>
      <c r="W105">
        <v>986.27</v>
      </c>
      <c r="X105">
        <v>704.12800000000004</v>
      </c>
      <c r="Y105" s="11">
        <v>746.02800000000002</v>
      </c>
      <c r="Z105" s="73">
        <f t="shared" si="24"/>
        <v>1063.3333333333333</v>
      </c>
      <c r="AA105">
        <f t="shared" si="25"/>
        <v>998.62</v>
      </c>
      <c r="AB105">
        <f t="shared" si="26"/>
        <v>725.07799999999997</v>
      </c>
      <c r="AC105">
        <v>2094</v>
      </c>
      <c r="AD105" s="73">
        <f t="shared" si="12"/>
        <v>1016.4227349547303</v>
      </c>
      <c r="AE105">
        <f t="shared" si="7"/>
        <v>943.19694671891921</v>
      </c>
      <c r="AF105">
        <f t="shared" si="8"/>
        <v>697.99715328269622</v>
      </c>
      <c r="AH105" s="61">
        <f t="shared" si="13"/>
        <v>1023.0282710727651</v>
      </c>
      <c r="AI105" s="57">
        <f t="shared" si="9"/>
        <v>968.80082180885097</v>
      </c>
      <c r="AJ105" s="57">
        <f t="shared" si="10"/>
        <v>718.5263064520733</v>
      </c>
      <c r="AK105" s="11"/>
      <c r="AL105">
        <f t="shared" si="14"/>
        <v>130.34921268292683</v>
      </c>
      <c r="AQ105" s="318">
        <f t="shared" si="15"/>
        <v>151.48390446521285</v>
      </c>
      <c r="AR105" s="318">
        <f t="shared" si="16"/>
        <v>103.64273743016761</v>
      </c>
      <c r="AT105">
        <f t="shared" si="17"/>
        <v>4.8626333333333323</v>
      </c>
      <c r="AU105">
        <f t="shared" si="18"/>
        <v>3.7104100000000004</v>
      </c>
    </row>
    <row r="106" spans="3:47" x14ac:dyDescent="0.25">
      <c r="C106" s="312">
        <v>41122</v>
      </c>
      <c r="D106" s="73">
        <v>597.95000000000005</v>
      </c>
      <c r="E106">
        <v>608.95000000000005</v>
      </c>
      <c r="F106">
        <v>647.63</v>
      </c>
      <c r="G106">
        <v>654.03</v>
      </c>
      <c r="H106">
        <v>636.12800000000004</v>
      </c>
      <c r="I106">
        <v>1461.1410000000001</v>
      </c>
      <c r="J106">
        <v>8.2657000000000007</v>
      </c>
      <c r="K106" s="11">
        <v>102.04</v>
      </c>
      <c r="L106" s="313">
        <f t="shared" si="19"/>
        <v>843.43202800000017</v>
      </c>
      <c r="M106" s="73">
        <f t="shared" si="23"/>
        <v>603.45000000000005</v>
      </c>
      <c r="N106" s="11">
        <f t="shared" si="20"/>
        <v>645.07899999999995</v>
      </c>
      <c r="O106" s="73">
        <f t="shared" si="21"/>
        <v>601.11394344662187</v>
      </c>
      <c r="P106">
        <f t="shared" si="22"/>
        <v>639.28513114279747</v>
      </c>
      <c r="S106" s="73">
        <v>1083</v>
      </c>
      <c r="T106">
        <v>1069</v>
      </c>
      <c r="U106">
        <v>1104</v>
      </c>
      <c r="V106">
        <v>1025.5899999999999</v>
      </c>
      <c r="W106">
        <v>1000.89</v>
      </c>
      <c r="X106">
        <v>719.12800000000004</v>
      </c>
      <c r="Y106" s="11">
        <v>761.02800000000002</v>
      </c>
      <c r="Z106" s="73">
        <f t="shared" si="24"/>
        <v>1085.3333333333333</v>
      </c>
      <c r="AA106">
        <f t="shared" si="25"/>
        <v>1013.24</v>
      </c>
      <c r="AB106">
        <f t="shared" si="26"/>
        <v>740.07799999999997</v>
      </c>
      <c r="AC106">
        <v>2146</v>
      </c>
      <c r="AD106" s="73">
        <f t="shared" si="12"/>
        <v>1055.5712490341784</v>
      </c>
      <c r="AE106">
        <f t="shared" si="7"/>
        <v>983.31782395017558</v>
      </c>
      <c r="AF106">
        <f t="shared" si="8"/>
        <v>731.67429790730284</v>
      </c>
      <c r="AH106" s="61">
        <f t="shared" si="13"/>
        <v>1058.8147367660467</v>
      </c>
      <c r="AI106" s="57">
        <f t="shared" si="9"/>
        <v>990.79835493038775</v>
      </c>
      <c r="AJ106" s="57">
        <f t="shared" si="10"/>
        <v>734.56053122220999</v>
      </c>
      <c r="AK106" s="11"/>
      <c r="AL106">
        <f t="shared" si="14"/>
        <v>137.14341918699188</v>
      </c>
      <c r="AQ106" s="318">
        <f t="shared" si="15"/>
        <v>150.11941848390444</v>
      </c>
      <c r="AR106" s="318">
        <f t="shared" si="16"/>
        <v>102.83826815642459</v>
      </c>
      <c r="AT106">
        <f t="shared" si="17"/>
        <v>4.8188333333333331</v>
      </c>
      <c r="AU106">
        <f t="shared" si="18"/>
        <v>3.68161</v>
      </c>
    </row>
    <row r="107" spans="3:47" x14ac:dyDescent="0.25">
      <c r="C107" s="312">
        <v>41153</v>
      </c>
      <c r="D107" s="73">
        <v>687.45</v>
      </c>
      <c r="E107">
        <v>698.45</v>
      </c>
      <c r="F107">
        <v>716.63</v>
      </c>
      <c r="G107">
        <v>723.03</v>
      </c>
      <c r="H107">
        <v>709.12800000000004</v>
      </c>
      <c r="I107">
        <v>1559.6109999999999</v>
      </c>
      <c r="J107">
        <v>8.2758000000000003</v>
      </c>
      <c r="K107" s="11">
        <v>113.51</v>
      </c>
      <c r="L107" s="313">
        <f t="shared" si="19"/>
        <v>939.38605800000005</v>
      </c>
      <c r="M107" s="73">
        <f t="shared" si="23"/>
        <v>692.95</v>
      </c>
      <c r="N107" s="11">
        <f t="shared" si="20"/>
        <v>716.07899999999995</v>
      </c>
      <c r="O107" s="73">
        <f t="shared" si="21"/>
        <v>667.44803719633342</v>
      </c>
      <c r="P107">
        <f t="shared" si="22"/>
        <v>712.7637496958622</v>
      </c>
      <c r="S107" s="73">
        <v>1176</v>
      </c>
      <c r="T107">
        <v>1162</v>
      </c>
      <c r="U107">
        <v>1197</v>
      </c>
      <c r="V107">
        <v>1094.5899999999999</v>
      </c>
      <c r="W107">
        <v>1069.8900000000001</v>
      </c>
      <c r="X107">
        <v>792.12800000000004</v>
      </c>
      <c r="Y107" s="11">
        <v>834.02800000000002</v>
      </c>
      <c r="Z107" s="73">
        <f t="shared" si="24"/>
        <v>1178.3333333333333</v>
      </c>
      <c r="AA107">
        <f t="shared" si="25"/>
        <v>1082.24</v>
      </c>
      <c r="AB107">
        <f t="shared" si="26"/>
        <v>813.07799999999997</v>
      </c>
      <c r="AC107">
        <v>2275</v>
      </c>
      <c r="AD107" s="73">
        <f t="shared" si="12"/>
        <v>1145.4722740929451</v>
      </c>
      <c r="AE107">
        <f t="shared" si="7"/>
        <v>1075.4517931227222</v>
      </c>
      <c r="AF107">
        <f t="shared" si="8"/>
        <v>809.010817415048</v>
      </c>
      <c r="AH107" s="61">
        <f t="shared" si="13"/>
        <v>1180.2282575980671</v>
      </c>
      <c r="AI107" s="57">
        <f t="shared" si="9"/>
        <v>1080.0454893091937</v>
      </c>
      <c r="AJ107" s="57">
        <f t="shared" si="10"/>
        <v>812.59375843687531</v>
      </c>
      <c r="AK107" s="11"/>
      <c r="AL107">
        <f t="shared" si="14"/>
        <v>152.74570048780487</v>
      </c>
      <c r="AQ107" s="318">
        <f t="shared" si="15"/>
        <v>151.20976116303214</v>
      </c>
      <c r="AR107" s="318">
        <f t="shared" si="16"/>
        <v>102.27960893854751</v>
      </c>
      <c r="AT107">
        <f t="shared" si="17"/>
        <v>4.8538333333333323</v>
      </c>
      <c r="AU107">
        <f t="shared" si="18"/>
        <v>3.6616100000000005</v>
      </c>
    </row>
    <row r="108" spans="3:47" x14ac:dyDescent="0.25">
      <c r="C108" s="312">
        <v>41183</v>
      </c>
      <c r="D108" s="73">
        <v>695.29</v>
      </c>
      <c r="E108">
        <v>708.29</v>
      </c>
      <c r="F108">
        <v>742.63</v>
      </c>
      <c r="G108">
        <v>750.03</v>
      </c>
      <c r="H108">
        <v>742.12800000000004</v>
      </c>
      <c r="I108">
        <v>1557.1100000000001</v>
      </c>
      <c r="J108">
        <v>8.3074999999999992</v>
      </c>
      <c r="K108" s="11">
        <v>112.96</v>
      </c>
      <c r="L108" s="313">
        <f t="shared" si="19"/>
        <v>938.41519999999991</v>
      </c>
      <c r="M108" s="73">
        <f t="shared" si="23"/>
        <v>701.79</v>
      </c>
      <c r="N108" s="11">
        <f t="shared" si="20"/>
        <v>746.07899999999995</v>
      </c>
      <c r="O108" s="73">
        <f t="shared" si="21"/>
        <v>666.776872206289</v>
      </c>
      <c r="P108">
        <f t="shared" si="22"/>
        <v>712.02029676687948</v>
      </c>
      <c r="S108" s="73">
        <v>1197</v>
      </c>
      <c r="T108">
        <v>1185</v>
      </c>
      <c r="U108">
        <v>1220</v>
      </c>
      <c r="V108">
        <v>1133.75</v>
      </c>
      <c r="W108">
        <v>1109.05</v>
      </c>
      <c r="X108">
        <v>825.12800000000004</v>
      </c>
      <c r="Y108" s="11">
        <v>867.02800000000002</v>
      </c>
      <c r="Z108" s="73">
        <f t="shared" si="24"/>
        <v>1200.6666666666667</v>
      </c>
      <c r="AA108">
        <f t="shared" si="25"/>
        <v>1121.4000000000001</v>
      </c>
      <c r="AB108">
        <f t="shared" si="26"/>
        <v>846.07799999999997</v>
      </c>
      <c r="AC108">
        <v>2272</v>
      </c>
      <c r="AD108" s="73">
        <f t="shared" si="12"/>
        <v>1144.5626600893797</v>
      </c>
      <c r="AE108">
        <f t="shared" si="7"/>
        <v>1074.5195863040724</v>
      </c>
      <c r="AF108">
        <f t="shared" si="8"/>
        <v>808.22833044023037</v>
      </c>
      <c r="AH108" s="61">
        <f t="shared" si="13"/>
        <v>1192.2203863595762</v>
      </c>
      <c r="AI108" s="57">
        <f t="shared" si="9"/>
        <v>1117.755546088971</v>
      </c>
      <c r="AJ108" s="57">
        <f t="shared" si="10"/>
        <v>847.86905293117604</v>
      </c>
      <c r="AK108" s="11"/>
      <c r="AL108">
        <f t="shared" si="14"/>
        <v>152.58783739837395</v>
      </c>
      <c r="AQ108" s="318">
        <f t="shared" si="15"/>
        <v>155.41329179646939</v>
      </c>
      <c r="AR108" s="318">
        <f t="shared" si="16"/>
        <v>104.83826815642462</v>
      </c>
      <c r="AT108">
        <f t="shared" si="17"/>
        <v>4.9887666666666677</v>
      </c>
      <c r="AU108">
        <f t="shared" si="18"/>
        <v>3.753210000000001</v>
      </c>
    </row>
    <row r="109" spans="3:47" x14ac:dyDescent="0.25">
      <c r="C109" s="312">
        <v>41214</v>
      </c>
      <c r="D109" s="73">
        <v>683.09</v>
      </c>
      <c r="E109">
        <v>696.09</v>
      </c>
      <c r="F109">
        <v>750.63</v>
      </c>
      <c r="G109">
        <v>757.03</v>
      </c>
      <c r="H109">
        <v>745.12800000000004</v>
      </c>
      <c r="I109">
        <v>1557.88</v>
      </c>
      <c r="J109">
        <v>8.6478999999999999</v>
      </c>
      <c r="K109" s="11">
        <v>109.05</v>
      </c>
      <c r="L109" s="313">
        <f t="shared" si="19"/>
        <v>943.053495</v>
      </c>
      <c r="M109" s="73">
        <f t="shared" si="23"/>
        <v>689.59</v>
      </c>
      <c r="N109" s="11">
        <f t="shared" si="20"/>
        <v>751.07899999999995</v>
      </c>
      <c r="O109" s="73">
        <f t="shared" si="21"/>
        <v>669.98337739808585</v>
      </c>
      <c r="P109">
        <f t="shared" si="22"/>
        <v>715.57215914349456</v>
      </c>
      <c r="S109" s="73">
        <v>1187</v>
      </c>
      <c r="T109">
        <v>1175</v>
      </c>
      <c r="U109">
        <v>1210</v>
      </c>
      <c r="V109">
        <v>1143.95</v>
      </c>
      <c r="W109">
        <v>1119.25</v>
      </c>
      <c r="X109">
        <v>828.12800000000004</v>
      </c>
      <c r="Y109" s="11">
        <v>870.02800000000002</v>
      </c>
      <c r="Z109" s="73">
        <f t="shared" si="24"/>
        <v>1190.6666666666667</v>
      </c>
      <c r="AA109">
        <f t="shared" si="25"/>
        <v>1131.5999999999999</v>
      </c>
      <c r="AB109">
        <f t="shared" si="26"/>
        <v>849.07799999999997</v>
      </c>
      <c r="AC109">
        <v>2273</v>
      </c>
      <c r="AD109" s="73">
        <f t="shared" si="12"/>
        <v>1148.9083605776757</v>
      </c>
      <c r="AE109">
        <f t="shared" si="7"/>
        <v>1078.973224452915</v>
      </c>
      <c r="AF109">
        <f t="shared" si="8"/>
        <v>811.96667881132203</v>
      </c>
      <c r="AH109" s="61">
        <f t="shared" si="13"/>
        <v>1175.6701634081724</v>
      </c>
      <c r="AI109" s="57">
        <f t="shared" si="9"/>
        <v>1124.0405555522671</v>
      </c>
      <c r="AJ109" s="57">
        <f t="shared" si="10"/>
        <v>851.07589788520329</v>
      </c>
      <c r="AK109" s="11"/>
      <c r="AL109">
        <f t="shared" si="14"/>
        <v>153.34203170731706</v>
      </c>
      <c r="AQ109" s="318">
        <f t="shared" si="15"/>
        <v>156.09865005192108</v>
      </c>
      <c r="AR109" s="318">
        <f t="shared" si="16"/>
        <v>106.29078212290503</v>
      </c>
      <c r="AT109">
        <f t="shared" si="17"/>
        <v>5.010766666666667</v>
      </c>
      <c r="AU109">
        <f t="shared" si="18"/>
        <v>3.8052099999999998</v>
      </c>
    </row>
    <row r="110" spans="3:47" x14ac:dyDescent="0.25">
      <c r="C110" s="320">
        <v>41244</v>
      </c>
      <c r="D110" s="210">
        <v>660.19</v>
      </c>
      <c r="E110" s="13">
        <v>673.19</v>
      </c>
      <c r="F110" s="13">
        <v>735.63</v>
      </c>
      <c r="G110" s="13">
        <v>741.03</v>
      </c>
      <c r="H110" s="13">
        <v>731.12800000000004</v>
      </c>
      <c r="I110" s="13">
        <v>1531.421</v>
      </c>
      <c r="J110" s="13">
        <v>8.8252000000000006</v>
      </c>
      <c r="K110" s="14">
        <v>109.04</v>
      </c>
      <c r="L110" s="321">
        <f t="shared" si="19"/>
        <v>962.2998080000001</v>
      </c>
      <c r="M110" s="210">
        <f t="shared" si="23"/>
        <v>666.69</v>
      </c>
      <c r="N110" s="14">
        <f t="shared" si="20"/>
        <v>736.07899999999995</v>
      </c>
      <c r="O110" s="210">
        <f t="shared" si="21"/>
        <v>683.28856875772226</v>
      </c>
      <c r="P110" s="13">
        <f t="shared" si="22"/>
        <v>730.31038839222856</v>
      </c>
      <c r="Q110" s="13"/>
      <c r="R110" s="13"/>
      <c r="S110" s="210">
        <v>1178</v>
      </c>
      <c r="T110" s="13">
        <v>1166</v>
      </c>
      <c r="U110" s="13">
        <v>1201</v>
      </c>
      <c r="V110" s="13">
        <v>1138.95</v>
      </c>
      <c r="W110" s="13">
        <v>1114.25</v>
      </c>
      <c r="X110" s="13">
        <v>824.12800000000004</v>
      </c>
      <c r="Y110" s="14">
        <v>866.02800000000002</v>
      </c>
      <c r="Z110" s="210">
        <f t="shared" si="24"/>
        <v>1181.6666666666667</v>
      </c>
      <c r="AA110" s="13">
        <f t="shared" si="25"/>
        <v>1126.5999999999999</v>
      </c>
      <c r="AB110" s="13">
        <f t="shared" si="26"/>
        <v>845.07799999999997</v>
      </c>
      <c r="AC110" s="13">
        <v>2238</v>
      </c>
      <c r="AD110" s="210">
        <f t="shared" si="12"/>
        <v>1166.9405710778692</v>
      </c>
      <c r="AE110" s="13">
        <f t="shared" si="7"/>
        <v>1097.4533154780361</v>
      </c>
      <c r="AF110" s="13">
        <f t="shared" si="8"/>
        <v>827.47871994994523</v>
      </c>
      <c r="AG110" s="13"/>
      <c r="AH110" s="211">
        <f t="shared" si="13"/>
        <v>1144.6045809829961</v>
      </c>
      <c r="AI110" s="212">
        <f t="shared" si="9"/>
        <v>1105.1855271623785</v>
      </c>
      <c r="AJ110" s="212">
        <f t="shared" si="10"/>
        <v>836.11062143307572</v>
      </c>
      <c r="AK110" s="14"/>
      <c r="AL110">
        <f t="shared" si="14"/>
        <v>156.47151349593497</v>
      </c>
      <c r="AQ110" s="318">
        <f t="shared" si="15"/>
        <v>160.42886812045691</v>
      </c>
      <c r="AR110" s="318">
        <f t="shared" si="16"/>
        <v>109.08407821229049</v>
      </c>
      <c r="AT110">
        <f t="shared" si="17"/>
        <v>5.1497666666666673</v>
      </c>
      <c r="AU110">
        <f t="shared" si="18"/>
        <v>3.905209999999999</v>
      </c>
    </row>
    <row r="111" spans="3:47" x14ac:dyDescent="0.25">
      <c r="E111" s="322">
        <v>884.85</v>
      </c>
      <c r="F111" s="322">
        <v>769</v>
      </c>
    </row>
    <row r="112" spans="3:47" x14ac:dyDescent="0.25">
      <c r="AM112" t="s">
        <v>474</v>
      </c>
      <c r="AN112" t="s">
        <v>477</v>
      </c>
      <c r="AO112">
        <v>0.82</v>
      </c>
    </row>
    <row r="113" spans="3:41" x14ac:dyDescent="0.25">
      <c r="AM113" t="s">
        <v>254</v>
      </c>
      <c r="AN113" t="s">
        <v>254</v>
      </c>
    </row>
    <row r="114" spans="3:41" x14ac:dyDescent="0.25">
      <c r="C114" s="22">
        <v>44197</v>
      </c>
      <c r="D114">
        <v>512.16999999999996</v>
      </c>
      <c r="E114">
        <v>519.16999999999996</v>
      </c>
      <c r="F114">
        <v>541.63</v>
      </c>
      <c r="G114">
        <v>543.03</v>
      </c>
      <c r="H114">
        <v>527.12800000000004</v>
      </c>
      <c r="I114">
        <v>926.43899999999996</v>
      </c>
      <c r="J114">
        <v>14.939</v>
      </c>
      <c r="K114">
        <v>49.2</v>
      </c>
      <c r="L114" s="321">
        <f t="shared" ref="L114:L116" si="27">K114*J114</f>
        <v>734.99880000000007</v>
      </c>
      <c r="M114" s="210">
        <f t="shared" ref="M114:M116" si="28">AVERAGE(D114:E114)</f>
        <v>515.66999999999996</v>
      </c>
      <c r="N114" s="14">
        <f t="shared" ref="N114:N116" si="29">AVERAGE(G114:H114)</f>
        <v>535.07899999999995</v>
      </c>
      <c r="AM114" s="82">
        <f>1/$AC$8/100*M114*1000</f>
        <v>150.78070175438597</v>
      </c>
      <c r="AN114" s="82">
        <f>1/$AC$9/100*N114*1000</f>
        <v>140.44068241469816</v>
      </c>
      <c r="AO114">
        <f>AM114*AO$112</f>
        <v>123.64017543859649</v>
      </c>
    </row>
    <row r="115" spans="3:41" x14ac:dyDescent="0.25">
      <c r="C115" s="22">
        <v>44228</v>
      </c>
      <c r="D115">
        <v>593.16999999999996</v>
      </c>
      <c r="E115">
        <v>600.16999999999996</v>
      </c>
      <c r="F115">
        <v>599.63</v>
      </c>
      <c r="G115">
        <v>602.03</v>
      </c>
      <c r="H115">
        <v>586.12800000000004</v>
      </c>
      <c r="I115">
        <v>1008</v>
      </c>
      <c r="J115">
        <v>15.087</v>
      </c>
      <c r="K115">
        <v>53.1</v>
      </c>
      <c r="L115" s="321">
        <f t="shared" si="27"/>
        <v>801.11969999999997</v>
      </c>
      <c r="M115" s="210">
        <f t="shared" si="28"/>
        <v>596.66999999999996</v>
      </c>
      <c r="N115" s="14">
        <f t="shared" si="29"/>
        <v>594.07899999999995</v>
      </c>
      <c r="AM115" s="82">
        <f t="shared" ref="AM115:AM116" si="30">1/$AC$8/100*M115*1000</f>
        <v>174.46491228070175</v>
      </c>
      <c r="AN115" s="82">
        <f t="shared" ref="AN115:AN116" si="31">1/$AC$9/100*N115*1000</f>
        <v>155.92624671916008</v>
      </c>
      <c r="AO115">
        <f t="shared" ref="AO115:AO116" si="32">AM115*AO$112</f>
        <v>143.06122807017542</v>
      </c>
    </row>
    <row r="116" spans="3:41" x14ac:dyDescent="0.25">
      <c r="C116" s="22">
        <v>44256</v>
      </c>
      <c r="D116">
        <v>658.17</v>
      </c>
      <c r="E116">
        <v>665.17</v>
      </c>
      <c r="F116">
        <v>653.63</v>
      </c>
      <c r="G116">
        <v>658.03</v>
      </c>
      <c r="H116">
        <v>633.12800000000004</v>
      </c>
      <c r="I116">
        <v>1071</v>
      </c>
      <c r="J116">
        <v>14.763</v>
      </c>
      <c r="K116">
        <v>60</v>
      </c>
      <c r="L116" s="321">
        <f t="shared" si="27"/>
        <v>885.78</v>
      </c>
      <c r="M116" s="210">
        <f t="shared" si="28"/>
        <v>661.67</v>
      </c>
      <c r="N116" s="14">
        <f t="shared" si="29"/>
        <v>645.57899999999995</v>
      </c>
      <c r="AM116" s="82">
        <f t="shared" si="30"/>
        <v>193.47076023391813</v>
      </c>
      <c r="AN116" s="82">
        <f t="shared" si="31"/>
        <v>169.44330708661414</v>
      </c>
      <c r="AO116">
        <f t="shared" si="32"/>
        <v>158.64602339181286</v>
      </c>
    </row>
    <row r="118" spans="3:41" x14ac:dyDescent="0.25">
      <c r="M118">
        <f t="array" ref="M118:N120">LINEST(M114:M116,$L$114:$L$116,TRUE,TRUE)</f>
        <v>0.95910807590847547</v>
      </c>
      <c r="N118">
        <v>-182.95080346020779</v>
      </c>
    </row>
    <row r="119" spans="3:41" x14ac:dyDescent="0.25">
      <c r="M119">
        <v>0.12935058131866148</v>
      </c>
      <c r="N119">
        <v>104.72930660320328</v>
      </c>
    </row>
    <row r="120" spans="3:41" x14ac:dyDescent="0.25">
      <c r="M120">
        <v>0.98213621838584708</v>
      </c>
      <c r="N120">
        <v>13.825858832607096</v>
      </c>
    </row>
  </sheetData>
  <hyperlinks>
    <hyperlink ref="AF11" r:id="rId1" xr:uid="{1F7DF40C-9966-4AC0-BDF2-5E989290567F}"/>
    <hyperlink ref="D24" r:id="rId2" xr:uid="{E9B7C8E0-A977-4678-B50A-E6C12F85E03D}"/>
  </hyperlinks>
  <pageMargins left="0.7" right="0.7" top="0.75" bottom="0.75" header="0.3" footer="0.3"/>
  <drawing r:id="rId3"/>
  <legacyDrawing r:id="rId4"/>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C39CF0-B504-46C0-8420-716F5879328D}">
  <sheetPr codeName="Sheet14"/>
  <dimension ref="A2:DQ138"/>
  <sheetViews>
    <sheetView workbookViewId="0">
      <selection activeCell="B2" sqref="B2:F2"/>
    </sheetView>
  </sheetViews>
  <sheetFormatPr defaultColWidth="11.42578125" defaultRowHeight="15" x14ac:dyDescent="0.25"/>
  <cols>
    <col min="1" max="2" width="10.7109375" customWidth="1"/>
    <col min="4" max="54" width="8" customWidth="1"/>
    <col min="61" max="61" width="19.42578125" customWidth="1"/>
  </cols>
  <sheetData>
    <row r="2" spans="2:55" ht="18" thickBot="1" x14ac:dyDescent="0.35">
      <c r="B2" s="295" t="s">
        <v>990</v>
      </c>
      <c r="C2" s="295"/>
      <c r="D2" s="295"/>
      <c r="E2" s="295"/>
      <c r="F2" s="295"/>
    </row>
    <row r="3" spans="2:55" ht="15.75" thickTop="1" x14ac:dyDescent="0.25"/>
    <row r="9" spans="2:55" x14ac:dyDescent="0.25">
      <c r="G9" t="s">
        <v>708</v>
      </c>
      <c r="H9" t="s">
        <v>709</v>
      </c>
      <c r="I9" t="s">
        <v>710</v>
      </c>
    </row>
    <row r="10" spans="2:55" x14ac:dyDescent="0.25">
      <c r="B10" t="s">
        <v>711</v>
      </c>
      <c r="G10">
        <v>2009</v>
      </c>
      <c r="H10">
        <v>60.4</v>
      </c>
      <c r="I10" s="298">
        <f>H10*[11]Deflator!U20/[11]Deflator!T20</f>
        <v>61.096005114485806</v>
      </c>
      <c r="V10" t="s">
        <v>712</v>
      </c>
      <c r="AO10" t="s">
        <v>713</v>
      </c>
    </row>
    <row r="12" spans="2:55" ht="15.75" thickBot="1" x14ac:dyDescent="0.3">
      <c r="B12" t="s">
        <v>714</v>
      </c>
      <c r="D12" t="s">
        <v>715</v>
      </c>
      <c r="I12" t="s">
        <v>716</v>
      </c>
      <c r="N12">
        <v>450</v>
      </c>
      <c r="T12" t="s">
        <v>717</v>
      </c>
      <c r="V12" t="s">
        <v>715</v>
      </c>
      <c r="AA12" t="s">
        <v>716</v>
      </c>
      <c r="AF12">
        <v>450</v>
      </c>
      <c r="AM12" t="s">
        <v>718</v>
      </c>
      <c r="AO12" t="s">
        <v>715</v>
      </c>
      <c r="AT12" t="s">
        <v>716</v>
      </c>
      <c r="AY12">
        <v>450</v>
      </c>
    </row>
    <row r="13" spans="2:55" x14ac:dyDescent="0.25">
      <c r="C13">
        <v>2010</v>
      </c>
      <c r="D13" s="104">
        <v>2015</v>
      </c>
      <c r="E13" s="222">
        <v>2020</v>
      </c>
      <c r="F13" s="222">
        <v>2025</v>
      </c>
      <c r="G13" s="222">
        <v>2030</v>
      </c>
      <c r="H13" s="223">
        <v>2035</v>
      </c>
      <c r="I13" s="104">
        <v>2015</v>
      </c>
      <c r="J13" s="222">
        <v>2020</v>
      </c>
      <c r="K13" s="222">
        <v>2025</v>
      </c>
      <c r="L13" s="222">
        <v>2030</v>
      </c>
      <c r="M13" s="223">
        <v>2035</v>
      </c>
      <c r="N13" s="104">
        <v>2015</v>
      </c>
      <c r="O13" s="222">
        <v>2020</v>
      </c>
      <c r="P13" s="222">
        <v>2025</v>
      </c>
      <c r="Q13" s="222">
        <v>2030</v>
      </c>
      <c r="R13" s="223">
        <v>2035</v>
      </c>
      <c r="U13">
        <v>2011</v>
      </c>
      <c r="V13" s="104">
        <v>2015</v>
      </c>
      <c r="W13" s="222">
        <v>2020</v>
      </c>
      <c r="X13" s="222">
        <v>2025</v>
      </c>
      <c r="Y13" s="222">
        <v>2030</v>
      </c>
      <c r="Z13" s="223">
        <v>2035</v>
      </c>
      <c r="AA13" s="104">
        <v>2015</v>
      </c>
      <c r="AB13" s="222">
        <v>2020</v>
      </c>
      <c r="AC13" s="222">
        <v>2025</v>
      </c>
      <c r="AD13" s="222">
        <v>2030</v>
      </c>
      <c r="AE13" s="223">
        <v>2035</v>
      </c>
      <c r="AF13" s="104">
        <v>2015</v>
      </c>
      <c r="AG13" s="222">
        <v>2020</v>
      </c>
      <c r="AH13" s="222">
        <v>2025</v>
      </c>
      <c r="AI13" s="222">
        <v>2030</v>
      </c>
      <c r="AJ13" s="223">
        <v>2035</v>
      </c>
      <c r="AN13">
        <v>2012</v>
      </c>
      <c r="AO13" s="104">
        <v>2015</v>
      </c>
      <c r="AP13" s="222">
        <v>2020</v>
      </c>
      <c r="AQ13" s="222">
        <v>2025</v>
      </c>
      <c r="AR13" s="222">
        <v>2030</v>
      </c>
      <c r="AS13" s="223">
        <v>2035</v>
      </c>
      <c r="AT13" s="104">
        <v>2015</v>
      </c>
      <c r="AU13" s="222">
        <v>2020</v>
      </c>
      <c r="AV13" s="222">
        <v>2025</v>
      </c>
      <c r="AW13" s="222">
        <v>2030</v>
      </c>
      <c r="AX13" s="223">
        <v>2035</v>
      </c>
      <c r="AY13" s="104">
        <v>2015</v>
      </c>
      <c r="AZ13" s="222">
        <v>2020</v>
      </c>
      <c r="BA13" s="222">
        <v>2025</v>
      </c>
      <c r="BB13" s="222">
        <v>2030</v>
      </c>
      <c r="BC13" s="223">
        <v>2035</v>
      </c>
    </row>
    <row r="14" spans="2:55" x14ac:dyDescent="0.25">
      <c r="B14" t="s">
        <v>719</v>
      </c>
      <c r="C14">
        <v>78.099999999999994</v>
      </c>
      <c r="D14" s="71">
        <v>102</v>
      </c>
      <c r="E14">
        <v>108.6</v>
      </c>
      <c r="F14">
        <v>113.6</v>
      </c>
      <c r="G14">
        <v>117.3</v>
      </c>
      <c r="H14" s="242">
        <v>120</v>
      </c>
      <c r="I14" s="71">
        <v>106.3</v>
      </c>
      <c r="J14">
        <v>118.1</v>
      </c>
      <c r="K14">
        <v>127.3</v>
      </c>
      <c r="L14">
        <v>134.5</v>
      </c>
      <c r="M14" s="242">
        <v>140</v>
      </c>
      <c r="N14" s="71">
        <v>97</v>
      </c>
      <c r="O14">
        <v>97</v>
      </c>
      <c r="P14">
        <v>97</v>
      </c>
      <c r="Q14">
        <v>97</v>
      </c>
      <c r="R14" s="242">
        <v>97</v>
      </c>
      <c r="T14" t="s">
        <v>719</v>
      </c>
      <c r="U14">
        <v>107.6</v>
      </c>
      <c r="V14" s="71">
        <v>116</v>
      </c>
      <c r="W14">
        <v>119.5</v>
      </c>
      <c r="X14">
        <v>121.9</v>
      </c>
      <c r="Y14">
        <v>123.6</v>
      </c>
      <c r="Z14" s="242">
        <v>125</v>
      </c>
      <c r="AA14" s="71">
        <v>118.4</v>
      </c>
      <c r="AB14">
        <v>128.30000000000001</v>
      </c>
      <c r="AC14">
        <v>135.6</v>
      </c>
      <c r="AD14">
        <v>141.1</v>
      </c>
      <c r="AE14" s="242">
        <v>145</v>
      </c>
      <c r="AF14" s="71">
        <v>115.3</v>
      </c>
      <c r="AG14">
        <v>113.3</v>
      </c>
      <c r="AH14">
        <v>109.1</v>
      </c>
      <c r="AI14">
        <v>104.7</v>
      </c>
      <c r="AJ14" s="242">
        <v>100</v>
      </c>
      <c r="AM14" t="s">
        <v>719</v>
      </c>
      <c r="AN14">
        <v>109</v>
      </c>
      <c r="AO14" s="71">
        <f>(AN14*5+AP14*3)/8</f>
        <v>110.5</v>
      </c>
      <c r="AP14" s="71">
        <v>113</v>
      </c>
      <c r="AQ14">
        <v>116</v>
      </c>
      <c r="AR14">
        <v>121</v>
      </c>
      <c r="AS14" s="242">
        <v>128</v>
      </c>
      <c r="AT14" s="324">
        <f>(AN14*5+AU14*3)/8</f>
        <v>113.125</v>
      </c>
      <c r="AU14">
        <v>120</v>
      </c>
      <c r="AV14">
        <v>127</v>
      </c>
      <c r="AW14">
        <v>136</v>
      </c>
      <c r="AX14" s="242">
        <v>145</v>
      </c>
      <c r="AY14" s="324">
        <f>(AN14*5+AZ14*3)/8</f>
        <v>109.375</v>
      </c>
      <c r="AZ14">
        <v>110</v>
      </c>
      <c r="BA14">
        <v>107</v>
      </c>
      <c r="BB14">
        <v>104</v>
      </c>
      <c r="BC14" s="242">
        <v>100</v>
      </c>
    </row>
    <row r="15" spans="2:55" x14ac:dyDescent="0.25">
      <c r="B15" t="s">
        <v>720</v>
      </c>
      <c r="D15" s="71"/>
      <c r="H15" s="242"/>
      <c r="I15" s="71"/>
      <c r="M15" s="242"/>
      <c r="N15" s="71"/>
      <c r="R15" s="242"/>
      <c r="T15" t="s">
        <v>720</v>
      </c>
      <c r="V15" s="71"/>
      <c r="Z15" s="242"/>
      <c r="AA15" s="71"/>
      <c r="AE15" s="242"/>
      <c r="AF15" s="71"/>
      <c r="AJ15" s="242"/>
      <c r="AM15" t="s">
        <v>720</v>
      </c>
      <c r="AO15" s="71"/>
      <c r="AP15" s="71"/>
      <c r="AS15" s="242"/>
      <c r="AT15" s="71"/>
      <c r="AX15" s="242"/>
      <c r="AY15" s="71"/>
      <c r="BC15" s="242"/>
    </row>
    <row r="16" spans="2:55" x14ac:dyDescent="0.25">
      <c r="B16" t="s">
        <v>721</v>
      </c>
      <c r="C16">
        <v>4.4000000000000004</v>
      </c>
      <c r="D16" s="71">
        <v>6</v>
      </c>
      <c r="E16">
        <v>6.7</v>
      </c>
      <c r="F16">
        <v>7.3</v>
      </c>
      <c r="G16">
        <v>7.9</v>
      </c>
      <c r="H16" s="242">
        <v>8.6</v>
      </c>
      <c r="I16" s="71">
        <v>6.1</v>
      </c>
      <c r="J16">
        <v>7</v>
      </c>
      <c r="K16">
        <v>7.7</v>
      </c>
      <c r="L16">
        <v>8.4</v>
      </c>
      <c r="M16" s="242">
        <v>9</v>
      </c>
      <c r="N16" s="71">
        <v>5.9</v>
      </c>
      <c r="O16">
        <v>6.5</v>
      </c>
      <c r="P16">
        <v>8</v>
      </c>
      <c r="Q16">
        <v>8.4</v>
      </c>
      <c r="R16" s="242">
        <v>7.8</v>
      </c>
      <c r="T16" t="s">
        <v>721</v>
      </c>
      <c r="U16">
        <v>4.0999999999999996</v>
      </c>
      <c r="V16" s="71">
        <v>4.5999999999999996</v>
      </c>
      <c r="W16">
        <v>5.4</v>
      </c>
      <c r="X16">
        <v>6.3</v>
      </c>
      <c r="Y16">
        <v>7.1</v>
      </c>
      <c r="Z16" s="242">
        <v>8</v>
      </c>
      <c r="AA16" s="71">
        <v>4.5999999999999996</v>
      </c>
      <c r="AB16">
        <v>5.5</v>
      </c>
      <c r="AC16">
        <v>6.4</v>
      </c>
      <c r="AD16">
        <v>7.2</v>
      </c>
      <c r="AE16" s="242">
        <v>8</v>
      </c>
      <c r="AF16" s="71">
        <v>4.4000000000000004</v>
      </c>
      <c r="AG16">
        <v>5.5</v>
      </c>
      <c r="AH16">
        <v>6.9</v>
      </c>
      <c r="AI16">
        <v>7.6</v>
      </c>
      <c r="AJ16" s="242">
        <v>7.6</v>
      </c>
      <c r="AM16" t="s">
        <v>721</v>
      </c>
      <c r="AN16">
        <v>2.7</v>
      </c>
      <c r="AO16" s="325">
        <f>(AN16*5+AP16*3)/8</f>
        <v>3.5999999999999996</v>
      </c>
      <c r="AP16" s="71">
        <v>5.0999999999999996</v>
      </c>
      <c r="AQ16">
        <v>5.6</v>
      </c>
      <c r="AR16">
        <v>6</v>
      </c>
      <c r="AS16" s="242">
        <v>6.8</v>
      </c>
      <c r="AT16" s="324">
        <f>(AN16*5+AU16*3)/8</f>
        <v>3.6375000000000002</v>
      </c>
      <c r="AU16">
        <v>5.2</v>
      </c>
      <c r="AV16">
        <v>5.8</v>
      </c>
      <c r="AW16">
        <v>6.2</v>
      </c>
      <c r="AX16" s="242">
        <v>6.9</v>
      </c>
      <c r="AY16" s="324">
        <f>(AN16*5+AZ16*3)/8</f>
        <v>3.4874999999999998</v>
      </c>
      <c r="AZ16">
        <v>4.8</v>
      </c>
      <c r="BA16">
        <v>5.4</v>
      </c>
      <c r="BB16">
        <v>5.7</v>
      </c>
      <c r="BC16" s="242">
        <v>5.9</v>
      </c>
    </row>
    <row r="17" spans="2:68" x14ac:dyDescent="0.25">
      <c r="B17" t="s">
        <v>722</v>
      </c>
      <c r="C17">
        <v>7.5</v>
      </c>
      <c r="D17" s="71">
        <v>9.6</v>
      </c>
      <c r="E17">
        <v>10.4</v>
      </c>
      <c r="F17">
        <v>11.1</v>
      </c>
      <c r="G17">
        <v>11.7</v>
      </c>
      <c r="H17" s="242">
        <v>12.1</v>
      </c>
      <c r="I17" s="71">
        <v>9.8000000000000007</v>
      </c>
      <c r="J17">
        <v>11</v>
      </c>
      <c r="K17">
        <v>11.9</v>
      </c>
      <c r="L17">
        <v>12.6</v>
      </c>
      <c r="M17" s="242">
        <v>13</v>
      </c>
      <c r="N17" s="71">
        <v>9.4</v>
      </c>
      <c r="O17">
        <v>9.8000000000000007</v>
      </c>
      <c r="P17">
        <v>9.8000000000000007</v>
      </c>
      <c r="Q17">
        <v>9.6999999999999993</v>
      </c>
      <c r="R17" s="242">
        <v>9.4</v>
      </c>
      <c r="T17" t="s">
        <v>722</v>
      </c>
      <c r="U17">
        <v>9.6</v>
      </c>
      <c r="V17" s="71">
        <v>11</v>
      </c>
      <c r="W17">
        <v>11.5</v>
      </c>
      <c r="X17">
        <v>11.9</v>
      </c>
      <c r="Y17">
        <v>12.2</v>
      </c>
      <c r="Z17" s="242">
        <v>12.5</v>
      </c>
      <c r="AA17" s="71">
        <v>11.1</v>
      </c>
      <c r="AB17">
        <v>12.1</v>
      </c>
      <c r="AC17">
        <v>12.9</v>
      </c>
      <c r="AD17">
        <v>13.4</v>
      </c>
      <c r="AE17" s="242">
        <v>13.7</v>
      </c>
      <c r="AF17" s="71">
        <v>10.9</v>
      </c>
      <c r="AG17">
        <v>10.8</v>
      </c>
      <c r="AH17">
        <v>10.4</v>
      </c>
      <c r="AI17">
        <v>10</v>
      </c>
      <c r="AJ17" s="242">
        <v>9.6</v>
      </c>
      <c r="AM17" t="s">
        <v>722</v>
      </c>
      <c r="AN17">
        <v>11.7</v>
      </c>
      <c r="AO17" s="325">
        <f>(AN17*5+AP17*3)/8</f>
        <v>11.775</v>
      </c>
      <c r="AP17" s="71">
        <v>11.9</v>
      </c>
      <c r="AQ17">
        <v>12</v>
      </c>
      <c r="AR17">
        <v>12.3</v>
      </c>
      <c r="AS17" s="242">
        <v>12.7</v>
      </c>
      <c r="AT17" s="324">
        <f>(AN17*5+AU17*3)/8</f>
        <v>11.9625</v>
      </c>
      <c r="AU17">
        <v>12.4</v>
      </c>
      <c r="AV17">
        <v>12.9</v>
      </c>
      <c r="AW17">
        <v>13.4</v>
      </c>
      <c r="AX17" s="242">
        <v>14</v>
      </c>
      <c r="AY17" s="324">
        <f>(AN17*5+AZ17*3)/8</f>
        <v>11.625</v>
      </c>
      <c r="AZ17">
        <v>11.5</v>
      </c>
      <c r="BA17">
        <v>11</v>
      </c>
      <c r="BB17">
        <v>10.199999999999999</v>
      </c>
      <c r="BC17" s="242">
        <v>9.5</v>
      </c>
      <c r="BJ17">
        <v>2010</v>
      </c>
      <c r="BK17">
        <f>BJ17+5</f>
        <v>2015</v>
      </c>
      <c r="BL17">
        <v>2020</v>
      </c>
      <c r="BM17">
        <v>2025</v>
      </c>
      <c r="BN17">
        <v>2030</v>
      </c>
      <c r="BO17">
        <v>2035</v>
      </c>
      <c r="BP17">
        <v>2040</v>
      </c>
    </row>
    <row r="18" spans="2:68" x14ac:dyDescent="0.25">
      <c r="B18" t="s">
        <v>723</v>
      </c>
      <c r="C18">
        <v>11</v>
      </c>
      <c r="D18" s="71">
        <v>12.2</v>
      </c>
      <c r="E18">
        <v>12.9</v>
      </c>
      <c r="F18">
        <v>13.4</v>
      </c>
      <c r="G18">
        <v>13.9</v>
      </c>
      <c r="H18" s="242">
        <v>14.3</v>
      </c>
      <c r="I18" s="71">
        <v>12.7</v>
      </c>
      <c r="J18">
        <v>13.5</v>
      </c>
      <c r="K18">
        <v>14.2</v>
      </c>
      <c r="L18">
        <v>14.8</v>
      </c>
      <c r="M18" s="242">
        <v>15.2</v>
      </c>
      <c r="N18" s="71">
        <v>11.9</v>
      </c>
      <c r="O18">
        <v>12</v>
      </c>
      <c r="P18">
        <v>12</v>
      </c>
      <c r="Q18">
        <v>12.1</v>
      </c>
      <c r="R18" s="242">
        <v>12.1</v>
      </c>
      <c r="T18" t="s">
        <v>723</v>
      </c>
      <c r="U18">
        <v>14.8</v>
      </c>
      <c r="V18" s="71">
        <v>15</v>
      </c>
      <c r="W18">
        <v>14.3</v>
      </c>
      <c r="X18">
        <v>14.5</v>
      </c>
      <c r="Y18">
        <v>14.7</v>
      </c>
      <c r="Z18" s="242">
        <v>14.8</v>
      </c>
      <c r="AA18" s="71">
        <v>15.3</v>
      </c>
      <c r="AB18">
        <v>14.7</v>
      </c>
      <c r="AC18">
        <v>15.2</v>
      </c>
      <c r="AD18">
        <v>15.6</v>
      </c>
      <c r="AE18" s="242">
        <v>16</v>
      </c>
      <c r="AF18" s="71">
        <v>14.9</v>
      </c>
      <c r="AG18">
        <v>13.5</v>
      </c>
      <c r="AH18">
        <v>12.9</v>
      </c>
      <c r="AI18">
        <v>12.5</v>
      </c>
      <c r="AJ18" s="242">
        <v>12.2</v>
      </c>
      <c r="AM18" t="s">
        <v>723</v>
      </c>
      <c r="AN18">
        <v>16.899999999999999</v>
      </c>
      <c r="AO18" s="325">
        <f>(AN18*5+AP18*3)/8</f>
        <v>15.887499999999999</v>
      </c>
      <c r="AP18" s="71">
        <v>14.2</v>
      </c>
      <c r="AQ18">
        <v>14.2</v>
      </c>
      <c r="AR18">
        <v>14.4</v>
      </c>
      <c r="AS18" s="242">
        <v>14.9</v>
      </c>
      <c r="AT18" s="324">
        <f>(AN18*5+AU18*3)/8</f>
        <v>16.074999999999999</v>
      </c>
      <c r="AU18">
        <v>14.7</v>
      </c>
      <c r="AV18">
        <v>15.2</v>
      </c>
      <c r="AW18">
        <v>15.9</v>
      </c>
      <c r="AX18" s="242">
        <v>16.7</v>
      </c>
      <c r="AY18" s="324">
        <f>(AN18*5+AZ18*3)/8</f>
        <v>15.5875</v>
      </c>
      <c r="AZ18">
        <v>13.4</v>
      </c>
      <c r="BA18">
        <v>12.8</v>
      </c>
      <c r="BB18">
        <v>12.2</v>
      </c>
      <c r="BC18" s="242">
        <v>11.7</v>
      </c>
      <c r="BI18" t="s">
        <v>156</v>
      </c>
      <c r="BJ18">
        <v>12.09</v>
      </c>
      <c r="BK18">
        <v>15.98453488</v>
      </c>
      <c r="BL18">
        <v>19.88</v>
      </c>
      <c r="BM18">
        <v>21.242425820000001</v>
      </c>
      <c r="BN18">
        <v>22.6</v>
      </c>
      <c r="BO18">
        <v>23.378894710000001</v>
      </c>
      <c r="BP18">
        <v>24.154876730000002</v>
      </c>
    </row>
    <row r="19" spans="2:68" ht="15.75" thickBot="1" x14ac:dyDescent="0.3">
      <c r="B19" t="s">
        <v>724</v>
      </c>
      <c r="C19">
        <v>99.2</v>
      </c>
      <c r="D19" s="326">
        <v>103.7</v>
      </c>
      <c r="E19" s="95">
        <v>106.3</v>
      </c>
      <c r="F19" s="95">
        <v>108.1</v>
      </c>
      <c r="G19" s="95">
        <v>109.3</v>
      </c>
      <c r="H19" s="227">
        <v>110</v>
      </c>
      <c r="I19" s="326">
        <v>104.6</v>
      </c>
      <c r="J19" s="95">
        <v>109</v>
      </c>
      <c r="K19" s="95">
        <v>112.8</v>
      </c>
      <c r="L19" s="95">
        <v>115.9</v>
      </c>
      <c r="M19" s="227">
        <v>118.4</v>
      </c>
      <c r="N19" s="326">
        <v>100.3</v>
      </c>
      <c r="O19" s="95">
        <v>93.3</v>
      </c>
      <c r="P19" s="95">
        <v>83.2</v>
      </c>
      <c r="Q19" s="95">
        <v>73.7</v>
      </c>
      <c r="R19" s="227">
        <v>67.7</v>
      </c>
      <c r="T19" t="s">
        <v>724</v>
      </c>
      <c r="U19">
        <v>123.4</v>
      </c>
      <c r="V19" s="326">
        <v>108.5</v>
      </c>
      <c r="W19" s="95">
        <v>112</v>
      </c>
      <c r="X19" s="95">
        <v>113</v>
      </c>
      <c r="Y19" s="95">
        <v>114</v>
      </c>
      <c r="Z19" s="227">
        <v>115</v>
      </c>
      <c r="AA19" s="326">
        <v>110</v>
      </c>
      <c r="AB19" s="95">
        <v>115</v>
      </c>
      <c r="AC19" s="95">
        <v>119.2</v>
      </c>
      <c r="AD19" s="95">
        <v>122.5</v>
      </c>
      <c r="AE19" s="227">
        <v>125</v>
      </c>
      <c r="AF19" s="326">
        <v>105.3</v>
      </c>
      <c r="AG19" s="95">
        <v>97.5</v>
      </c>
      <c r="AH19" s="95">
        <v>89</v>
      </c>
      <c r="AI19" s="95">
        <v>78</v>
      </c>
      <c r="AJ19" s="227">
        <v>70</v>
      </c>
      <c r="AM19" t="s">
        <v>724</v>
      </c>
      <c r="AN19">
        <v>99</v>
      </c>
      <c r="AO19" s="327">
        <f>(AN19*5+AP19*3)/8</f>
        <v>101.625</v>
      </c>
      <c r="AP19" s="326">
        <v>106</v>
      </c>
      <c r="AQ19" s="95">
        <v>109</v>
      </c>
      <c r="AR19" s="95">
        <v>110</v>
      </c>
      <c r="AS19" s="227">
        <v>110</v>
      </c>
      <c r="AT19" s="326">
        <f>(AN19*5+AU19*3)/8</f>
        <v>103.875</v>
      </c>
      <c r="AU19" s="95">
        <v>112</v>
      </c>
      <c r="AV19" s="95">
        <v>116</v>
      </c>
      <c r="AW19" s="227">
        <v>118</v>
      </c>
      <c r="AX19" s="326">
        <v>120</v>
      </c>
      <c r="AY19" s="95">
        <f>(AN19*5+AZ19*3)/8</f>
        <v>99.75</v>
      </c>
      <c r="AZ19" s="95">
        <v>101</v>
      </c>
      <c r="BA19" s="95">
        <v>95</v>
      </c>
      <c r="BB19" s="95">
        <v>86</v>
      </c>
      <c r="BC19" s="227">
        <v>75</v>
      </c>
      <c r="BI19" t="s">
        <v>160</v>
      </c>
      <c r="BJ19">
        <v>6.05</v>
      </c>
      <c r="BK19">
        <v>7.99</v>
      </c>
      <c r="BL19">
        <v>9.94</v>
      </c>
      <c r="BM19">
        <v>10.62</v>
      </c>
      <c r="BN19">
        <v>11.3</v>
      </c>
      <c r="BO19">
        <v>11.69</v>
      </c>
      <c r="BP19">
        <v>12.08</v>
      </c>
    </row>
    <row r="20" spans="2:68" x14ac:dyDescent="0.25">
      <c r="D20" s="82">
        <f>(D19/C19)/(D14/C14)</f>
        <v>0.80042002688172043</v>
      </c>
      <c r="E20" s="82">
        <f>(E19/D19)/(E14/D14)</f>
        <v>0.96277511095009505</v>
      </c>
      <c r="F20" s="82">
        <f t="shared" ref="F20:R20" si="0">(F19/E19)/(F14/E14)</f>
        <v>0.97217382375154016</v>
      </c>
      <c r="G20" s="82">
        <f t="shared" si="0"/>
        <v>0.97920762642023396</v>
      </c>
      <c r="H20" s="82">
        <f t="shared" si="0"/>
        <v>0.98376029277218657</v>
      </c>
      <c r="I20" s="82">
        <f>(I19/C19)/(I14/C14)</f>
        <v>0.77470753800867898</v>
      </c>
      <c r="J20" s="82">
        <f t="shared" si="0"/>
        <v>0.93794674442212023</v>
      </c>
      <c r="K20" s="82">
        <f t="shared" si="0"/>
        <v>0.96007264498367662</v>
      </c>
      <c r="L20" s="82">
        <f t="shared" si="0"/>
        <v>0.97247950117324478</v>
      </c>
      <c r="M20" s="82">
        <f t="shared" si="0"/>
        <v>0.98143719955626774</v>
      </c>
      <c r="N20" s="82">
        <f>(N19/C19)/(N14/C14)</f>
        <v>0.81408276521449929</v>
      </c>
      <c r="O20" s="82">
        <f t="shared" si="0"/>
        <v>0.93020937188434694</v>
      </c>
      <c r="P20" s="82">
        <f t="shared" si="0"/>
        <v>0.89174705251875674</v>
      </c>
      <c r="Q20" s="82">
        <f t="shared" si="0"/>
        <v>0.88581730769230771</v>
      </c>
      <c r="R20" s="82">
        <f t="shared" si="0"/>
        <v>0.91858887381275445</v>
      </c>
      <c r="V20" s="82">
        <f>(V19/U19)/(V14/U14)</f>
        <v>0.8155843067121219</v>
      </c>
      <c r="W20" s="82">
        <f>(W19/V19)/(W14/V14)</f>
        <v>1.0020245647185855</v>
      </c>
      <c r="X20" s="82">
        <f>(X19/W19)/(X14/W14)</f>
        <v>0.98906451423883734</v>
      </c>
      <c r="Y20" s="82">
        <f>(Y19/X19)/(Y14/X14)</f>
        <v>0.99497379499957062</v>
      </c>
      <c r="Z20" s="82">
        <f>(Z19/Y19)/(Z14/Y14)</f>
        <v>0.99747368421052618</v>
      </c>
      <c r="AA20" s="82">
        <f>(AA19/U19)/(AA14/U14)</f>
        <v>0.8100989968899206</v>
      </c>
      <c r="AB20" s="82">
        <f>(AB19/AA19)/(AB14/AA14)</f>
        <v>0.96478424147948694</v>
      </c>
      <c r="AC20" s="82">
        <f>(AC19/AB19)/(AC14/AB14)</f>
        <v>0.98072079004745438</v>
      </c>
      <c r="AD20" s="82">
        <f>(AD19/AC19)/(AD14/AC14)</f>
        <v>0.98762598756653142</v>
      </c>
      <c r="AE20" s="82">
        <f>(AE19/AD19)/(AE14/AD14)</f>
        <v>0.99296270232230821</v>
      </c>
      <c r="AF20" s="82">
        <f>(AF19/U19)/(AF14/U14)</f>
        <v>0.79633568128242704</v>
      </c>
      <c r="AG20" s="82">
        <f>(AG19/AF19)/(AG14/AF14)</f>
        <v>0.94227060246477723</v>
      </c>
      <c r="AH20" s="82">
        <f>(AH19/AG19)/(AH14/AG14)</f>
        <v>0.94796117417565628</v>
      </c>
      <c r="AI20" s="82">
        <f>(AI19/AH19)/(AI14/AH14)</f>
        <v>0.91323524677247991</v>
      </c>
      <c r="AJ20" s="82">
        <f>(AJ19/AI19)/(AJ14/AI14)</f>
        <v>0.93961538461538463</v>
      </c>
      <c r="AM20" t="s">
        <v>725</v>
      </c>
      <c r="AO20" s="82">
        <f>(AO19/AN19)/(AO14/AN14)</f>
        <v>1.0125805566982038</v>
      </c>
      <c r="AP20" s="82">
        <f>(AP19/AO19)/(AP14/AO14)</f>
        <v>1.0199740935462454</v>
      </c>
      <c r="AQ20" s="82">
        <f>(AQ19/AP19)/(AQ14/AP14)</f>
        <v>1.0017078724788551</v>
      </c>
      <c r="AR20" s="82">
        <f>(AR19/AQ19)/(AR14/AQ14)</f>
        <v>0.96747289407839854</v>
      </c>
      <c r="AS20" s="82">
        <f>(AS19/AR19)/(AS14/AR14)</f>
        <v>0.9453125</v>
      </c>
      <c r="AT20" s="82">
        <f>(AT19/AN19)/(AT14/AN14)</f>
        <v>1.0109827557341371</v>
      </c>
      <c r="AU20" s="82">
        <f>(AU19/AT19)/(AU14/AT14)</f>
        <v>1.0164460489370237</v>
      </c>
      <c r="AV20" s="82">
        <f>(AV19/AU19)/(AV14/AU14)</f>
        <v>0.97862767154105745</v>
      </c>
      <c r="AW20" s="82">
        <f>(AW19/AV19)/(AW14/AV14)</f>
        <v>0.9499239350912777</v>
      </c>
      <c r="AX20" s="82">
        <f>(AX19/AW19)/(AX14/AW14)</f>
        <v>0.95382817066043246</v>
      </c>
      <c r="AY20" s="82">
        <f>(AY19/AN19)/(AY14/AN14)</f>
        <v>1.0041212121212122</v>
      </c>
      <c r="AZ20" s="82">
        <f>(AZ19/AY19)/(AZ14/AY14)</f>
        <v>1.0067783094098883</v>
      </c>
      <c r="BA20" s="82">
        <f>(BA19/AZ19)/(BA14/AZ14)</f>
        <v>0.96696585546405101</v>
      </c>
      <c r="BB20" s="82">
        <f>(BB19/BA19)/(BB14/BA14)</f>
        <v>0.93137651821862355</v>
      </c>
      <c r="BC20" s="82">
        <f>(BC19/BB19)/(BC14/BB14)</f>
        <v>0.90697674418604646</v>
      </c>
      <c r="BI20" t="s">
        <v>206</v>
      </c>
      <c r="BJ20">
        <v>133.65790498578201</v>
      </c>
      <c r="BK20">
        <v>144.66341308052401</v>
      </c>
      <c r="BL20">
        <v>165.92115951130501</v>
      </c>
      <c r="BM20">
        <v>184.993407949881</v>
      </c>
      <c r="BN20">
        <v>206.056227652074</v>
      </c>
      <c r="BO20">
        <v>229.741908114235</v>
      </c>
      <c r="BP20">
        <v>257.405837873981</v>
      </c>
    </row>
    <row r="21" spans="2:68" x14ac:dyDescent="0.25">
      <c r="AM21" t="s">
        <v>726</v>
      </c>
      <c r="AO21" s="82">
        <f>(AO17/AN17)/(AO14/AN14)</f>
        <v>0.99274857872142952</v>
      </c>
      <c r="AP21" s="82">
        <f t="shared" ref="AP21:BC21" si="1">(AP17/AO17)/(AP14/AO14)</f>
        <v>0.98825695657892276</v>
      </c>
      <c r="AQ21" s="82">
        <f t="shared" si="1"/>
        <v>0.98232396406838596</v>
      </c>
      <c r="AR21" s="82">
        <f t="shared" si="1"/>
        <v>0.98264462809917363</v>
      </c>
      <c r="AS21" s="82">
        <f t="shared" si="1"/>
        <v>0.97605436991869909</v>
      </c>
      <c r="AT21" s="82">
        <f>(AT17/AN17)/(AT14/AN14)</f>
        <v>0.98515370449072126</v>
      </c>
      <c r="AU21" s="82">
        <f t="shared" si="1"/>
        <v>0.97718564959944276</v>
      </c>
      <c r="AV21" s="82">
        <f t="shared" si="1"/>
        <v>0.98298196596393184</v>
      </c>
      <c r="AW21" s="82">
        <f t="shared" si="1"/>
        <v>0.9700182398540812</v>
      </c>
      <c r="AX21" s="82">
        <f t="shared" si="1"/>
        <v>0.97992794647452386</v>
      </c>
      <c r="AY21" s="82">
        <f>(AY17/AN17)/(AY14/AN14)</f>
        <v>0.99018315018315028</v>
      </c>
      <c r="AZ21" s="82">
        <f t="shared" si="1"/>
        <v>0.98362658846529805</v>
      </c>
      <c r="BA21" s="82">
        <f t="shared" si="1"/>
        <v>0.98334010564811047</v>
      </c>
      <c r="BB21" s="82">
        <f t="shared" si="1"/>
        <v>0.95402097902097904</v>
      </c>
      <c r="BC21" s="82">
        <f t="shared" si="1"/>
        <v>0.96862745098039216</v>
      </c>
      <c r="BI21" t="s">
        <v>200</v>
      </c>
      <c r="BJ21">
        <v>6.25</v>
      </c>
      <c r="BK21">
        <v>6.25</v>
      </c>
      <c r="BL21">
        <v>6.25</v>
      </c>
      <c r="BM21">
        <v>6.25</v>
      </c>
      <c r="BN21">
        <v>6.25</v>
      </c>
      <c r="BO21">
        <v>6.25</v>
      </c>
      <c r="BP21">
        <v>6.25</v>
      </c>
    </row>
    <row r="22" spans="2:68" x14ac:dyDescent="0.25">
      <c r="T22" t="s">
        <v>727</v>
      </c>
      <c r="U22" t="s">
        <v>728</v>
      </c>
      <c r="AM22" t="s">
        <v>727</v>
      </c>
      <c r="AN22" t="s">
        <v>728</v>
      </c>
      <c r="BI22" t="s">
        <v>729</v>
      </c>
      <c r="BJ22">
        <v>55.690793744075798</v>
      </c>
      <c r="BK22">
        <v>60.276422116885101</v>
      </c>
      <c r="BL22">
        <v>69.133816463043999</v>
      </c>
      <c r="BM22">
        <v>77.080586645783796</v>
      </c>
      <c r="BN22">
        <v>85.856761521697706</v>
      </c>
      <c r="BO22">
        <v>95.725795047598098</v>
      </c>
      <c r="BP22">
        <v>107.252432447492</v>
      </c>
    </row>
    <row r="23" spans="2:68" x14ac:dyDescent="0.25">
      <c r="B23" t="s">
        <v>730</v>
      </c>
      <c r="D23" s="323">
        <f>(D14/C14)^(1/(D13-C13))-1</f>
        <v>5.4847863469976943E-2</v>
      </c>
      <c r="E23" s="323">
        <f>(E14/D14)^(1/(E13-D13))-1</f>
        <v>1.2618670784016128E-2</v>
      </c>
      <c r="F23" s="323">
        <f>(F14/E14)^(1/(F13-E13))-1</f>
        <v>9.0430634103768615E-3</v>
      </c>
      <c r="G23" s="323">
        <f>(G14/F14)^(1/(G13-F13))-1</f>
        <v>6.4308394975671757E-3</v>
      </c>
      <c r="H23" s="323">
        <f>(H14/G14)^(1/(H13-G13))-1</f>
        <v>4.5617707655429829E-3</v>
      </c>
      <c r="I23" s="323">
        <f>(I14/C14)^(1/(I13-C13))-1</f>
        <v>6.3595389637669753E-2</v>
      </c>
      <c r="J23" s="323">
        <f>(J14/I14)^(1/(J13-I13))-1</f>
        <v>2.1276471530135677E-2</v>
      </c>
      <c r="K23" s="323">
        <f>(K14/J14)^(1/(K13-J13))-1</f>
        <v>1.5116065773516763E-2</v>
      </c>
      <c r="L23" s="323">
        <f>(L14/K14)^(1/(L13-K13))-1</f>
        <v>1.1064300287287665E-2</v>
      </c>
      <c r="M23" s="323">
        <f>(M14/L14)^(1/(M13-L13))-1</f>
        <v>8.0478560007939404E-3</v>
      </c>
      <c r="N23" s="323">
        <f>(N14/C14)^(1/(N13-C13))-1</f>
        <v>4.4297263758155792E-2</v>
      </c>
      <c r="O23" s="323">
        <f>(O14/N14)^(1/(O13-N13))-1</f>
        <v>0</v>
      </c>
      <c r="P23" s="323">
        <f>(P14/O14)^(1/(P13-O13))-1</f>
        <v>0</v>
      </c>
      <c r="Q23" s="323">
        <f>(Q14/P14)^(1/(Q13-P13))-1</f>
        <v>0</v>
      </c>
      <c r="R23" s="323">
        <f>(R14/Q14)^(1/(R13-Q13))-1</f>
        <v>0</v>
      </c>
      <c r="T23" s="328">
        <f>C14/I10-1</f>
        <v>0.27831598569580707</v>
      </c>
      <c r="U23" s="328">
        <f>U14*[11]Deflator!U20/[11]Deflator!V20/C14-1</f>
        <v>0.34109185113451201</v>
      </c>
      <c r="V23" s="323">
        <f>(V14/U14)^(1/(V13-U13))-1</f>
        <v>1.8970074044000862E-2</v>
      </c>
      <c r="W23" s="323">
        <f>(W14/V14)^(1/(W13-V13))-1</f>
        <v>5.962944044239471E-3</v>
      </c>
      <c r="X23" s="323">
        <f>(X14/W14)^(1/(X13-W13))-1</f>
        <v>3.9848515148914743E-3</v>
      </c>
      <c r="Y23" s="323">
        <f>(Y14/X14)^(1/(Y13-X13))-1</f>
        <v>2.773741429406007E-3</v>
      </c>
      <c r="Z23" s="323">
        <f>(Z14/Y14)^(1/(Z13-Y13))-1</f>
        <v>2.2551775519457085E-3</v>
      </c>
      <c r="AA23" s="323">
        <f>(AA14/U14)^(1/(AA13-U13))-1</f>
        <v>2.4200203441211432E-2</v>
      </c>
      <c r="AB23" s="323">
        <f>(AB14/AA14)^(1/(AB13-AA13))-1</f>
        <v>1.6190173044798639E-2</v>
      </c>
      <c r="AC23" s="323">
        <f>(AC14/AB14)^(1/(AC13-AB13))-1</f>
        <v>1.1129093467930451E-2</v>
      </c>
      <c r="AD23" s="323">
        <f>(AD14/AC14)^(1/(AD13-AC13))-1</f>
        <v>7.9835969709516341E-3</v>
      </c>
      <c r="AE23" s="323">
        <f>(AE14/AD14)^(1/(AE13-AD13))-1</f>
        <v>5.4678712507574279E-3</v>
      </c>
      <c r="AF23" s="323">
        <f>(AF14/U14)^(1/(AF13-U13))-1</f>
        <v>1.7429343745218651E-2</v>
      </c>
      <c r="AG23" s="323">
        <f>(AG14/AF14)^(1/(AG13-AF13))-1</f>
        <v>-3.4935352041365331E-3</v>
      </c>
      <c r="AH23" s="323">
        <f>(AH14/AG14)^(1/(AH13-AG13))-1</f>
        <v>-7.5263888527359324E-3</v>
      </c>
      <c r="AI23" s="323">
        <f>(AI14/AH14)^(1/(AI13-AH13))-1</f>
        <v>-8.1993553946574371E-3</v>
      </c>
      <c r="AJ23" s="323">
        <f>(AJ14/AI14)^(1/(AJ13-AI13))-1</f>
        <v>-9.1437259266209381E-3</v>
      </c>
      <c r="AM23" s="328" t="e">
        <f>V14/AB10-1</f>
        <v>#DIV/0!</v>
      </c>
      <c r="AN23" s="328" t="e">
        <f>AN14*[11]Deflator!AN20/[11]Deflator!AO20/V14-1</f>
        <v>#DIV/0!</v>
      </c>
      <c r="AO23" s="323">
        <f>(AO14/AN14)^(1/(AO13-AN13))-1</f>
        <v>4.5662733738802697E-3</v>
      </c>
      <c r="AP23" s="323">
        <f>(AP14/AO14)^(1/(AP13-AO13))-1</f>
        <v>4.4844848921270497E-3</v>
      </c>
      <c r="AQ23" s="323">
        <f>(AQ14/AP14)^(1/(AQ13-AP13))-1</f>
        <v>5.2542297827959938E-3</v>
      </c>
      <c r="AR23" s="323">
        <f>(AR14/AQ14)^(1/(AR13-AQ13))-1</f>
        <v>8.4757887127040465E-3</v>
      </c>
      <c r="AS23" s="323">
        <f>(AS14/AR14)^(1/(AS13-AR13))-1</f>
        <v>1.1311439625934394E-2</v>
      </c>
      <c r="AT23" s="323">
        <f>(AT14/AN14)^(1/(AT13-AN13))-1</f>
        <v>1.2458812268670849E-2</v>
      </c>
      <c r="AU23" s="323">
        <f>(AU14/AT14)^(1/(AU13-AT13))-1</f>
        <v>1.1869558861851592E-2</v>
      </c>
      <c r="AV23" s="323">
        <f>(AV14/AU14)^(1/(AV13-AU13))-1</f>
        <v>1.1403599651385044E-2</v>
      </c>
      <c r="AW23" s="323">
        <f>(AW14/AV14)^(1/(AW13-AV13))-1</f>
        <v>1.3787746070069717E-2</v>
      </c>
      <c r="AX23" s="323">
        <f>(AX14/AW14)^(1/(AX13-AW13))-1</f>
        <v>1.2898245280189125E-2</v>
      </c>
      <c r="AY23" s="323">
        <f>(AY14/AN14)^(1/(AY13-AN13))-1</f>
        <v>1.1454763737035467E-3</v>
      </c>
      <c r="AZ23" s="323">
        <f>(AZ14/AY14)^(1/(AZ13-AY13))-1</f>
        <v>1.140253818557202E-3</v>
      </c>
      <c r="BA23" s="323">
        <f>(BA14/AZ14)^(1/(BA13-AZ13))-1</f>
        <v>-5.5150422735510407E-3</v>
      </c>
      <c r="BB23" s="323">
        <f>(BB14/BA14)^(1/(BB13-BA13))-1</f>
        <v>-5.6714433615395743E-3</v>
      </c>
      <c r="BC23" s="323">
        <f>(BC14/BB14)^(1/(BC13-BB13))-1</f>
        <v>-7.8134576287804958E-3</v>
      </c>
      <c r="BI23" t="s">
        <v>731</v>
      </c>
      <c r="BJ23">
        <f>SUMIF($BJ$61:$CO$61,BJ$17,$BJ62:$CO62)</f>
        <v>68.779678025794695</v>
      </c>
      <c r="BK23">
        <f t="shared" ref="BK23:BP23" si="2">SUMIF($BJ$61:$CO$61,BK$17,$BJ62:$CO62)</f>
        <v>73.365306398604005</v>
      </c>
      <c r="BL23">
        <f t="shared" si="2"/>
        <v>82.222700744763003</v>
      </c>
      <c r="BM23">
        <f t="shared" si="2"/>
        <v>90.169470927502701</v>
      </c>
      <c r="BN23">
        <f t="shared" si="2"/>
        <v>98.945645803416596</v>
      </c>
      <c r="BO23">
        <f t="shared" si="2"/>
        <v>108.814679329317</v>
      </c>
      <c r="BP23">
        <f t="shared" si="2"/>
        <v>120.341316729211</v>
      </c>
    </row>
    <row r="24" spans="2:68" x14ac:dyDescent="0.25">
      <c r="D24" s="329">
        <f>AVERAGE(D23:H23)</f>
        <v>1.7500441585496018E-2</v>
      </c>
      <c r="I24" s="329">
        <f>AVERAGE(I23:M23)</f>
        <v>2.3820016645880758E-2</v>
      </c>
      <c r="N24" s="329">
        <f>AVERAGE(N23:R23)</f>
        <v>8.8594527516311587E-3</v>
      </c>
      <c r="V24" s="329">
        <f>AVERAGE(V23:Z23)</f>
        <v>6.7893577168967045E-3</v>
      </c>
      <c r="AA24" s="329">
        <f>AVERAGE(AA23:AE23)</f>
        <v>1.2994187635129916E-2</v>
      </c>
      <c r="AF24" s="329">
        <f>AVERAGE(AF23:AJ23)</f>
        <v>-2.1867323265864378E-3</v>
      </c>
      <c r="AO24" s="329">
        <f>AVERAGE(AO23:AS23)</f>
        <v>6.8184432774883504E-3</v>
      </c>
      <c r="AT24" s="329">
        <f>AVERAGE(AT23:AX23)</f>
        <v>1.2483592426433265E-2</v>
      </c>
      <c r="AY24" s="329">
        <f>AVERAGE(AY23:BC23)</f>
        <v>-3.3428426143220723E-3</v>
      </c>
      <c r="BI24" t="s">
        <v>732</v>
      </c>
      <c r="BJ24">
        <f t="shared" ref="BJ24:BP27" si="3">SUMIF($BJ$61:$CO$61,BJ$17,$BJ63:$CO63)</f>
        <v>57.641519276979601</v>
      </c>
      <c r="BK24">
        <f t="shared" si="3"/>
        <v>61.310021975227002</v>
      </c>
      <c r="BL24">
        <f t="shared" si="3"/>
        <v>68.395937452154101</v>
      </c>
      <c r="BM24">
        <f t="shared" si="3"/>
        <v>74.753353598345996</v>
      </c>
      <c r="BN24">
        <f t="shared" si="3"/>
        <v>81.774293499077103</v>
      </c>
      <c r="BO24">
        <f t="shared" si="3"/>
        <v>89.6695203197974</v>
      </c>
      <c r="BP24">
        <f t="shared" si="3"/>
        <v>98.890830239712699</v>
      </c>
    </row>
    <row r="25" spans="2:68" x14ac:dyDescent="0.25">
      <c r="I25" s="329">
        <f>I24-D24</f>
        <v>6.3195750603847398E-3</v>
      </c>
      <c r="N25" s="329">
        <f>D24-N24</f>
        <v>8.6409888338648596E-3</v>
      </c>
      <c r="AA25" s="329">
        <f>AA24-V24</f>
        <v>6.2048299182332119E-3</v>
      </c>
      <c r="AF25" s="329">
        <f>V24-AF24</f>
        <v>8.9760900434831432E-3</v>
      </c>
      <c r="AT25" s="329">
        <f>AT24-AO24</f>
        <v>5.665149148944915E-3</v>
      </c>
      <c r="AY25" s="329">
        <f>AO24-AY24</f>
        <v>1.0161285891810423E-2</v>
      </c>
      <c r="BI25" t="s">
        <v>733</v>
      </c>
      <c r="BJ25">
        <f t="shared" si="3"/>
        <v>98.858897655040195</v>
      </c>
      <c r="BK25">
        <f t="shared" si="3"/>
        <v>101.61027467872501</v>
      </c>
      <c r="BL25">
        <f t="shared" si="3"/>
        <v>106.924711286421</v>
      </c>
      <c r="BM25">
        <f t="shared" si="3"/>
        <v>111.69277339606499</v>
      </c>
      <c r="BN25">
        <f t="shared" si="3"/>
        <v>116.958478321613</v>
      </c>
      <c r="BO25">
        <f t="shared" si="3"/>
        <v>122.879898437153</v>
      </c>
      <c r="BP25">
        <f t="shared" si="3"/>
        <v>129.79588087709001</v>
      </c>
    </row>
    <row r="26" spans="2:68" x14ac:dyDescent="0.25">
      <c r="B26" t="s">
        <v>721</v>
      </c>
      <c r="D26" s="330">
        <f t="shared" ref="D26:H29" si="4">D16/C16-1</f>
        <v>0.36363636363636354</v>
      </c>
      <c r="E26" s="330">
        <f t="shared" si="4"/>
        <v>0.1166666666666667</v>
      </c>
      <c r="F26" s="330">
        <f t="shared" si="4"/>
        <v>8.9552238805970186E-2</v>
      </c>
      <c r="G26" s="330">
        <f t="shared" si="4"/>
        <v>8.2191780821917915E-2</v>
      </c>
      <c r="H26" s="330">
        <f t="shared" si="4"/>
        <v>8.8607594936708667E-2</v>
      </c>
      <c r="I26" s="330">
        <f>I16/C16-1</f>
        <v>0.38636363636363624</v>
      </c>
      <c r="J26" s="330">
        <f t="shared" ref="J26:M29" si="5">J16/I16-1</f>
        <v>0.14754098360655754</v>
      </c>
      <c r="K26" s="330">
        <f t="shared" si="5"/>
        <v>0.10000000000000009</v>
      </c>
      <c r="L26" s="330">
        <f t="shared" si="5"/>
        <v>9.0909090909090828E-2</v>
      </c>
      <c r="M26" s="330">
        <f t="shared" si="5"/>
        <v>7.1428571428571397E-2</v>
      </c>
      <c r="N26" s="330">
        <f>N16/C16-1</f>
        <v>0.34090909090909083</v>
      </c>
      <c r="O26" s="330">
        <f t="shared" ref="O26:R29" si="6">O16/N16-1</f>
        <v>0.10169491525423724</v>
      </c>
      <c r="P26" s="330">
        <f t="shared" si="6"/>
        <v>0.23076923076923084</v>
      </c>
      <c r="Q26" s="330">
        <f t="shared" si="6"/>
        <v>5.0000000000000044E-2</v>
      </c>
      <c r="R26" s="330">
        <f t="shared" si="6"/>
        <v>-7.1428571428571508E-2</v>
      </c>
      <c r="V26" s="330">
        <f t="shared" ref="V26:Z29" si="7">V16/U16-1</f>
        <v>0.12195121951219523</v>
      </c>
      <c r="W26" s="330">
        <f t="shared" si="7"/>
        <v>0.17391304347826098</v>
      </c>
      <c r="X26" s="330">
        <f t="shared" si="7"/>
        <v>0.16666666666666652</v>
      </c>
      <c r="Y26" s="330">
        <f t="shared" si="7"/>
        <v>0.12698412698412698</v>
      </c>
      <c r="Z26" s="330">
        <f t="shared" si="7"/>
        <v>0.12676056338028174</v>
      </c>
      <c r="AA26" s="330">
        <f>AA16/U16-1</f>
        <v>0.12195121951219523</v>
      </c>
      <c r="AB26" s="330">
        <f t="shared" ref="AB26:AE29" si="8">AB16/AA16-1</f>
        <v>0.19565217391304368</v>
      </c>
      <c r="AC26" s="330">
        <f t="shared" si="8"/>
        <v>0.1636363636363638</v>
      </c>
      <c r="AD26" s="330">
        <f t="shared" si="8"/>
        <v>0.125</v>
      </c>
      <c r="AE26" s="330">
        <f t="shared" si="8"/>
        <v>0.11111111111111116</v>
      </c>
      <c r="AF26" s="330">
        <f>AF16/U16-1</f>
        <v>7.317073170731736E-2</v>
      </c>
      <c r="AG26" s="330">
        <f t="shared" ref="AG26:AJ29" si="9">AG16/AF16-1</f>
        <v>0.25</v>
      </c>
      <c r="AH26" s="330">
        <f t="shared" si="9"/>
        <v>0.25454545454545463</v>
      </c>
      <c r="AI26" s="330">
        <f t="shared" si="9"/>
        <v>0.10144927536231862</v>
      </c>
      <c r="AJ26" s="330">
        <f t="shared" si="9"/>
        <v>0</v>
      </c>
      <c r="AO26" s="330">
        <f t="shared" ref="AO26:AS29" si="10">AO16/AN16-1</f>
        <v>0.33333333333333304</v>
      </c>
      <c r="AP26" s="330">
        <f t="shared" si="10"/>
        <v>0.41666666666666674</v>
      </c>
      <c r="AQ26" s="330">
        <f t="shared" si="10"/>
        <v>9.8039215686274606E-2</v>
      </c>
      <c r="AR26" s="330">
        <f t="shared" si="10"/>
        <v>7.1428571428571397E-2</v>
      </c>
      <c r="AS26" s="330">
        <f t="shared" si="10"/>
        <v>0.1333333333333333</v>
      </c>
      <c r="AT26" s="330">
        <f>AT16/AN16-1</f>
        <v>0.3472222222222221</v>
      </c>
      <c r="AU26" s="330">
        <f t="shared" ref="AU26:AX29" si="11">AU16/AT16-1</f>
        <v>0.42955326460481102</v>
      </c>
      <c r="AV26" s="330">
        <f t="shared" si="11"/>
        <v>0.11538461538461542</v>
      </c>
      <c r="AW26" s="330">
        <f t="shared" si="11"/>
        <v>6.8965517241379448E-2</v>
      </c>
      <c r="AX26" s="330">
        <f t="shared" si="11"/>
        <v>0.11290322580645173</v>
      </c>
      <c r="AY26" s="330">
        <f>AY16/AN16-1</f>
        <v>0.29166666666666652</v>
      </c>
      <c r="AZ26" s="330">
        <f t="shared" ref="AZ26:BC29" si="12">AZ16/AY16-1</f>
        <v>0.37634408602150549</v>
      </c>
      <c r="BA26" s="330">
        <f t="shared" si="12"/>
        <v>0.12500000000000022</v>
      </c>
      <c r="BB26" s="330">
        <f t="shared" si="12"/>
        <v>5.555555555555558E-2</v>
      </c>
      <c r="BC26" s="330">
        <f t="shared" si="12"/>
        <v>3.5087719298245723E-2</v>
      </c>
      <c r="BI26" t="s">
        <v>734</v>
      </c>
      <c r="BJ26">
        <f t="shared" si="3"/>
        <v>69.726846827097404</v>
      </c>
      <c r="BK26">
        <f t="shared" si="3"/>
        <v>74.862750604643693</v>
      </c>
      <c r="BL26">
        <f t="shared" si="3"/>
        <v>84.783032272341799</v>
      </c>
      <c r="BM26">
        <f t="shared" si="3"/>
        <v>93.683414877010307</v>
      </c>
      <c r="BN26">
        <f t="shared" si="3"/>
        <v>103.512730738033</v>
      </c>
      <c r="BO26">
        <f t="shared" si="3"/>
        <v>114.56604828704199</v>
      </c>
      <c r="BP26">
        <f t="shared" si="3"/>
        <v>127.475882174923</v>
      </c>
    </row>
    <row r="27" spans="2:68" x14ac:dyDescent="0.25">
      <c r="B27" t="s">
        <v>722</v>
      </c>
      <c r="D27" s="330">
        <f t="shared" si="4"/>
        <v>0.28000000000000003</v>
      </c>
      <c r="E27" s="330">
        <f t="shared" si="4"/>
        <v>8.3333333333333481E-2</v>
      </c>
      <c r="F27" s="330">
        <f t="shared" si="4"/>
        <v>6.7307692307692291E-2</v>
      </c>
      <c r="G27" s="330">
        <f t="shared" si="4"/>
        <v>5.4054054054053946E-2</v>
      </c>
      <c r="H27" s="330">
        <f t="shared" si="4"/>
        <v>3.4188034188034289E-2</v>
      </c>
      <c r="I27" s="330">
        <f>I17/C17-1</f>
        <v>0.30666666666666687</v>
      </c>
      <c r="J27" s="330">
        <f t="shared" si="5"/>
        <v>0.12244897959183665</v>
      </c>
      <c r="K27" s="330">
        <f t="shared" si="5"/>
        <v>8.181818181818179E-2</v>
      </c>
      <c r="L27" s="330">
        <f t="shared" si="5"/>
        <v>5.8823529411764719E-2</v>
      </c>
      <c r="M27" s="330">
        <f t="shared" si="5"/>
        <v>3.1746031746031855E-2</v>
      </c>
      <c r="N27" s="330">
        <f>N17/C17-1</f>
        <v>0.25333333333333341</v>
      </c>
      <c r="O27" s="330">
        <f t="shared" si="6"/>
        <v>4.2553191489361764E-2</v>
      </c>
      <c r="P27" s="330">
        <f t="shared" si="6"/>
        <v>0</v>
      </c>
      <c r="Q27" s="330">
        <f t="shared" si="6"/>
        <v>-1.0204081632653184E-2</v>
      </c>
      <c r="R27" s="330">
        <f t="shared" si="6"/>
        <v>-3.0927835051546282E-2</v>
      </c>
      <c r="V27" s="330">
        <f t="shared" si="7"/>
        <v>0.14583333333333348</v>
      </c>
      <c r="W27" s="330">
        <f t="shared" si="7"/>
        <v>4.5454545454545414E-2</v>
      </c>
      <c r="X27" s="330">
        <f t="shared" si="7"/>
        <v>3.4782608695652195E-2</v>
      </c>
      <c r="Y27" s="330">
        <f t="shared" si="7"/>
        <v>2.5210084033613356E-2</v>
      </c>
      <c r="Z27" s="330">
        <f t="shared" si="7"/>
        <v>2.4590163934426368E-2</v>
      </c>
      <c r="AA27" s="330">
        <f>AA17/U17-1</f>
        <v>0.15625</v>
      </c>
      <c r="AB27" s="330">
        <f t="shared" si="8"/>
        <v>9.0090090090090058E-2</v>
      </c>
      <c r="AC27" s="330">
        <f t="shared" si="8"/>
        <v>6.6115702479338845E-2</v>
      </c>
      <c r="AD27" s="330">
        <f t="shared" si="8"/>
        <v>3.8759689922480689E-2</v>
      </c>
      <c r="AE27" s="330">
        <f t="shared" si="8"/>
        <v>2.2388059701492491E-2</v>
      </c>
      <c r="AF27" s="330">
        <f>AF17/U17-1</f>
        <v>0.13541666666666674</v>
      </c>
      <c r="AG27" s="330">
        <f t="shared" si="9"/>
        <v>-9.1743119266054496E-3</v>
      </c>
      <c r="AH27" s="330">
        <f t="shared" si="9"/>
        <v>-3.703703703703709E-2</v>
      </c>
      <c r="AI27" s="330">
        <f t="shared" si="9"/>
        <v>-3.8461538461538547E-2</v>
      </c>
      <c r="AJ27" s="330">
        <f t="shared" si="9"/>
        <v>-4.0000000000000036E-2</v>
      </c>
      <c r="AO27" s="330">
        <f t="shared" si="10"/>
        <v>6.4102564102566095E-3</v>
      </c>
      <c r="AP27" s="330">
        <f t="shared" si="10"/>
        <v>1.0615711252653925E-2</v>
      </c>
      <c r="AQ27" s="330">
        <f t="shared" si="10"/>
        <v>8.4033613445377853E-3</v>
      </c>
      <c r="AR27" s="330">
        <f t="shared" si="10"/>
        <v>2.5000000000000133E-2</v>
      </c>
      <c r="AS27" s="330">
        <f t="shared" si="10"/>
        <v>3.2520325203251987E-2</v>
      </c>
      <c r="AT27" s="330">
        <f>AT17/AN17-1</f>
        <v>2.2435897435897578E-2</v>
      </c>
      <c r="AU27" s="330">
        <f t="shared" si="11"/>
        <v>3.6572622779519337E-2</v>
      </c>
      <c r="AV27" s="330">
        <f t="shared" si="11"/>
        <v>4.0322580645161255E-2</v>
      </c>
      <c r="AW27" s="330">
        <f t="shared" si="11"/>
        <v>3.8759689922480689E-2</v>
      </c>
      <c r="AX27" s="330">
        <f t="shared" si="11"/>
        <v>4.4776119402984982E-2</v>
      </c>
      <c r="AY27" s="330">
        <f>AY17/AN17-1</f>
        <v>-6.4102564102563875E-3</v>
      </c>
      <c r="AZ27" s="330">
        <f t="shared" si="12"/>
        <v>-1.0752688172043001E-2</v>
      </c>
      <c r="BA27" s="330">
        <f t="shared" si="12"/>
        <v>-4.3478260869565188E-2</v>
      </c>
      <c r="BB27" s="330">
        <f t="shared" si="12"/>
        <v>-7.2727272727272751E-2</v>
      </c>
      <c r="BC27" s="330">
        <f t="shared" si="12"/>
        <v>-6.8627450980392135E-2</v>
      </c>
      <c r="BI27" t="s">
        <v>266</v>
      </c>
      <c r="BJ27">
        <f t="shared" si="3"/>
        <v>72.5910425278975</v>
      </c>
      <c r="BK27">
        <f t="shared" si="3"/>
        <v>77.726946305443803</v>
      </c>
      <c r="BL27">
        <f t="shared" si="3"/>
        <v>87.647227973141895</v>
      </c>
      <c r="BM27">
        <f t="shared" si="3"/>
        <v>96.547610577810403</v>
      </c>
      <c r="BN27">
        <f t="shared" si="3"/>
        <v>106.376926438834</v>
      </c>
      <c r="BO27">
        <f t="shared" si="3"/>
        <v>117.430243987842</v>
      </c>
      <c r="BP27">
        <f t="shared" si="3"/>
        <v>130.34007787572301</v>
      </c>
    </row>
    <row r="28" spans="2:68" x14ac:dyDescent="0.25">
      <c r="B28" t="s">
        <v>723</v>
      </c>
      <c r="D28" s="330">
        <f t="shared" si="4"/>
        <v>0.10909090909090913</v>
      </c>
      <c r="E28" s="330">
        <f t="shared" si="4"/>
        <v>5.7377049180328044E-2</v>
      </c>
      <c r="F28" s="330">
        <f t="shared" si="4"/>
        <v>3.8759689922480689E-2</v>
      </c>
      <c r="G28" s="330">
        <f t="shared" si="4"/>
        <v>3.7313432835820892E-2</v>
      </c>
      <c r="H28" s="330">
        <f t="shared" si="4"/>
        <v>2.877697841726623E-2</v>
      </c>
      <c r="I28" s="330">
        <f>I18/C18-1</f>
        <v>0.15454545454545454</v>
      </c>
      <c r="J28" s="330">
        <f t="shared" si="5"/>
        <v>6.2992125984252079E-2</v>
      </c>
      <c r="K28" s="330">
        <f t="shared" si="5"/>
        <v>5.1851851851851816E-2</v>
      </c>
      <c r="L28" s="330">
        <f t="shared" si="5"/>
        <v>4.2253521126760729E-2</v>
      </c>
      <c r="M28" s="330">
        <f t="shared" si="5"/>
        <v>2.7027027027026973E-2</v>
      </c>
      <c r="N28" s="330">
        <f>N18/C18-1</f>
        <v>8.181818181818179E-2</v>
      </c>
      <c r="O28" s="330">
        <f t="shared" si="6"/>
        <v>8.4033613445377853E-3</v>
      </c>
      <c r="P28" s="330">
        <f t="shared" si="6"/>
        <v>0</v>
      </c>
      <c r="Q28" s="330">
        <f t="shared" si="6"/>
        <v>8.3333333333333037E-3</v>
      </c>
      <c r="R28" s="330">
        <f t="shared" si="6"/>
        <v>0</v>
      </c>
      <c r="V28" s="330">
        <f t="shared" si="7"/>
        <v>1.3513513513513375E-2</v>
      </c>
      <c r="W28" s="330">
        <f t="shared" si="7"/>
        <v>-4.6666666666666634E-2</v>
      </c>
      <c r="X28" s="330">
        <f t="shared" si="7"/>
        <v>1.3986013986013957E-2</v>
      </c>
      <c r="Y28" s="330">
        <f t="shared" si="7"/>
        <v>1.379310344827589E-2</v>
      </c>
      <c r="Z28" s="330">
        <f t="shared" si="7"/>
        <v>6.8027210884353817E-3</v>
      </c>
      <c r="AA28" s="330">
        <f>AA18/U18-1</f>
        <v>3.3783783783783772E-2</v>
      </c>
      <c r="AB28" s="330">
        <f t="shared" si="8"/>
        <v>-3.9215686274509887E-2</v>
      </c>
      <c r="AC28" s="330">
        <f t="shared" si="8"/>
        <v>3.4013605442176909E-2</v>
      </c>
      <c r="AD28" s="330">
        <f t="shared" si="8"/>
        <v>2.6315789473684292E-2</v>
      </c>
      <c r="AE28" s="330">
        <f t="shared" si="8"/>
        <v>2.5641025641025772E-2</v>
      </c>
      <c r="AF28" s="330">
        <f>AF18/U18-1</f>
        <v>6.7567567567567988E-3</v>
      </c>
      <c r="AG28" s="330">
        <f t="shared" si="9"/>
        <v>-9.3959731543624136E-2</v>
      </c>
      <c r="AH28" s="330">
        <f t="shared" si="9"/>
        <v>-4.4444444444444398E-2</v>
      </c>
      <c r="AI28" s="330">
        <f t="shared" si="9"/>
        <v>-3.1007751937984551E-2</v>
      </c>
      <c r="AJ28" s="330">
        <f t="shared" si="9"/>
        <v>-2.4000000000000021E-2</v>
      </c>
      <c r="AO28" s="330">
        <f t="shared" si="10"/>
        <v>-5.9911242603550297E-2</v>
      </c>
      <c r="AP28" s="330">
        <f t="shared" si="10"/>
        <v>-0.10621557828481509</v>
      </c>
      <c r="AQ28" s="330">
        <f t="shared" si="10"/>
        <v>0</v>
      </c>
      <c r="AR28" s="330">
        <f t="shared" si="10"/>
        <v>1.4084507042253502E-2</v>
      </c>
      <c r="AS28" s="330">
        <f t="shared" si="10"/>
        <v>3.4722222222222321E-2</v>
      </c>
      <c r="AT28" s="330">
        <f>AT18/AN18-1</f>
        <v>-4.881656804733725E-2</v>
      </c>
      <c r="AU28" s="330">
        <f t="shared" si="11"/>
        <v>-8.5536547433903598E-2</v>
      </c>
      <c r="AV28" s="330">
        <f t="shared" si="11"/>
        <v>3.4013605442176909E-2</v>
      </c>
      <c r="AW28" s="330">
        <f t="shared" si="11"/>
        <v>4.6052631578947345E-2</v>
      </c>
      <c r="AX28" s="330">
        <f t="shared" si="11"/>
        <v>5.031446540880502E-2</v>
      </c>
      <c r="AY28" s="330">
        <f>AY18/AN18-1</f>
        <v>-7.7662721893490994E-2</v>
      </c>
      <c r="AZ28" s="330">
        <f t="shared" si="12"/>
        <v>-0.14033680834001605</v>
      </c>
      <c r="BA28" s="330">
        <f t="shared" si="12"/>
        <v>-4.4776119402985093E-2</v>
      </c>
      <c r="BB28" s="330">
        <f t="shared" si="12"/>
        <v>-4.6875000000000111E-2</v>
      </c>
      <c r="BC28" s="330">
        <f t="shared" si="12"/>
        <v>-4.0983606557377095E-2</v>
      </c>
      <c r="BI28" t="s">
        <v>735</v>
      </c>
      <c r="BJ28">
        <v>80</v>
      </c>
      <c r="BK28">
        <f t="shared" ref="BK28:BP28" si="13">BJ28</f>
        <v>80</v>
      </c>
      <c r="BL28">
        <f t="shared" si="13"/>
        <v>80</v>
      </c>
      <c r="BM28">
        <f t="shared" si="13"/>
        <v>80</v>
      </c>
      <c r="BN28">
        <f t="shared" si="13"/>
        <v>80</v>
      </c>
      <c r="BO28">
        <f t="shared" si="13"/>
        <v>80</v>
      </c>
      <c r="BP28">
        <f t="shared" si="13"/>
        <v>80</v>
      </c>
    </row>
    <row r="29" spans="2:68" x14ac:dyDescent="0.25">
      <c r="D29" s="330">
        <f t="shared" si="4"/>
        <v>4.5362903225806495E-2</v>
      </c>
      <c r="E29" s="330">
        <f t="shared" si="4"/>
        <v>2.5072324011571778E-2</v>
      </c>
      <c r="F29" s="330">
        <f t="shared" si="4"/>
        <v>1.6933207902163572E-2</v>
      </c>
      <c r="G29" s="330">
        <f t="shared" si="4"/>
        <v>1.1100832562442209E-2</v>
      </c>
      <c r="H29" s="330">
        <f t="shared" si="4"/>
        <v>6.4043915827995956E-3</v>
      </c>
      <c r="I29" s="330">
        <f>I19/C19-1</f>
        <v>5.4435483870967749E-2</v>
      </c>
      <c r="J29" s="330">
        <f t="shared" si="5"/>
        <v>4.2065009560229516E-2</v>
      </c>
      <c r="K29" s="330">
        <f t="shared" si="5"/>
        <v>3.4862385321100975E-2</v>
      </c>
      <c r="L29" s="330">
        <f t="shared" si="5"/>
        <v>2.7482269503546153E-2</v>
      </c>
      <c r="M29" s="330">
        <f t="shared" si="5"/>
        <v>2.1570319240724833E-2</v>
      </c>
      <c r="N29" s="330">
        <f>N19/C19-1</f>
        <v>1.1088709677419262E-2</v>
      </c>
      <c r="O29" s="330">
        <f t="shared" si="6"/>
        <v>-6.9790628115653064E-2</v>
      </c>
      <c r="P29" s="330">
        <f t="shared" si="6"/>
        <v>-0.10825294748124326</v>
      </c>
      <c r="Q29" s="330">
        <f t="shared" si="6"/>
        <v>-0.11418269230769229</v>
      </c>
      <c r="R29" s="330">
        <f t="shared" si="6"/>
        <v>-8.1411126187245553E-2</v>
      </c>
      <c r="V29" s="330">
        <f t="shared" si="7"/>
        <v>-0.12074554294975692</v>
      </c>
      <c r="W29" s="330">
        <f t="shared" si="7"/>
        <v>3.2258064516129004E-2</v>
      </c>
      <c r="X29" s="330">
        <f t="shared" si="7"/>
        <v>8.9285714285713969E-3</v>
      </c>
      <c r="Y29" s="330">
        <f t="shared" si="7"/>
        <v>8.8495575221239076E-3</v>
      </c>
      <c r="Z29" s="330">
        <f t="shared" si="7"/>
        <v>8.7719298245614308E-3</v>
      </c>
      <c r="AA29" s="330">
        <f>AA19/U19-1</f>
        <v>-0.10858995137763372</v>
      </c>
      <c r="AB29" s="330">
        <f t="shared" si="8"/>
        <v>4.5454545454545414E-2</v>
      </c>
      <c r="AC29" s="330">
        <f t="shared" si="8"/>
        <v>3.6521739130434883E-2</v>
      </c>
      <c r="AD29" s="330">
        <f t="shared" si="8"/>
        <v>2.7684563758389347E-2</v>
      </c>
      <c r="AE29" s="330">
        <f t="shared" si="8"/>
        <v>2.0408163265306145E-2</v>
      </c>
      <c r="AF29" s="330">
        <f>AF19/U19-1</f>
        <v>-0.14667747163695311</v>
      </c>
      <c r="AG29" s="330">
        <f t="shared" si="9"/>
        <v>-7.407407407407407E-2</v>
      </c>
      <c r="AH29" s="330">
        <f t="shared" si="9"/>
        <v>-8.7179487179487203E-2</v>
      </c>
      <c r="AI29" s="330">
        <f t="shared" si="9"/>
        <v>-0.1235955056179775</v>
      </c>
      <c r="AJ29" s="330">
        <f t="shared" si="9"/>
        <v>-0.10256410256410253</v>
      </c>
      <c r="AO29" s="330">
        <f t="shared" si="10"/>
        <v>2.6515151515151603E-2</v>
      </c>
      <c r="AP29" s="330">
        <f t="shared" si="10"/>
        <v>4.3050430504305126E-2</v>
      </c>
      <c r="AQ29" s="330">
        <f t="shared" si="10"/>
        <v>2.8301886792452935E-2</v>
      </c>
      <c r="AR29" s="330">
        <f t="shared" si="10"/>
        <v>9.1743119266054496E-3</v>
      </c>
      <c r="AS29" s="330">
        <f t="shared" si="10"/>
        <v>0</v>
      </c>
      <c r="AT29" s="330">
        <f>AT19/AN19-1</f>
        <v>4.924242424242431E-2</v>
      </c>
      <c r="AU29" s="330">
        <f t="shared" si="11"/>
        <v>7.8219013237063706E-2</v>
      </c>
      <c r="AV29" s="330">
        <f t="shared" si="11"/>
        <v>3.5714285714285809E-2</v>
      </c>
      <c r="AW29" s="330">
        <f t="shared" si="11"/>
        <v>1.7241379310344751E-2</v>
      </c>
      <c r="AX29" s="330">
        <f t="shared" si="11"/>
        <v>1.6949152542372836E-2</v>
      </c>
      <c r="AY29" s="330">
        <f>AY19/AN19-1</f>
        <v>7.575757575757569E-3</v>
      </c>
      <c r="AZ29" s="330">
        <f t="shared" si="12"/>
        <v>1.2531328320801949E-2</v>
      </c>
      <c r="BA29" s="330">
        <f t="shared" si="12"/>
        <v>-5.9405940594059459E-2</v>
      </c>
      <c r="BB29" s="330">
        <f t="shared" si="12"/>
        <v>-9.4736842105263119E-2</v>
      </c>
      <c r="BC29" s="330">
        <f t="shared" si="12"/>
        <v>-0.12790697674418605</v>
      </c>
    </row>
    <row r="30" spans="2:68" x14ac:dyDescent="0.25">
      <c r="C30" s="82">
        <f t="shared" ref="C30:R30" si="14">C17/C14</f>
        <v>9.6030729833546741E-2</v>
      </c>
      <c r="D30" s="82">
        <f t="shared" si="14"/>
        <v>9.4117647058823528E-2</v>
      </c>
      <c r="E30" s="82">
        <f t="shared" si="14"/>
        <v>9.5764272559852676E-2</v>
      </c>
      <c r="F30" s="82">
        <f t="shared" si="14"/>
        <v>9.7711267605633811E-2</v>
      </c>
      <c r="G30" s="82">
        <f t="shared" si="14"/>
        <v>9.9744245524296671E-2</v>
      </c>
      <c r="H30" s="82">
        <f t="shared" si="14"/>
        <v>0.10083333333333333</v>
      </c>
      <c r="I30" s="82">
        <f t="shared" si="14"/>
        <v>9.2191909689557858E-2</v>
      </c>
      <c r="J30" s="82">
        <f t="shared" si="14"/>
        <v>9.3141405588484341E-2</v>
      </c>
      <c r="K30" s="82">
        <f t="shared" si="14"/>
        <v>9.3479968578161821E-2</v>
      </c>
      <c r="L30" s="82">
        <f t="shared" si="14"/>
        <v>9.3680297397769507E-2</v>
      </c>
      <c r="M30" s="82">
        <f t="shared" si="14"/>
        <v>9.285714285714286E-2</v>
      </c>
      <c r="N30" s="82">
        <f t="shared" si="14"/>
        <v>9.6907216494845363E-2</v>
      </c>
      <c r="O30" s="82">
        <f t="shared" si="14"/>
        <v>0.10103092783505155</v>
      </c>
      <c r="P30" s="82">
        <f t="shared" si="14"/>
        <v>0.10103092783505155</v>
      </c>
      <c r="Q30" s="82">
        <f t="shared" si="14"/>
        <v>9.9999999999999992E-2</v>
      </c>
      <c r="R30" s="82">
        <f t="shared" si="14"/>
        <v>9.6907216494845363E-2</v>
      </c>
    </row>
    <row r="31" spans="2:68" ht="15.75" thickBot="1" x14ac:dyDescent="0.3">
      <c r="C31" s="82">
        <f t="shared" ref="C31:R31" si="15">C18/C14</f>
        <v>0.14084507042253522</v>
      </c>
      <c r="D31" s="82">
        <f t="shared" si="15"/>
        <v>0.11960784313725489</v>
      </c>
      <c r="E31" s="82">
        <f t="shared" si="15"/>
        <v>0.11878453038674035</v>
      </c>
      <c r="F31" s="82">
        <f t="shared" si="15"/>
        <v>0.11795774647887325</v>
      </c>
      <c r="G31" s="82">
        <f t="shared" si="15"/>
        <v>0.1184995737425405</v>
      </c>
      <c r="H31" s="82">
        <f t="shared" si="15"/>
        <v>0.11916666666666667</v>
      </c>
      <c r="I31" s="82">
        <f t="shared" si="15"/>
        <v>0.11947318908748823</v>
      </c>
      <c r="J31" s="82">
        <f t="shared" si="15"/>
        <v>0.11430990685859442</v>
      </c>
      <c r="K31" s="82">
        <f t="shared" si="15"/>
        <v>0.11154752553024351</v>
      </c>
      <c r="L31" s="82">
        <f t="shared" si="15"/>
        <v>0.1100371747211896</v>
      </c>
      <c r="M31" s="82">
        <f t="shared" si="15"/>
        <v>0.10857142857142857</v>
      </c>
      <c r="N31" s="82">
        <f t="shared" si="15"/>
        <v>0.12268041237113403</v>
      </c>
      <c r="O31" s="82">
        <f t="shared" si="15"/>
        <v>0.12371134020618557</v>
      </c>
      <c r="P31" s="82">
        <f t="shared" si="15"/>
        <v>0.12371134020618557</v>
      </c>
      <c r="Q31" s="82">
        <f t="shared" si="15"/>
        <v>0.12474226804123711</v>
      </c>
      <c r="R31" s="82">
        <f t="shared" si="15"/>
        <v>0.12474226804123711</v>
      </c>
      <c r="T31" t="s">
        <v>714</v>
      </c>
      <c r="AM31" t="s">
        <v>714</v>
      </c>
    </row>
    <row r="32" spans="2:68" x14ac:dyDescent="0.25">
      <c r="U32">
        <v>2011</v>
      </c>
      <c r="V32" s="104">
        <v>2015</v>
      </c>
      <c r="W32" s="222">
        <v>2020</v>
      </c>
      <c r="X32" s="222">
        <v>2025</v>
      </c>
      <c r="Y32" s="222">
        <v>2030</v>
      </c>
      <c r="Z32" s="223">
        <v>2035</v>
      </c>
      <c r="AA32" s="104">
        <v>2015</v>
      </c>
      <c r="AB32" s="222">
        <v>2020</v>
      </c>
      <c r="AC32" s="222">
        <v>2025</v>
      </c>
      <c r="AD32" s="222">
        <v>2030</v>
      </c>
      <c r="AE32" s="223">
        <v>2035</v>
      </c>
      <c r="AF32" s="104">
        <v>2015</v>
      </c>
      <c r="AG32" s="222">
        <v>2020</v>
      </c>
      <c r="AH32" s="222">
        <v>2025</v>
      </c>
      <c r="AI32" s="222">
        <v>2030</v>
      </c>
      <c r="AJ32" s="223">
        <v>2035</v>
      </c>
      <c r="AN32">
        <v>2011</v>
      </c>
      <c r="AO32" s="104">
        <v>2015</v>
      </c>
      <c r="AP32" s="222">
        <v>2020</v>
      </c>
      <c r="AQ32" s="222">
        <v>2025</v>
      </c>
      <c r="AR32" s="222">
        <v>2030</v>
      </c>
      <c r="AS32" s="223">
        <v>2035</v>
      </c>
      <c r="AT32" s="104">
        <v>2015</v>
      </c>
      <c r="AU32" s="222">
        <v>2020</v>
      </c>
      <c r="AV32" s="222">
        <v>2025</v>
      </c>
      <c r="AW32" s="222">
        <v>2030</v>
      </c>
      <c r="AX32" s="223">
        <v>2035</v>
      </c>
      <c r="AY32" s="104">
        <v>2015</v>
      </c>
      <c r="AZ32" s="222">
        <v>2020</v>
      </c>
      <c r="BA32" s="222">
        <v>2025</v>
      </c>
      <c r="BB32" s="222">
        <v>2030</v>
      </c>
      <c r="BC32" s="223">
        <v>2035</v>
      </c>
    </row>
    <row r="33" spans="2:55" x14ac:dyDescent="0.25">
      <c r="T33" t="str">
        <f>T14</f>
        <v>IEA crude oil imports</v>
      </c>
      <c r="U33" s="82">
        <f>U14*[11]Deflator!$U$20/[11]Deflator!$V$20</f>
        <v>104.73927357360537</v>
      </c>
      <c r="V33" s="82">
        <f>V14*[11]Deflator!$U$20/[11]Deflator!$V$20</f>
        <v>112.91594548827347</v>
      </c>
      <c r="W33" s="82">
        <f>W14*[11]Deflator!$U$20/[11]Deflator!$V$20</f>
        <v>116.32289211938516</v>
      </c>
      <c r="X33" s="82">
        <f>X14*[11]Deflator!$U$20/[11]Deflator!$V$20</f>
        <v>118.65908409500462</v>
      </c>
      <c r="Y33" s="82">
        <f>Y14*[11]Deflator!$U$20/[11]Deflator!$V$20</f>
        <v>120.31388674440171</v>
      </c>
      <c r="Z33" s="82">
        <f>Z14*[11]Deflator!$U$20/[11]Deflator!$V$20</f>
        <v>121.6766653968464</v>
      </c>
      <c r="AA33" s="82">
        <f>AA14*[11]Deflator!$U$20/[11]Deflator!$V$20</f>
        <v>115.25213746389292</v>
      </c>
      <c r="AB33" s="82">
        <f>AB14*[11]Deflator!$U$20/[11]Deflator!$V$20</f>
        <v>124.88892936332316</v>
      </c>
      <c r="AC33" s="82">
        <f>AC14*[11]Deflator!$U$20/[11]Deflator!$V$20</f>
        <v>131.99484662249898</v>
      </c>
      <c r="AD33" s="82">
        <f>AD14*[11]Deflator!$U$20/[11]Deflator!$V$20</f>
        <v>137.34861989996023</v>
      </c>
      <c r="AE33" s="82">
        <f>AE14*[11]Deflator!$U$20/[11]Deflator!$V$20</f>
        <v>141.14493186034184</v>
      </c>
      <c r="AF33" s="82">
        <f>AF14*[11]Deflator!$U$20/[11]Deflator!$V$20</f>
        <v>112.23455616205112</v>
      </c>
      <c r="AG33" s="82">
        <f>AG14*[11]Deflator!$U$20/[11]Deflator!$V$20</f>
        <v>110.28772951570159</v>
      </c>
      <c r="AH33" s="82">
        <f>AH14*[11]Deflator!$U$20/[11]Deflator!$V$20</f>
        <v>106.19939355836753</v>
      </c>
      <c r="AI33" s="82">
        <f>AI14*[11]Deflator!$U$20/[11]Deflator!$V$20</f>
        <v>101.91637493639855</v>
      </c>
      <c r="AJ33" s="82">
        <f>AJ14*[11]Deflator!$U$20/[11]Deflator!$V$20</f>
        <v>97.341332317477125</v>
      </c>
      <c r="AM33" t="str">
        <f>AM14</f>
        <v>IEA crude oil imports</v>
      </c>
      <c r="AN33" s="82">
        <f>AN14*[11]Deflator!$U$20/[11]Deflator!$V$20</f>
        <v>106.10205222605006</v>
      </c>
      <c r="AO33" s="82">
        <f>AO14*[11]Deflator!$U$20/[11]Deflator!$V$20</f>
        <v>107.56217221081222</v>
      </c>
      <c r="AP33" s="82">
        <f>AP14*[11]Deflator!$U$20/[11]Deflator!$V$20</f>
        <v>109.99570551874915</v>
      </c>
      <c r="AQ33" s="82">
        <f>AQ14*[11]Deflator!$U$20/[11]Deflator!$V$20</f>
        <v>112.91594548827347</v>
      </c>
      <c r="AR33" s="82">
        <f>AR14*[11]Deflator!$U$20/[11]Deflator!$V$20</f>
        <v>117.78301210414732</v>
      </c>
      <c r="AS33" s="82">
        <f>AS14*[11]Deflator!$U$20/[11]Deflator!$V$20</f>
        <v>124.59690536637072</v>
      </c>
      <c r="AT33" s="82">
        <f>AT14*[11]Deflator!$U$20/[11]Deflator!$V$20</f>
        <v>110.117382184146</v>
      </c>
      <c r="AU33" s="82">
        <f>AU14*[11]Deflator!$U$20/[11]Deflator!$V$20</f>
        <v>116.80959878097255</v>
      </c>
      <c r="AV33" s="82">
        <f>AV14*[11]Deflator!$U$20/[11]Deflator!$V$20</f>
        <v>123.62349204319595</v>
      </c>
      <c r="AW33" s="82">
        <f>AW14*[11]Deflator!$U$20/[11]Deflator!$V$20</f>
        <v>132.38421195176889</v>
      </c>
      <c r="AX33" s="82">
        <f>AX14*[11]Deflator!$U$20/[11]Deflator!$V$20</f>
        <v>141.14493186034184</v>
      </c>
      <c r="AY33" s="82">
        <f>AY14*[11]Deflator!$U$20/[11]Deflator!$V$20</f>
        <v>106.46708222224061</v>
      </c>
      <c r="AZ33" s="82">
        <f>AZ14*[11]Deflator!$U$20/[11]Deflator!$V$20</f>
        <v>107.07546554922483</v>
      </c>
      <c r="BA33" s="82">
        <f>BA14*[11]Deflator!$U$20/[11]Deflator!$V$20</f>
        <v>104.15522557970053</v>
      </c>
      <c r="BB33" s="82">
        <f>BB14*[11]Deflator!$U$20/[11]Deflator!$V$20</f>
        <v>101.23498561017621</v>
      </c>
      <c r="BC33" s="82">
        <f>BC14*[11]Deflator!$U$20/[11]Deflator!$V$20</f>
        <v>97.341332317477125</v>
      </c>
    </row>
    <row r="34" spans="2:55" x14ac:dyDescent="0.25">
      <c r="B34" t="s">
        <v>736</v>
      </c>
    </row>
    <row r="35" spans="2:55" x14ac:dyDescent="0.25">
      <c r="C35" t="s">
        <v>615</v>
      </c>
      <c r="D35" t="s">
        <v>737</v>
      </c>
      <c r="E35" t="s">
        <v>738</v>
      </c>
      <c r="F35" t="s">
        <v>739</v>
      </c>
      <c r="T35" t="str">
        <f>T16</f>
        <v>United States Mbtu</v>
      </c>
      <c r="U35" s="82">
        <f>U16*[11]Deflator!$U$20/[11]Deflator!$V$20</f>
        <v>3.9909946250165618</v>
      </c>
      <c r="V35" s="82">
        <f>V16*[11]Deflator!$U$20/[11]Deflator!$V$20</f>
        <v>4.4777012866039474</v>
      </c>
      <c r="W35" s="82">
        <f>W16*[11]Deflator!$U$20/[11]Deflator!$V$20</f>
        <v>5.2564319451437651</v>
      </c>
      <c r="X35" s="82">
        <f>X16*[11]Deflator!$U$20/[11]Deflator!$V$20</f>
        <v>6.1325039360010587</v>
      </c>
      <c r="Y35" s="82">
        <f>Y16*[11]Deflator!$U$20/[11]Deflator!$V$20</f>
        <v>6.9112345945408755</v>
      </c>
      <c r="Z35" s="82">
        <f>Z16*[11]Deflator!$U$20/[11]Deflator!$V$20</f>
        <v>7.78730658539817</v>
      </c>
      <c r="AA35" s="82">
        <f>AA16*[11]Deflator!$U$20/[11]Deflator!$V$20</f>
        <v>4.4777012866039474</v>
      </c>
      <c r="AB35" s="82">
        <f>AB16*[11]Deflator!$U$20/[11]Deflator!$V$20</f>
        <v>5.3537732774612419</v>
      </c>
      <c r="AC35" s="82">
        <f>AC16*[11]Deflator!$U$20/[11]Deflator!$V$20</f>
        <v>6.2298452683185364</v>
      </c>
      <c r="AD35" s="82">
        <f>AD16*[11]Deflator!$U$20/[11]Deflator!$V$20</f>
        <v>7.0085759268583532</v>
      </c>
      <c r="AE35" s="82">
        <f>AE16*[11]Deflator!$U$20/[11]Deflator!$V$20</f>
        <v>7.78730658539817</v>
      </c>
      <c r="AF35" s="82">
        <f>AF16*[11]Deflator!$U$20/[11]Deflator!$V$20</f>
        <v>4.2830186219689939</v>
      </c>
      <c r="AG35" s="82">
        <f>AG16*[11]Deflator!$U$20/[11]Deflator!$V$20</f>
        <v>5.3537732774612419</v>
      </c>
      <c r="AH35" s="82">
        <f>AH16*[11]Deflator!$U$20/[11]Deflator!$V$20</f>
        <v>6.716551929905922</v>
      </c>
      <c r="AI35" s="82">
        <f>AI16*[11]Deflator!$U$20/[11]Deflator!$V$20</f>
        <v>7.3979412561282611</v>
      </c>
      <c r="AJ35" s="82">
        <f>AJ16*[11]Deflator!$U$20/[11]Deflator!$V$20</f>
        <v>7.3979412561282611</v>
      </c>
      <c r="AM35" t="str">
        <f>AM16</f>
        <v>United States Mbtu</v>
      </c>
      <c r="AN35" s="82">
        <f>AN16*[11]Deflator!$U$20/[11]Deflator!$V$20</f>
        <v>2.6282159725718826</v>
      </c>
      <c r="AO35" s="82">
        <f>AO16*[11]Deflator!$U$20/[11]Deflator!$V$20</f>
        <v>3.5042879634291761</v>
      </c>
      <c r="AP35" s="82">
        <f>AP16*[11]Deflator!$U$20/[11]Deflator!$V$20</f>
        <v>4.964407948191333</v>
      </c>
      <c r="AQ35" s="82">
        <f>AQ16*[11]Deflator!$U$20/[11]Deflator!$V$20</f>
        <v>5.4511146097787186</v>
      </c>
      <c r="AR35" s="82">
        <f>AR16*[11]Deflator!$U$20/[11]Deflator!$V$20</f>
        <v>5.8404799390486275</v>
      </c>
      <c r="AS35" s="82">
        <f>AS16*[11]Deflator!$U$20/[11]Deflator!$V$20</f>
        <v>6.6192105975884443</v>
      </c>
      <c r="AT35" s="82">
        <f>AT16*[11]Deflator!$U$20/[11]Deflator!$V$20</f>
        <v>3.5407909630482304</v>
      </c>
      <c r="AU35" s="82">
        <f>AU16*[11]Deflator!$U$20/[11]Deflator!$V$20</f>
        <v>5.0617492805088107</v>
      </c>
      <c r="AV35" s="82">
        <f>AV16*[11]Deflator!$U$20/[11]Deflator!$V$20</f>
        <v>5.6457972744136731</v>
      </c>
      <c r="AW35" s="82">
        <f>AW16*[11]Deflator!$U$20/[11]Deflator!$V$20</f>
        <v>6.0351626036835819</v>
      </c>
      <c r="AX35" s="82">
        <f>AX16*[11]Deflator!$U$20/[11]Deflator!$V$20</f>
        <v>6.716551929905922</v>
      </c>
      <c r="AY35" s="82">
        <f>AY16*[11]Deflator!$U$20/[11]Deflator!$V$20</f>
        <v>3.3947789645720143</v>
      </c>
      <c r="AZ35" s="82">
        <f>AZ16*[11]Deflator!$U$20/[11]Deflator!$V$20</f>
        <v>4.6723839512389018</v>
      </c>
      <c r="BA35" s="82">
        <f>BA16*[11]Deflator!$U$20/[11]Deflator!$V$20</f>
        <v>5.2564319451437651</v>
      </c>
      <c r="BB35" s="82">
        <f>BB16*[11]Deflator!$U$20/[11]Deflator!$V$20</f>
        <v>5.5484559420961963</v>
      </c>
      <c r="BC35" s="82">
        <f>BC16*[11]Deflator!$U$20/[11]Deflator!$V$20</f>
        <v>5.7431386067311507</v>
      </c>
    </row>
    <row r="36" spans="2:55" x14ac:dyDescent="0.25">
      <c r="B36" t="s">
        <v>712</v>
      </c>
      <c r="C36">
        <v>2035</v>
      </c>
      <c r="T36" t="str">
        <f>T17</f>
        <v>Europe Mbtu</v>
      </c>
      <c r="U36" s="82">
        <f>U17*[11]Deflator!$U$20/[11]Deflator!$V$20</f>
        <v>9.3447679024778036</v>
      </c>
      <c r="V36" s="82">
        <f>V17*[11]Deflator!$U$20/[11]Deflator!$V$20</f>
        <v>10.707546554922484</v>
      </c>
      <c r="W36" s="82">
        <f>W17*[11]Deflator!$U$20/[11]Deflator!$V$20</f>
        <v>11.194253216509869</v>
      </c>
      <c r="X36" s="82">
        <f>X17*[11]Deflator!$U$20/[11]Deflator!$V$20</f>
        <v>11.583618545779778</v>
      </c>
      <c r="Y36" s="82">
        <f>Y17*[11]Deflator!$U$20/[11]Deflator!$V$20</f>
        <v>11.875642542732209</v>
      </c>
      <c r="Z36" s="82">
        <f>Z17*[11]Deflator!$U$20/[11]Deflator!$V$20</f>
        <v>12.167666539684641</v>
      </c>
      <c r="AA36" s="82">
        <f>AA17*[11]Deflator!$U$20/[11]Deflator!$V$20</f>
        <v>10.804887887239961</v>
      </c>
      <c r="AB36" s="82">
        <f>AB17*[11]Deflator!$U$20/[11]Deflator!$V$20</f>
        <v>11.778301210414732</v>
      </c>
      <c r="AC36" s="82">
        <f>AC17*[11]Deflator!$U$20/[11]Deflator!$V$20</f>
        <v>12.557031868954549</v>
      </c>
      <c r="AD36" s="82">
        <f>AD17*[11]Deflator!$U$20/[11]Deflator!$V$20</f>
        <v>13.043738530541935</v>
      </c>
      <c r="AE36" s="82">
        <f>AE17*[11]Deflator!$U$20/[11]Deflator!$V$20</f>
        <v>13.335762527494365</v>
      </c>
      <c r="AF36" s="82">
        <f>AF17*[11]Deflator!$U$20/[11]Deflator!$V$20</f>
        <v>10.610205222605007</v>
      </c>
      <c r="AG36" s="82">
        <f>AG17*[11]Deflator!$U$20/[11]Deflator!$V$20</f>
        <v>10.51286389028753</v>
      </c>
      <c r="AH36" s="82">
        <f>AH17*[11]Deflator!$U$20/[11]Deflator!$V$20</f>
        <v>10.123498561017621</v>
      </c>
      <c r="AI36" s="82">
        <f>AI17*[11]Deflator!$U$20/[11]Deflator!$V$20</f>
        <v>9.7341332317477125</v>
      </c>
      <c r="AJ36" s="82">
        <f>AJ17*[11]Deflator!$U$20/[11]Deflator!$V$20</f>
        <v>9.3447679024778036</v>
      </c>
      <c r="AM36" t="str">
        <f>AM17</f>
        <v>Europe Mbtu</v>
      </c>
      <c r="AN36" s="82">
        <f>AN17*[11]Deflator!$U$20/[11]Deflator!$V$20</f>
        <v>11.388935881144823</v>
      </c>
      <c r="AO36" s="82">
        <f>AO17*[11]Deflator!$U$20/[11]Deflator!$V$20</f>
        <v>11.461941880382932</v>
      </c>
      <c r="AP36" s="82">
        <f>AP17*[11]Deflator!$U$20/[11]Deflator!$V$20</f>
        <v>11.583618545779778</v>
      </c>
      <c r="AQ36" s="82">
        <f>AQ17*[11]Deflator!$U$20/[11]Deflator!$V$20</f>
        <v>11.680959878097255</v>
      </c>
      <c r="AR36" s="82">
        <f>AR17*[11]Deflator!$U$20/[11]Deflator!$V$20</f>
        <v>11.972983875049687</v>
      </c>
      <c r="AS36" s="82">
        <f>AS17*[11]Deflator!$U$20/[11]Deflator!$V$20</f>
        <v>12.362349204319594</v>
      </c>
      <c r="AT36" s="82">
        <f>AT17*[11]Deflator!$U$20/[11]Deflator!$V$20</f>
        <v>11.644456878478202</v>
      </c>
      <c r="AU36" s="82">
        <f>AU17*[11]Deflator!$U$20/[11]Deflator!$V$20</f>
        <v>12.070325207367164</v>
      </c>
      <c r="AV36" s="82">
        <f>AV17*[11]Deflator!$U$20/[11]Deflator!$V$20</f>
        <v>12.557031868954549</v>
      </c>
      <c r="AW36" s="82">
        <f>AW17*[11]Deflator!$U$20/[11]Deflator!$V$20</f>
        <v>13.043738530541935</v>
      </c>
      <c r="AX36" s="82">
        <f>AX17*[11]Deflator!$U$20/[11]Deflator!$V$20</f>
        <v>13.627786524446798</v>
      </c>
      <c r="AY36" s="82">
        <f>AY17*[11]Deflator!$U$20/[11]Deflator!$V$20</f>
        <v>11.315929881906715</v>
      </c>
      <c r="AZ36" s="82">
        <f>AZ17*[11]Deflator!$U$20/[11]Deflator!$V$20</f>
        <v>11.194253216509869</v>
      </c>
      <c r="BA36" s="82">
        <f>BA17*[11]Deflator!$U$20/[11]Deflator!$V$20</f>
        <v>10.707546554922484</v>
      </c>
      <c r="BB36" s="82">
        <f>BB17*[11]Deflator!$U$20/[11]Deflator!$V$20</f>
        <v>9.928815896382666</v>
      </c>
      <c r="BC36" s="82">
        <f>BC17*[11]Deflator!$U$20/[11]Deflator!$V$20</f>
        <v>9.2474265701603269</v>
      </c>
    </row>
    <row r="37" spans="2:55" x14ac:dyDescent="0.25">
      <c r="T37" t="str">
        <f>T18</f>
        <v>Japan Mbtu</v>
      </c>
      <c r="U37" s="82">
        <f>U18*[11]Deflator!$U$20/[11]Deflator!$V$20</f>
        <v>14.406517182986615</v>
      </c>
      <c r="V37" s="82">
        <f>V18*[11]Deflator!$U$20/[11]Deflator!$V$20</f>
        <v>14.601199847621569</v>
      </c>
      <c r="W37" s="82">
        <f>W18*[11]Deflator!$U$20/[11]Deflator!$V$20</f>
        <v>13.91981052139923</v>
      </c>
      <c r="X37" s="82">
        <f>X18*[11]Deflator!$U$20/[11]Deflator!$V$20</f>
        <v>14.114493186034183</v>
      </c>
      <c r="Y37" s="82">
        <f>Y18*[11]Deflator!$U$20/[11]Deflator!$V$20</f>
        <v>14.309175850669137</v>
      </c>
      <c r="Z37" s="82">
        <f>Z18*[11]Deflator!$U$20/[11]Deflator!$V$20</f>
        <v>14.406517182986615</v>
      </c>
      <c r="AA37" s="82">
        <f>AA18*[11]Deflator!$U$20/[11]Deflator!$V$20</f>
        <v>14.893223844574001</v>
      </c>
      <c r="AB37" s="82">
        <f>AB18*[11]Deflator!$U$20/[11]Deflator!$V$20</f>
        <v>14.309175850669137</v>
      </c>
      <c r="AC37" s="82">
        <f>AC18*[11]Deflator!$U$20/[11]Deflator!$V$20</f>
        <v>14.795882512256522</v>
      </c>
      <c r="AD37" s="82">
        <f>AD18*[11]Deflator!$U$20/[11]Deflator!$V$20</f>
        <v>15.185247841526431</v>
      </c>
      <c r="AE37" s="82">
        <f>AE18*[11]Deflator!$U$20/[11]Deflator!$V$20</f>
        <v>15.57461317079634</v>
      </c>
      <c r="AF37" s="82">
        <f>AF18*[11]Deflator!$U$20/[11]Deflator!$V$20</f>
        <v>14.503858515304092</v>
      </c>
      <c r="AG37" s="82">
        <f>AG18*[11]Deflator!$U$20/[11]Deflator!$V$20</f>
        <v>13.141079862859412</v>
      </c>
      <c r="AH37" s="82">
        <f>AH18*[11]Deflator!$U$20/[11]Deflator!$V$20</f>
        <v>12.557031868954549</v>
      </c>
      <c r="AI37" s="82">
        <f>AI18*[11]Deflator!$U$20/[11]Deflator!$V$20</f>
        <v>12.167666539684641</v>
      </c>
      <c r="AJ37" s="82">
        <f>AJ18*[11]Deflator!$U$20/[11]Deflator!$V$20</f>
        <v>11.875642542732209</v>
      </c>
      <c r="AM37" t="str">
        <f>AM18</f>
        <v>Japan Mbtu</v>
      </c>
      <c r="AN37" s="82">
        <f>AN18*[11]Deflator!$U$20/[11]Deflator!$V$20</f>
        <v>16.450685161653631</v>
      </c>
      <c r="AO37" s="82">
        <f>AO18*[11]Deflator!$U$20/[11]Deflator!$V$20</f>
        <v>15.465104171939178</v>
      </c>
      <c r="AP37" s="82">
        <f>AP18*[11]Deflator!$U$20/[11]Deflator!$V$20</f>
        <v>13.822469189081751</v>
      </c>
      <c r="AQ37" s="82">
        <f>AQ18*[11]Deflator!$U$20/[11]Deflator!$V$20</f>
        <v>13.822469189081751</v>
      </c>
      <c r="AR37" s="82">
        <f>AR18*[11]Deflator!$U$20/[11]Deflator!$V$20</f>
        <v>14.017151853716706</v>
      </c>
      <c r="AS37" s="82">
        <f>AS18*[11]Deflator!$U$20/[11]Deflator!$V$20</f>
        <v>14.503858515304092</v>
      </c>
      <c r="AT37" s="82">
        <f>AT18*[11]Deflator!$U$20/[11]Deflator!$V$20</f>
        <v>15.647619170034448</v>
      </c>
      <c r="AU37" s="82">
        <f>AU18*[11]Deflator!$U$20/[11]Deflator!$V$20</f>
        <v>14.309175850669137</v>
      </c>
      <c r="AV37" s="82">
        <f>AV18*[11]Deflator!$U$20/[11]Deflator!$V$20</f>
        <v>14.795882512256522</v>
      </c>
      <c r="AW37" s="82">
        <f>AW18*[11]Deflator!$U$20/[11]Deflator!$V$20</f>
        <v>15.477271838478863</v>
      </c>
      <c r="AX37" s="82">
        <f>AX18*[11]Deflator!$U$20/[11]Deflator!$V$20</f>
        <v>16.256002497018677</v>
      </c>
      <c r="AY37" s="82">
        <f>AY18*[11]Deflator!$U$20/[11]Deflator!$V$20</f>
        <v>15.173080174986747</v>
      </c>
      <c r="AZ37" s="82">
        <f>AZ18*[11]Deflator!$U$20/[11]Deflator!$V$20</f>
        <v>13.043738530541935</v>
      </c>
      <c r="BA37" s="82">
        <f>BA18*[11]Deflator!$U$20/[11]Deflator!$V$20</f>
        <v>12.459690536637073</v>
      </c>
      <c r="BB37" s="82">
        <f>BB18*[11]Deflator!$U$20/[11]Deflator!$V$20</f>
        <v>11.875642542732209</v>
      </c>
      <c r="BC37" s="82">
        <f>BC18*[11]Deflator!$U$20/[11]Deflator!$V$20</f>
        <v>11.388935881144823</v>
      </c>
    </row>
    <row r="38" spans="2:55" x14ac:dyDescent="0.25">
      <c r="B38" t="s">
        <v>715</v>
      </c>
      <c r="C38">
        <v>125</v>
      </c>
      <c r="T38" t="str">
        <f>T19</f>
        <v>OECD steam coal imports</v>
      </c>
      <c r="U38" s="82">
        <f>U19*[11]Deflator!$U$20/[11]Deflator!$V$20</f>
        <v>120.11920407976677</v>
      </c>
      <c r="V38" s="82">
        <f>V19*[11]Deflator!$U$20/[11]Deflator!$V$20</f>
        <v>105.61534556446269</v>
      </c>
      <c r="W38" s="82">
        <f>W19*[11]Deflator!$U$20/[11]Deflator!$V$20</f>
        <v>109.02229219557438</v>
      </c>
      <c r="X38" s="82">
        <f>X19*[11]Deflator!$U$20/[11]Deflator!$V$20</f>
        <v>109.99570551874915</v>
      </c>
      <c r="Y38" s="82">
        <f>Y19*[11]Deflator!$U$20/[11]Deflator!$V$20</f>
        <v>110.96911884192392</v>
      </c>
      <c r="Z38" s="82">
        <f>Z19*[11]Deflator!$U$20/[11]Deflator!$V$20</f>
        <v>111.9425321650987</v>
      </c>
      <c r="AA38" s="82">
        <f>AA19*[11]Deflator!$U$20/[11]Deflator!$V$20</f>
        <v>107.07546554922483</v>
      </c>
      <c r="AB38" s="82">
        <f>AB19*[11]Deflator!$U$20/[11]Deflator!$V$20</f>
        <v>111.9425321650987</v>
      </c>
      <c r="AC38" s="82">
        <f>AC19*[11]Deflator!$U$20/[11]Deflator!$V$20</f>
        <v>116.03086812243274</v>
      </c>
      <c r="AD38" s="82">
        <f>AD19*[11]Deflator!$U$20/[11]Deflator!$V$20</f>
        <v>119.24313208890948</v>
      </c>
      <c r="AE38" s="82">
        <f>AE19*[11]Deflator!$U$20/[11]Deflator!$V$20</f>
        <v>121.6766653968464</v>
      </c>
      <c r="AF38" s="82">
        <f>AF19*[11]Deflator!$U$20/[11]Deflator!$V$20</f>
        <v>102.50042293030342</v>
      </c>
      <c r="AG38" s="82">
        <f>AG19*[11]Deflator!$U$20/[11]Deflator!$V$20</f>
        <v>94.907799009540199</v>
      </c>
      <c r="AH38" s="82">
        <f>AH19*[11]Deflator!$U$20/[11]Deflator!$V$20</f>
        <v>86.633785762554638</v>
      </c>
      <c r="AI38" s="82">
        <f>AI19*[11]Deflator!$U$20/[11]Deflator!$V$20</f>
        <v>75.92623920763215</v>
      </c>
      <c r="AJ38" s="82">
        <f>AJ19*[11]Deflator!$U$20/[11]Deflator!$V$20</f>
        <v>68.13893262223398</v>
      </c>
      <c r="AM38" t="str">
        <f>AM19</f>
        <v>OECD steam coal imports</v>
      </c>
      <c r="AN38" s="82">
        <f>AN19*[11]Deflator!$U$20/[11]Deflator!$V$20</f>
        <v>96.367918994302357</v>
      </c>
      <c r="AO38" s="82">
        <f>AO19*[11]Deflator!$U$20/[11]Deflator!$V$20</f>
        <v>98.923128967636131</v>
      </c>
      <c r="AP38" s="82">
        <f>AP19*[11]Deflator!$U$20/[11]Deflator!$V$20</f>
        <v>103.18181225652575</v>
      </c>
      <c r="AQ38" s="82">
        <f>AQ19*[11]Deflator!$U$20/[11]Deflator!$V$20</f>
        <v>106.10205222605006</v>
      </c>
      <c r="AR38" s="82">
        <f>AR19*[11]Deflator!$U$20/[11]Deflator!$V$20</f>
        <v>107.07546554922483</v>
      </c>
      <c r="AS38" s="82">
        <f>AS19*[11]Deflator!$U$20/[11]Deflator!$V$20</f>
        <v>107.07546554922483</v>
      </c>
      <c r="AT38" s="82">
        <f>AT19*[11]Deflator!$U$20/[11]Deflator!$V$20</f>
        <v>101.11330894477936</v>
      </c>
      <c r="AU38" s="82">
        <f>AU19*[11]Deflator!$U$20/[11]Deflator!$V$20</f>
        <v>109.02229219557438</v>
      </c>
      <c r="AV38" s="82">
        <f>AV19*[11]Deflator!$U$20/[11]Deflator!$V$20</f>
        <v>112.91594548827347</v>
      </c>
      <c r="AW38" s="82">
        <f>AW19*[11]Deflator!$U$20/[11]Deflator!$V$20</f>
        <v>114.862772134623</v>
      </c>
      <c r="AX38" s="82">
        <f>AX19*[11]Deflator!$U$20/[11]Deflator!$V$20</f>
        <v>116.80959878097255</v>
      </c>
      <c r="AY38" s="82">
        <f>AY19*[11]Deflator!$U$20/[11]Deflator!$V$20</f>
        <v>97.09797898668343</v>
      </c>
      <c r="AZ38" s="82">
        <f>AZ19*[11]Deflator!$U$20/[11]Deflator!$V$20</f>
        <v>98.314745640651893</v>
      </c>
      <c r="BA38" s="82">
        <f>BA19*[11]Deflator!$U$20/[11]Deflator!$V$20</f>
        <v>92.474265701603272</v>
      </c>
      <c r="BB38" s="82">
        <f>BB19*[11]Deflator!$U$20/[11]Deflator!$V$20</f>
        <v>83.71354579303032</v>
      </c>
      <c r="BC38" s="82">
        <f>BC19*[11]Deflator!$U$20/[11]Deflator!$V$20</f>
        <v>73.005999238107847</v>
      </c>
    </row>
    <row r="39" spans="2:55" x14ac:dyDescent="0.25">
      <c r="B39" t="s">
        <v>716</v>
      </c>
      <c r="C39">
        <v>145</v>
      </c>
      <c r="D39">
        <v>8</v>
      </c>
      <c r="E39">
        <v>14.8</v>
      </c>
      <c r="F39">
        <v>12.5</v>
      </c>
    </row>
    <row r="40" spans="2:55" x14ac:dyDescent="0.25">
      <c r="B40" s="126">
        <v>450</v>
      </c>
      <c r="C40">
        <v>100</v>
      </c>
    </row>
    <row r="41" spans="2:55" x14ac:dyDescent="0.25">
      <c r="D41">
        <f>D39/$C$39</f>
        <v>5.5172413793103448E-2</v>
      </c>
      <c r="E41">
        <f>E39/$C$39</f>
        <v>0.10206896551724139</v>
      </c>
      <c r="F41">
        <f>F39/$C$39</f>
        <v>8.6206896551724144E-2</v>
      </c>
    </row>
    <row r="42" spans="2:55" x14ac:dyDescent="0.25">
      <c r="V42" s="331">
        <f>(V33/U33)^(1/(V32-U32))-1</f>
        <v>1.8970074044000862E-2</v>
      </c>
      <c r="W42" s="331">
        <f>(W33/V33)^(1/(W32-V32))-1</f>
        <v>5.962944044239471E-3</v>
      </c>
      <c r="X42" s="331">
        <f>(X33/W33)^(1/(X32-W32))-1</f>
        <v>3.9848515148914743E-3</v>
      </c>
      <c r="Y42" s="331">
        <f>(Y33/X33)^(1/(Y32-X32))-1</f>
        <v>2.773741429406007E-3</v>
      </c>
      <c r="Z42" s="331">
        <f>(Z33/Y33)^(1/(Z32-Y32))-1</f>
        <v>2.2551775519457085E-3</v>
      </c>
      <c r="AA42" s="331">
        <f>(AA33/U33)^(1/(AA32-U32))-1</f>
        <v>2.4200203441211432E-2</v>
      </c>
      <c r="AB42" s="331">
        <f>(AB33/AA33)^(1/(AB32-AA32))-1</f>
        <v>1.6190173044798639E-2</v>
      </c>
      <c r="AC42" s="331">
        <f>(AC33/AB33)^(1/(AC32-AB32))-1</f>
        <v>1.1129093467930451E-2</v>
      </c>
      <c r="AD42" s="331">
        <f>(AD33/AC33)^(1/(AD32-AC32))-1</f>
        <v>7.9835969709516341E-3</v>
      </c>
      <c r="AE42" s="331">
        <f>(AE33/AD33)^(1/(AE32-AD32))-1</f>
        <v>5.4678712507574279E-3</v>
      </c>
      <c r="AF42" s="331">
        <f>(AF33/U33)^(1/(AF32-U32))-1</f>
        <v>1.7429343745218651E-2</v>
      </c>
      <c r="AG42" s="331">
        <f>(AG33/AF33)^(1/(AG32-AF32))-1</f>
        <v>-3.4935352041365331E-3</v>
      </c>
      <c r="AH42" s="331">
        <f>(AH33/AG33)^(1/(AH32-AG32))-1</f>
        <v>-7.5263888527359324E-3</v>
      </c>
      <c r="AI42" s="331">
        <f>(AI33/AH33)^(1/(AI32-AH32))-1</f>
        <v>-8.1993553946574371E-3</v>
      </c>
      <c r="AJ42" s="331">
        <f>(AJ33/AI33)^(1/(AJ32-AI32))-1</f>
        <v>-9.1437259266209381E-3</v>
      </c>
      <c r="AO42" s="331">
        <f>(AO33/AN33)^(1/(AO32-AN32))-1</f>
        <v>3.4227539726290335E-3</v>
      </c>
      <c r="AP42" s="331">
        <f>(AP33/AO33)^(1/(AP32-AO32))-1</f>
        <v>4.4844848921270497E-3</v>
      </c>
      <c r="AQ42" s="331">
        <f>(AQ33/AP33)^(1/(AQ32-AP32))-1</f>
        <v>5.2542297827959938E-3</v>
      </c>
      <c r="AR42" s="331">
        <f>(AR33/AQ33)^(1/(AR32-AQ32))-1</f>
        <v>8.4757887127040465E-3</v>
      </c>
      <c r="AS42" s="331">
        <f>(AS33/AR33)^(1/(AS32-AR32))-1</f>
        <v>1.1311439625934394E-2</v>
      </c>
      <c r="AT42" s="331">
        <f>(AT33/AN33)^(1/(AT32-AN32))-1</f>
        <v>9.3296321558093975E-3</v>
      </c>
      <c r="AU42" s="331">
        <f>(AU33/AT33)^(1/(AU32-AT32))-1</f>
        <v>1.1869558861851592E-2</v>
      </c>
      <c r="AV42" s="331">
        <f>(AV33/AU33)^(1/(AV32-AU32))-1</f>
        <v>1.1403599651385044E-2</v>
      </c>
      <c r="AW42" s="331">
        <f>(AW33/AV33)^(1/(AW32-AV32))-1</f>
        <v>1.3787746070069717E-2</v>
      </c>
      <c r="AX42" s="331">
        <f>(AX33/AW33)^(1/(AX32-AW32))-1</f>
        <v>1.2898245280189125E-2</v>
      </c>
      <c r="AY42" s="331">
        <f>(AY33/AN33)^(1/(AY32-AN32))-1</f>
        <v>8.5898432806441605E-4</v>
      </c>
      <c r="AZ42" s="331">
        <f>(AZ33/AY33)^(1/(AZ32-AY32))-1</f>
        <v>1.140253818557202E-3</v>
      </c>
      <c r="BA42" s="331">
        <f>(BA33/AZ33)^(1/(BA32-AZ32))-1</f>
        <v>-5.5150422735510407E-3</v>
      </c>
      <c r="BB42" s="331">
        <f>(BB33/BA33)^(1/(BB32-BA32))-1</f>
        <v>-5.6714433615395743E-3</v>
      </c>
      <c r="BC42" s="331">
        <f>(BC33/BB33)^(1/(BC32-BB32))-1</f>
        <v>-7.8134576287804958E-3</v>
      </c>
    </row>
    <row r="43" spans="2:55" x14ac:dyDescent="0.25">
      <c r="B43" t="s">
        <v>716</v>
      </c>
      <c r="D43">
        <v>2011</v>
      </c>
      <c r="E43">
        <v>2015</v>
      </c>
      <c r="F43">
        <v>2020</v>
      </c>
      <c r="G43">
        <v>2025</v>
      </c>
      <c r="H43">
        <v>2030</v>
      </c>
      <c r="I43">
        <v>2035</v>
      </c>
      <c r="V43" s="332">
        <f>AVERAGE(V42:Z42)</f>
        <v>6.7893577168967045E-3</v>
      </c>
      <c r="W43" s="332"/>
      <c r="X43" s="332"/>
      <c r="Y43" s="332"/>
      <c r="Z43" s="332"/>
      <c r="AA43" s="332">
        <f>AVERAGE(AA42:AE42)</f>
        <v>1.2994187635129916E-2</v>
      </c>
      <c r="AB43" s="332"/>
      <c r="AC43" s="332"/>
      <c r="AD43" s="332"/>
      <c r="AE43" s="332"/>
      <c r="AF43" s="332">
        <f>AVERAGE(AF42:AJ42)</f>
        <v>-2.1867323265864378E-3</v>
      </c>
      <c r="AG43" s="332"/>
      <c r="AH43" s="332"/>
      <c r="AI43" s="332"/>
      <c r="AJ43" s="332"/>
      <c r="AO43" s="332">
        <f>AVERAGE(AO42:AS42)</f>
        <v>6.5897393972381034E-3</v>
      </c>
      <c r="AP43" s="332"/>
      <c r="AQ43" s="332"/>
      <c r="AR43" s="332"/>
      <c r="AS43" s="332"/>
      <c r="AT43" s="332">
        <f>AVERAGE(AT42:AX42)</f>
        <v>1.1857756403860975E-2</v>
      </c>
      <c r="AU43" s="332"/>
      <c r="AV43" s="332"/>
      <c r="AW43" s="332"/>
      <c r="AX43" s="332"/>
      <c r="AY43" s="332">
        <f>AVERAGE(AY42:BC42)</f>
        <v>-3.4001410234498985E-3</v>
      </c>
      <c r="AZ43" s="332"/>
      <c r="BA43" s="332"/>
      <c r="BB43" s="332"/>
      <c r="BC43" s="332"/>
    </row>
    <row r="44" spans="2:55" x14ac:dyDescent="0.25">
      <c r="B44" t="s">
        <v>740</v>
      </c>
      <c r="C44" t="s">
        <v>618</v>
      </c>
      <c r="D44">
        <v>107.6</v>
      </c>
      <c r="E44">
        <v>118.4</v>
      </c>
      <c r="F44">
        <v>128.30000000000001</v>
      </c>
      <c r="G44">
        <v>135.69999999999999</v>
      </c>
      <c r="H44">
        <v>141.1</v>
      </c>
      <c r="I44">
        <v>145</v>
      </c>
      <c r="V44" s="332"/>
      <c r="W44" s="332"/>
      <c r="X44" s="332"/>
      <c r="Y44" s="332"/>
      <c r="Z44" s="332"/>
      <c r="AA44" s="332">
        <f>AA43-V43</f>
        <v>6.2048299182332119E-3</v>
      </c>
      <c r="AB44" s="332"/>
      <c r="AC44" s="332"/>
      <c r="AD44" s="332"/>
      <c r="AE44" s="332"/>
      <c r="AF44" s="332">
        <f>V43-AF43</f>
        <v>8.9760900434831432E-3</v>
      </c>
      <c r="AG44" s="332"/>
      <c r="AH44" s="332"/>
      <c r="AI44" s="332"/>
      <c r="AJ44" s="332"/>
      <c r="AO44" s="332"/>
      <c r="AP44" s="332"/>
      <c r="AQ44" s="332"/>
      <c r="AR44" s="332"/>
      <c r="AS44" s="332"/>
      <c r="AT44" s="332">
        <f>AT43-AO43</f>
        <v>5.2680170066228714E-3</v>
      </c>
      <c r="AU44" s="332"/>
      <c r="AV44" s="332"/>
      <c r="AW44" s="332"/>
      <c r="AX44" s="332"/>
      <c r="AY44" s="332">
        <f>AO43-AY43</f>
        <v>9.9898804206880014E-3</v>
      </c>
      <c r="AZ44" s="332"/>
      <c r="BA44" s="332"/>
      <c r="BB44" s="332"/>
      <c r="BC44" s="332"/>
    </row>
    <row r="45" spans="2:55" x14ac:dyDescent="0.25">
      <c r="B45" t="s">
        <v>741</v>
      </c>
      <c r="C45" t="s">
        <v>742</v>
      </c>
      <c r="D45">
        <v>14.8</v>
      </c>
      <c r="E45">
        <v>15.3</v>
      </c>
      <c r="F45">
        <v>14.7</v>
      </c>
      <c r="G45">
        <v>15.2</v>
      </c>
      <c r="H45">
        <v>15.6</v>
      </c>
      <c r="I45">
        <v>16</v>
      </c>
      <c r="V45" s="328">
        <f t="shared" ref="V45:Z48" si="16">V35/U35-1</f>
        <v>0.12195121951219523</v>
      </c>
      <c r="W45" s="328">
        <f t="shared" si="16"/>
        <v>0.17391304347826098</v>
      </c>
      <c r="X45" s="328">
        <f t="shared" si="16"/>
        <v>0.16666666666666652</v>
      </c>
      <c r="Y45" s="328">
        <f t="shared" si="16"/>
        <v>0.12698412698412698</v>
      </c>
      <c r="Z45" s="328">
        <f t="shared" si="16"/>
        <v>0.12676056338028174</v>
      </c>
      <c r="AA45" s="328">
        <f>AA35/U35-1</f>
        <v>0.12195121951219523</v>
      </c>
      <c r="AB45" s="328">
        <f t="shared" ref="AB45:AE48" si="17">AB35/AA35-1</f>
        <v>0.19565217391304368</v>
      </c>
      <c r="AC45" s="328">
        <f t="shared" si="17"/>
        <v>0.1636363636363638</v>
      </c>
      <c r="AD45" s="328">
        <f t="shared" si="17"/>
        <v>0.125</v>
      </c>
      <c r="AE45" s="328">
        <f t="shared" si="17"/>
        <v>0.11111111111111116</v>
      </c>
      <c r="AF45" s="328">
        <f>AF35/U35-1</f>
        <v>7.317073170731736E-2</v>
      </c>
      <c r="AG45" s="328">
        <f t="shared" ref="AG45:AJ48" si="18">AG35/AF35-1</f>
        <v>0.25</v>
      </c>
      <c r="AH45" s="328">
        <f t="shared" si="18"/>
        <v>0.25454545454545463</v>
      </c>
      <c r="AI45" s="328">
        <f t="shared" si="18"/>
        <v>0.10144927536231862</v>
      </c>
      <c r="AJ45" s="328">
        <f t="shared" si="18"/>
        <v>0</v>
      </c>
      <c r="AO45" s="328">
        <f t="shared" ref="AO45:AS48" si="19">AO35/AN35-1</f>
        <v>0.33333333333333304</v>
      </c>
      <c r="AP45" s="328">
        <f t="shared" si="19"/>
        <v>0.41666666666666674</v>
      </c>
      <c r="AQ45" s="328">
        <f t="shared" si="19"/>
        <v>9.8039215686274606E-2</v>
      </c>
      <c r="AR45" s="328">
        <f t="shared" si="19"/>
        <v>7.1428571428571397E-2</v>
      </c>
      <c r="AS45" s="328">
        <f t="shared" si="19"/>
        <v>0.1333333333333333</v>
      </c>
      <c r="AT45" s="328">
        <f>AT35/AN35-1</f>
        <v>0.3472222222222221</v>
      </c>
      <c r="AU45" s="328">
        <f t="shared" ref="AU45:AX48" si="20">AU35/AT35-1</f>
        <v>0.42955326460481102</v>
      </c>
      <c r="AV45" s="328">
        <f t="shared" si="20"/>
        <v>0.11538461538461542</v>
      </c>
      <c r="AW45" s="328">
        <f t="shared" si="20"/>
        <v>6.8965517241379448E-2</v>
      </c>
      <c r="AX45" s="328">
        <f t="shared" si="20"/>
        <v>0.11290322580645173</v>
      </c>
      <c r="AY45" s="328">
        <f>AY35/AN35-1</f>
        <v>0.29166666666666652</v>
      </c>
      <c r="AZ45" s="328">
        <f t="shared" ref="AZ45:BC48" si="21">AZ35/AY35-1</f>
        <v>0.37634408602150549</v>
      </c>
      <c r="BA45" s="328">
        <f t="shared" si="21"/>
        <v>0.12500000000000022</v>
      </c>
      <c r="BB45" s="328">
        <f t="shared" si="21"/>
        <v>5.555555555555558E-2</v>
      </c>
      <c r="BC45" s="328">
        <f t="shared" si="21"/>
        <v>3.5087719298245723E-2</v>
      </c>
    </row>
    <row r="46" spans="2:55" x14ac:dyDescent="0.25">
      <c r="V46" s="328">
        <f t="shared" si="16"/>
        <v>0.14583333333333348</v>
      </c>
      <c r="W46" s="328">
        <f t="shared" si="16"/>
        <v>4.5454545454545414E-2</v>
      </c>
      <c r="X46" s="328">
        <f t="shared" si="16"/>
        <v>3.4782608695652195E-2</v>
      </c>
      <c r="Y46" s="328">
        <f t="shared" si="16"/>
        <v>2.5210084033613356E-2</v>
      </c>
      <c r="Z46" s="328">
        <f t="shared" si="16"/>
        <v>2.4590163934426368E-2</v>
      </c>
      <c r="AA46" s="328">
        <f>AA36/U36-1</f>
        <v>0.15625</v>
      </c>
      <c r="AB46" s="328">
        <f t="shared" si="17"/>
        <v>9.0090090090090058E-2</v>
      </c>
      <c r="AC46" s="328">
        <f t="shared" si="17"/>
        <v>6.6115702479338845E-2</v>
      </c>
      <c r="AD46" s="328">
        <f t="shared" si="17"/>
        <v>3.8759689922480689E-2</v>
      </c>
      <c r="AE46" s="328">
        <f t="shared" si="17"/>
        <v>2.2388059701492491E-2</v>
      </c>
      <c r="AF46" s="328">
        <f>AF36/U36-1</f>
        <v>0.13541666666666674</v>
      </c>
      <c r="AG46" s="328">
        <f t="shared" si="18"/>
        <v>-9.1743119266054496E-3</v>
      </c>
      <c r="AH46" s="328">
        <f t="shared" si="18"/>
        <v>-3.703703703703709E-2</v>
      </c>
      <c r="AI46" s="328">
        <f t="shared" si="18"/>
        <v>-3.8461538461538547E-2</v>
      </c>
      <c r="AJ46" s="328">
        <f t="shared" si="18"/>
        <v>-4.0000000000000036E-2</v>
      </c>
      <c r="AO46" s="328">
        <f t="shared" si="19"/>
        <v>6.4102564102566095E-3</v>
      </c>
      <c r="AP46" s="328">
        <f t="shared" si="19"/>
        <v>1.0615711252653925E-2</v>
      </c>
      <c r="AQ46" s="328">
        <f t="shared" si="19"/>
        <v>8.4033613445377853E-3</v>
      </c>
      <c r="AR46" s="328">
        <f t="shared" si="19"/>
        <v>2.5000000000000133E-2</v>
      </c>
      <c r="AS46" s="328">
        <f t="shared" si="19"/>
        <v>3.2520325203251987E-2</v>
      </c>
      <c r="AT46" s="328">
        <f>AT36/AN36-1</f>
        <v>2.2435897435897578E-2</v>
      </c>
      <c r="AU46" s="328">
        <f t="shared" si="20"/>
        <v>3.6572622779519337E-2</v>
      </c>
      <c r="AV46" s="328">
        <f t="shared" si="20"/>
        <v>4.0322580645161255E-2</v>
      </c>
      <c r="AW46" s="328">
        <f t="shared" si="20"/>
        <v>3.8759689922480689E-2</v>
      </c>
      <c r="AX46" s="328">
        <f t="shared" si="20"/>
        <v>4.4776119402984982E-2</v>
      </c>
      <c r="AY46" s="328">
        <f>AY36/AN36-1</f>
        <v>-6.4102564102563875E-3</v>
      </c>
      <c r="AZ46" s="328">
        <f t="shared" si="21"/>
        <v>-1.0752688172043001E-2</v>
      </c>
      <c r="BA46" s="328">
        <f t="shared" si="21"/>
        <v>-4.3478260869565188E-2</v>
      </c>
      <c r="BB46" s="328">
        <f t="shared" si="21"/>
        <v>-7.2727272727272751E-2</v>
      </c>
      <c r="BC46" s="328">
        <f t="shared" si="21"/>
        <v>-6.8627450980392135E-2</v>
      </c>
    </row>
    <row r="47" spans="2:55" x14ac:dyDescent="0.25">
      <c r="B47" t="s">
        <v>743</v>
      </c>
      <c r="D47" s="256">
        <f t="shared" ref="D47:I47" si="22">D45/D44</f>
        <v>0.13754646840148702</v>
      </c>
      <c r="E47" s="256">
        <f t="shared" si="22"/>
        <v>0.12922297297297297</v>
      </c>
      <c r="F47" s="256">
        <f t="shared" si="22"/>
        <v>0.11457521434138736</v>
      </c>
      <c r="G47" s="256">
        <f t="shared" si="22"/>
        <v>0.11201179071481208</v>
      </c>
      <c r="H47" s="256">
        <f t="shared" si="22"/>
        <v>0.1105598866052445</v>
      </c>
      <c r="I47" s="256">
        <f t="shared" si="22"/>
        <v>0.1103448275862069</v>
      </c>
      <c r="V47" s="328">
        <f t="shared" si="16"/>
        <v>1.3513513513513375E-2</v>
      </c>
      <c r="W47" s="328">
        <f t="shared" si="16"/>
        <v>-4.6666666666666634E-2</v>
      </c>
      <c r="X47" s="328">
        <f t="shared" si="16"/>
        <v>1.3986013986013957E-2</v>
      </c>
      <c r="Y47" s="328">
        <f t="shared" si="16"/>
        <v>1.379310344827589E-2</v>
      </c>
      <c r="Z47" s="328">
        <f t="shared" si="16"/>
        <v>6.8027210884353817E-3</v>
      </c>
      <c r="AA47" s="328">
        <f>AA37/U37-1</f>
        <v>3.3783783783783772E-2</v>
      </c>
      <c r="AB47" s="328">
        <f t="shared" si="17"/>
        <v>-3.9215686274509887E-2</v>
      </c>
      <c r="AC47" s="328">
        <f t="shared" si="17"/>
        <v>3.4013605442176909E-2</v>
      </c>
      <c r="AD47" s="328">
        <f t="shared" si="17"/>
        <v>2.6315789473684292E-2</v>
      </c>
      <c r="AE47" s="328">
        <f t="shared" si="17"/>
        <v>2.5641025641025772E-2</v>
      </c>
      <c r="AF47" s="328">
        <f>AF37/U37-1</f>
        <v>6.7567567567567988E-3</v>
      </c>
      <c r="AG47" s="328">
        <f t="shared" si="18"/>
        <v>-9.3959731543624136E-2</v>
      </c>
      <c r="AH47" s="328">
        <f t="shared" si="18"/>
        <v>-4.4444444444444398E-2</v>
      </c>
      <c r="AI47" s="328">
        <f t="shared" si="18"/>
        <v>-3.1007751937984551E-2</v>
      </c>
      <c r="AJ47" s="328">
        <f t="shared" si="18"/>
        <v>-2.4000000000000021E-2</v>
      </c>
      <c r="AO47" s="328">
        <f t="shared" si="19"/>
        <v>-5.9911242603550185E-2</v>
      </c>
      <c r="AP47" s="328">
        <f t="shared" si="19"/>
        <v>-0.10621557828481509</v>
      </c>
      <c r="AQ47" s="328">
        <f t="shared" si="19"/>
        <v>0</v>
      </c>
      <c r="AR47" s="328">
        <f t="shared" si="19"/>
        <v>1.4084507042253502E-2</v>
      </c>
      <c r="AS47" s="328">
        <f t="shared" si="19"/>
        <v>3.4722222222222321E-2</v>
      </c>
      <c r="AT47" s="328">
        <f>AT37/AN37-1</f>
        <v>-4.8816568047337139E-2</v>
      </c>
      <c r="AU47" s="328">
        <f t="shared" si="20"/>
        <v>-8.5536547433903598E-2</v>
      </c>
      <c r="AV47" s="328">
        <f t="shared" si="20"/>
        <v>3.4013605442176909E-2</v>
      </c>
      <c r="AW47" s="328">
        <f t="shared" si="20"/>
        <v>4.6052631578947345E-2</v>
      </c>
      <c r="AX47" s="328">
        <f t="shared" si="20"/>
        <v>5.0314465408804798E-2</v>
      </c>
      <c r="AY47" s="328">
        <f>AY37/AN37-1</f>
        <v>-7.7662721893490883E-2</v>
      </c>
      <c r="AZ47" s="328">
        <f t="shared" si="21"/>
        <v>-0.14033680834001605</v>
      </c>
      <c r="BA47" s="328">
        <f t="shared" si="21"/>
        <v>-4.4776119402985093E-2</v>
      </c>
      <c r="BB47" s="328">
        <f t="shared" si="21"/>
        <v>-4.6875000000000111E-2</v>
      </c>
      <c r="BC47" s="328">
        <f t="shared" si="21"/>
        <v>-4.0983606557377095E-2</v>
      </c>
    </row>
    <row r="48" spans="2:55" x14ac:dyDescent="0.25">
      <c r="B48" t="s">
        <v>744</v>
      </c>
      <c r="D48" s="290">
        <f>AVERAGE(D47:I47)</f>
        <v>0.11904352677035181</v>
      </c>
      <c r="V48" s="328">
        <f t="shared" si="16"/>
        <v>-0.12074554294975681</v>
      </c>
      <c r="W48" s="328">
        <f t="shared" si="16"/>
        <v>3.2258064516129004E-2</v>
      </c>
      <c r="X48" s="328">
        <f t="shared" si="16"/>
        <v>8.9285714285713969E-3</v>
      </c>
      <c r="Y48" s="328">
        <f t="shared" si="16"/>
        <v>8.8495575221239076E-3</v>
      </c>
      <c r="Z48" s="328">
        <f t="shared" si="16"/>
        <v>8.7719298245614308E-3</v>
      </c>
      <c r="AA48" s="328">
        <f>AA38/U38-1</f>
        <v>-0.10858995137763383</v>
      </c>
      <c r="AB48" s="328">
        <f t="shared" si="17"/>
        <v>4.5454545454545636E-2</v>
      </c>
      <c r="AC48" s="328">
        <f t="shared" si="17"/>
        <v>3.6521739130434883E-2</v>
      </c>
      <c r="AD48" s="328">
        <f t="shared" si="17"/>
        <v>2.7684563758389125E-2</v>
      </c>
      <c r="AE48" s="328">
        <f t="shared" si="17"/>
        <v>2.0408163265306145E-2</v>
      </c>
      <c r="AF48" s="328">
        <f>AF38/U38-1</f>
        <v>-0.14667747163695299</v>
      </c>
      <c r="AG48" s="328">
        <f t="shared" si="18"/>
        <v>-7.407407407407407E-2</v>
      </c>
      <c r="AH48" s="328">
        <f t="shared" si="18"/>
        <v>-8.7179487179487203E-2</v>
      </c>
      <c r="AI48" s="328">
        <f t="shared" si="18"/>
        <v>-0.12359550561797761</v>
      </c>
      <c r="AJ48" s="328">
        <f t="shared" si="18"/>
        <v>-0.10256410256410253</v>
      </c>
      <c r="AO48" s="328">
        <f t="shared" si="19"/>
        <v>2.6515151515151603E-2</v>
      </c>
      <c r="AP48" s="328">
        <f t="shared" si="19"/>
        <v>4.3050430504304904E-2</v>
      </c>
      <c r="AQ48" s="328">
        <f t="shared" si="19"/>
        <v>2.8301886792452935E-2</v>
      </c>
      <c r="AR48" s="328">
        <f t="shared" si="19"/>
        <v>9.1743119266054496E-3</v>
      </c>
      <c r="AS48" s="328">
        <f t="shared" si="19"/>
        <v>0</v>
      </c>
      <c r="AT48" s="328">
        <f>AT38/AN38-1</f>
        <v>4.9242424242424088E-2</v>
      </c>
      <c r="AU48" s="328">
        <f t="shared" si="20"/>
        <v>7.8219013237063706E-2</v>
      </c>
      <c r="AV48" s="328">
        <f t="shared" si="20"/>
        <v>3.5714285714285809E-2</v>
      </c>
      <c r="AW48" s="328">
        <f t="shared" si="20"/>
        <v>1.7241379310344751E-2</v>
      </c>
      <c r="AX48" s="328">
        <f t="shared" si="20"/>
        <v>1.6949152542372836E-2</v>
      </c>
      <c r="AY48" s="328">
        <f>AY38/AN38-1</f>
        <v>7.575757575757569E-3</v>
      </c>
      <c r="AZ48" s="328">
        <f t="shared" si="21"/>
        <v>1.2531328320801949E-2</v>
      </c>
      <c r="BA48" s="328">
        <f t="shared" si="21"/>
        <v>-5.9405940594059348E-2</v>
      </c>
      <c r="BB48" s="328">
        <f t="shared" si="21"/>
        <v>-9.473684210526323E-2</v>
      </c>
      <c r="BC48" s="328">
        <f t="shared" si="21"/>
        <v>-0.12790697674418594</v>
      </c>
    </row>
    <row r="52" spans="40:93" x14ac:dyDescent="0.25">
      <c r="AN52" t="s">
        <v>745</v>
      </c>
      <c r="AY52" t="s">
        <v>746</v>
      </c>
    </row>
    <row r="61" spans="40:93" x14ac:dyDescent="0.25">
      <c r="BJ61">
        <v>2009</v>
      </c>
      <c r="BK61">
        <f>BJ61+1</f>
        <v>2010</v>
      </c>
      <c r="BL61">
        <f t="shared" ref="BL61:CO61" si="23">BK61+1</f>
        <v>2011</v>
      </c>
      <c r="BM61">
        <f t="shared" si="23"/>
        <v>2012</v>
      </c>
      <c r="BN61">
        <f t="shared" si="23"/>
        <v>2013</v>
      </c>
      <c r="BO61">
        <f t="shared" si="23"/>
        <v>2014</v>
      </c>
      <c r="BP61">
        <f t="shared" si="23"/>
        <v>2015</v>
      </c>
      <c r="BQ61">
        <f t="shared" si="23"/>
        <v>2016</v>
      </c>
      <c r="BR61">
        <f t="shared" si="23"/>
        <v>2017</v>
      </c>
      <c r="BS61">
        <f t="shared" si="23"/>
        <v>2018</v>
      </c>
      <c r="BT61">
        <f t="shared" si="23"/>
        <v>2019</v>
      </c>
      <c r="BU61">
        <f t="shared" si="23"/>
        <v>2020</v>
      </c>
      <c r="BV61">
        <f t="shared" si="23"/>
        <v>2021</v>
      </c>
      <c r="BW61">
        <f t="shared" si="23"/>
        <v>2022</v>
      </c>
      <c r="BX61">
        <f t="shared" si="23"/>
        <v>2023</v>
      </c>
      <c r="BY61">
        <f t="shared" si="23"/>
        <v>2024</v>
      </c>
      <c r="BZ61">
        <f t="shared" si="23"/>
        <v>2025</v>
      </c>
      <c r="CA61">
        <f t="shared" si="23"/>
        <v>2026</v>
      </c>
      <c r="CB61">
        <f t="shared" si="23"/>
        <v>2027</v>
      </c>
      <c r="CC61">
        <f t="shared" si="23"/>
        <v>2028</v>
      </c>
      <c r="CD61">
        <f t="shared" si="23"/>
        <v>2029</v>
      </c>
      <c r="CE61">
        <f t="shared" si="23"/>
        <v>2030</v>
      </c>
      <c r="CF61">
        <f t="shared" si="23"/>
        <v>2031</v>
      </c>
      <c r="CG61">
        <f t="shared" si="23"/>
        <v>2032</v>
      </c>
      <c r="CH61">
        <f t="shared" si="23"/>
        <v>2033</v>
      </c>
      <c r="CI61">
        <f t="shared" si="23"/>
        <v>2034</v>
      </c>
      <c r="CJ61">
        <f t="shared" si="23"/>
        <v>2035</v>
      </c>
      <c r="CK61">
        <f t="shared" si="23"/>
        <v>2036</v>
      </c>
      <c r="CL61">
        <f t="shared" si="23"/>
        <v>2037</v>
      </c>
      <c r="CM61">
        <f t="shared" si="23"/>
        <v>2038</v>
      </c>
      <c r="CN61">
        <f t="shared" si="23"/>
        <v>2039</v>
      </c>
      <c r="CO61">
        <f t="shared" si="23"/>
        <v>2040</v>
      </c>
    </row>
    <row r="62" spans="40:93" x14ac:dyDescent="0.25">
      <c r="BI62" t="s">
        <v>731</v>
      </c>
      <c r="BJ62">
        <v>56.836562006837397</v>
      </c>
      <c r="BK62">
        <v>68.779678025794695</v>
      </c>
      <c r="BL62">
        <v>79.639382805889497</v>
      </c>
      <c r="BM62">
        <v>77.842519345736903</v>
      </c>
      <c r="BN62">
        <v>76.314333558226096</v>
      </c>
      <c r="BO62">
        <v>74.8222129553005</v>
      </c>
      <c r="BP62">
        <v>73.365306398604005</v>
      </c>
      <c r="BQ62">
        <v>75.040990933453401</v>
      </c>
      <c r="BR62">
        <v>76.763259498371596</v>
      </c>
      <c r="BS62">
        <v>78.533407129394604</v>
      </c>
      <c r="BT62">
        <v>80.352764864560001</v>
      </c>
      <c r="BU62">
        <v>82.222700744763003</v>
      </c>
      <c r="BV62">
        <v>83.743644706949894</v>
      </c>
      <c r="BW62">
        <v>85.298049436305007</v>
      </c>
      <c r="BX62">
        <v>86.886651069705906</v>
      </c>
      <c r="BY62">
        <v>88.510201939041593</v>
      </c>
      <c r="BZ62">
        <v>90.169470927502701</v>
      </c>
      <c r="CA62">
        <v>91.849827716380801</v>
      </c>
      <c r="CB62">
        <v>93.566816283256401</v>
      </c>
      <c r="CC62">
        <v>95.321235200890001</v>
      </c>
      <c r="CD62">
        <v>97.1139004509279</v>
      </c>
      <c r="CE62">
        <v>98.945645803416596</v>
      </c>
      <c r="CF62">
        <v>100.834494556894</v>
      </c>
      <c r="CG62">
        <v>102.76489798294701</v>
      </c>
      <c r="CH62">
        <v>104.73777028437399</v>
      </c>
      <c r="CI62">
        <v>106.754045776433</v>
      </c>
      <c r="CJ62">
        <v>108.814679329317</v>
      </c>
      <c r="CK62">
        <v>111.016372615411</v>
      </c>
      <c r="CL62">
        <v>113.268704847086</v>
      </c>
      <c r="CM62">
        <v>115.57284072009</v>
      </c>
      <c r="CN62">
        <v>117.929971718172</v>
      </c>
      <c r="CO62">
        <v>120.341316729211</v>
      </c>
    </row>
    <row r="63" spans="40:93" x14ac:dyDescent="0.25">
      <c r="BI63" t="s">
        <v>732</v>
      </c>
      <c r="BJ63">
        <v>48.0870264618137</v>
      </c>
      <c r="BK63">
        <v>57.641519276979601</v>
      </c>
      <c r="BL63">
        <v>66.329283101055395</v>
      </c>
      <c r="BM63">
        <v>64.891792332933306</v>
      </c>
      <c r="BN63">
        <v>63.669243702924703</v>
      </c>
      <c r="BO63">
        <v>62.475547220584197</v>
      </c>
      <c r="BP63">
        <v>61.310021975227002</v>
      </c>
      <c r="BQ63">
        <v>62.650569603106497</v>
      </c>
      <c r="BR63">
        <v>64.028384455041106</v>
      </c>
      <c r="BS63">
        <v>65.444502559859501</v>
      </c>
      <c r="BT63">
        <v>66.899988747991799</v>
      </c>
      <c r="BU63">
        <v>68.395937452154101</v>
      </c>
      <c r="BV63">
        <v>69.612692621903705</v>
      </c>
      <c r="BW63">
        <v>70.856216405387798</v>
      </c>
      <c r="BX63">
        <v>72.127097712108494</v>
      </c>
      <c r="BY63">
        <v>73.425938407577107</v>
      </c>
      <c r="BZ63">
        <v>74.753353598345996</v>
      </c>
      <c r="CA63">
        <v>76.097639029448402</v>
      </c>
      <c r="CB63">
        <v>77.471229882948904</v>
      </c>
      <c r="CC63">
        <v>78.874765017055694</v>
      </c>
      <c r="CD63">
        <v>80.308897217086098</v>
      </c>
      <c r="CE63">
        <v>81.774293499077103</v>
      </c>
      <c r="CF63">
        <v>83.285372501859001</v>
      </c>
      <c r="CG63">
        <v>84.829695242702101</v>
      </c>
      <c r="CH63">
        <v>86.407993083843706</v>
      </c>
      <c r="CI63">
        <v>88.021013477490399</v>
      </c>
      <c r="CJ63">
        <v>89.6695203197974</v>
      </c>
      <c r="CK63">
        <v>91.430874948673207</v>
      </c>
      <c r="CL63">
        <v>93.232740734013106</v>
      </c>
      <c r="CM63">
        <v>95.0760494324159</v>
      </c>
      <c r="CN63">
        <v>96.961754230881894</v>
      </c>
      <c r="CO63">
        <v>98.890830239712699</v>
      </c>
    </row>
    <row r="64" spans="40:93" x14ac:dyDescent="0.25">
      <c r="BI64" t="s">
        <v>733</v>
      </c>
      <c r="BJ64">
        <v>91.693028043665805</v>
      </c>
      <c r="BK64">
        <v>98.858897655040195</v>
      </c>
      <c r="BL64">
        <v>105.374720523097</v>
      </c>
      <c r="BM64">
        <v>104.296602447005</v>
      </c>
      <c r="BN64">
        <v>103.379690974499</v>
      </c>
      <c r="BO64">
        <v>102.484418612743</v>
      </c>
      <c r="BP64">
        <v>101.61027467872501</v>
      </c>
      <c r="BQ64">
        <v>102.615685399635</v>
      </c>
      <c r="BR64">
        <v>103.64904653858601</v>
      </c>
      <c r="BS64">
        <v>104.7111351172</v>
      </c>
      <c r="BT64">
        <v>105.802749758299</v>
      </c>
      <c r="BU64">
        <v>106.924711286421</v>
      </c>
      <c r="BV64">
        <v>107.837277663733</v>
      </c>
      <c r="BW64">
        <v>108.76992050134599</v>
      </c>
      <c r="BX64">
        <v>109.723081481386</v>
      </c>
      <c r="BY64">
        <v>110.697212002988</v>
      </c>
      <c r="BZ64">
        <v>111.69277339606499</v>
      </c>
      <c r="CA64">
        <v>112.70098746939099</v>
      </c>
      <c r="CB64">
        <v>113.731180609517</v>
      </c>
      <c r="CC64">
        <v>114.783831960097</v>
      </c>
      <c r="CD64">
        <v>115.85943111012</v>
      </c>
      <c r="CE64">
        <v>116.958478321613</v>
      </c>
      <c r="CF64">
        <v>118.09178757369899</v>
      </c>
      <c r="CG64">
        <v>119.250029629332</v>
      </c>
      <c r="CH64">
        <v>120.433753010188</v>
      </c>
      <c r="CI64">
        <v>121.643518305423</v>
      </c>
      <c r="CJ64">
        <v>122.879898437153</v>
      </c>
      <c r="CK64">
        <v>124.20091440880999</v>
      </c>
      <c r="CL64">
        <v>125.55231374781501</v>
      </c>
      <c r="CM64">
        <v>126.93479527161701</v>
      </c>
      <c r="CN64">
        <v>128.34907387046701</v>
      </c>
      <c r="CO64">
        <v>129.79588087709001</v>
      </c>
    </row>
    <row r="65" spans="1:110" x14ac:dyDescent="0.25">
      <c r="C65" t="s">
        <v>747</v>
      </c>
      <c r="BI65" t="s">
        <v>734</v>
      </c>
      <c r="BJ65">
        <v>56.350556885865103</v>
      </c>
      <c r="BK65">
        <v>69.726846827097404</v>
      </c>
      <c r="BL65">
        <v>81.889716180803504</v>
      </c>
      <c r="BM65">
        <v>79.877229105432605</v>
      </c>
      <c r="BN65">
        <v>78.165661023420498</v>
      </c>
      <c r="BO65">
        <v>76.494485948143804</v>
      </c>
      <c r="BP65">
        <v>74.862750604643693</v>
      </c>
      <c r="BQ65">
        <v>76.739517283675099</v>
      </c>
      <c r="BR65">
        <v>78.668458076383502</v>
      </c>
      <c r="BS65">
        <v>80.651023423129203</v>
      </c>
      <c r="BT65">
        <v>82.688704086514406</v>
      </c>
      <c r="BU65">
        <v>84.783032272341799</v>
      </c>
      <c r="BV65">
        <v>86.486489509991202</v>
      </c>
      <c r="BW65">
        <v>88.227422806868901</v>
      </c>
      <c r="BX65">
        <v>90.006656636277896</v>
      </c>
      <c r="BY65">
        <v>91.825033609933797</v>
      </c>
      <c r="BZ65">
        <v>93.683414877010307</v>
      </c>
      <c r="CA65">
        <v>95.565414480553699</v>
      </c>
      <c r="CB65">
        <v>97.488441675454496</v>
      </c>
      <c r="CC65">
        <v>99.453390863204007</v>
      </c>
      <c r="CD65">
        <v>101.461175943246</v>
      </c>
      <c r="CE65">
        <v>103.512730738033</v>
      </c>
      <c r="CF65">
        <v>105.628241341928</v>
      </c>
      <c r="CG65">
        <v>107.79029317910801</v>
      </c>
      <c r="CH65">
        <v>109.999910156707</v>
      </c>
      <c r="CI65">
        <v>112.25813870781199</v>
      </c>
      <c r="CJ65">
        <v>114.56604828704199</v>
      </c>
      <c r="CK65">
        <v>117.031944767468</v>
      </c>
      <c r="CL65">
        <v>119.554556866944</v>
      </c>
      <c r="CM65">
        <v>122.135189044708</v>
      </c>
      <c r="CN65">
        <v>124.77517576256</v>
      </c>
      <c r="CO65">
        <v>127.475882174923</v>
      </c>
    </row>
    <row r="66" spans="1:110" x14ac:dyDescent="0.25">
      <c r="E66" s="333">
        <v>2010</v>
      </c>
      <c r="F66" s="333">
        <v>2011</v>
      </c>
      <c r="G66" s="333">
        <v>2012</v>
      </c>
      <c r="H66" s="333">
        <v>2013</v>
      </c>
      <c r="I66" s="333">
        <v>2014</v>
      </c>
      <c r="J66" s="333">
        <v>2015</v>
      </c>
      <c r="K66" s="333">
        <v>2016</v>
      </c>
      <c r="L66" s="333">
        <v>2017</v>
      </c>
      <c r="M66" s="333">
        <v>2018</v>
      </c>
      <c r="N66" s="333">
        <v>2019</v>
      </c>
      <c r="O66" s="333">
        <v>2020</v>
      </c>
      <c r="P66" s="333">
        <v>2021</v>
      </c>
      <c r="Q66" s="333">
        <v>2022</v>
      </c>
      <c r="R66" s="333">
        <v>2023</v>
      </c>
      <c r="S66" s="333">
        <v>2024</v>
      </c>
      <c r="T66" s="333">
        <v>2025</v>
      </c>
      <c r="U66" s="333">
        <v>2026</v>
      </c>
      <c r="V66" s="333">
        <v>2027</v>
      </c>
      <c r="W66" s="333">
        <v>2028</v>
      </c>
      <c r="X66" s="333">
        <v>2029</v>
      </c>
      <c r="Y66" s="333">
        <v>2030</v>
      </c>
      <c r="Z66" s="333">
        <v>2031</v>
      </c>
      <c r="AA66" s="333">
        <v>2032</v>
      </c>
      <c r="AB66" s="333">
        <v>2033</v>
      </c>
      <c r="AC66" s="333">
        <v>2034</v>
      </c>
      <c r="AD66" s="333">
        <v>2035</v>
      </c>
      <c r="AE66" s="333">
        <v>2036</v>
      </c>
      <c r="AF66" s="333">
        <v>2037</v>
      </c>
      <c r="AG66" s="333">
        <v>2038</v>
      </c>
      <c r="AH66" s="333">
        <v>2039</v>
      </c>
      <c r="AI66" s="333">
        <v>2040</v>
      </c>
      <c r="AJ66" s="334">
        <v>2040</v>
      </c>
      <c r="BI66" t="s">
        <v>266</v>
      </c>
      <c r="BJ66">
        <v>59.214752586665199</v>
      </c>
      <c r="BK66">
        <v>72.5910425278975</v>
      </c>
      <c r="BL66">
        <v>84.753911881603599</v>
      </c>
      <c r="BM66">
        <v>82.7414248062327</v>
      </c>
      <c r="BN66">
        <v>81.029856724220593</v>
      </c>
      <c r="BO66">
        <v>79.358681648944</v>
      </c>
      <c r="BP66">
        <v>77.726946305443803</v>
      </c>
      <c r="BQ66">
        <v>79.603712984475195</v>
      </c>
      <c r="BR66">
        <v>81.532653777183597</v>
      </c>
      <c r="BS66">
        <v>83.515219123929299</v>
      </c>
      <c r="BT66">
        <v>85.552899787314502</v>
      </c>
      <c r="BU66">
        <v>87.647227973141895</v>
      </c>
      <c r="BV66">
        <v>89.350685210791298</v>
      </c>
      <c r="BW66">
        <v>91.091618507668997</v>
      </c>
      <c r="BX66">
        <v>92.870852337078006</v>
      </c>
      <c r="BY66">
        <v>94.689229310734007</v>
      </c>
      <c r="BZ66">
        <v>96.547610577810403</v>
      </c>
      <c r="CA66">
        <v>98.429610181353894</v>
      </c>
      <c r="CB66">
        <v>100.35263737625399</v>
      </c>
      <c r="CC66">
        <v>102.317586564004</v>
      </c>
      <c r="CD66">
        <v>104.325371644046</v>
      </c>
      <c r="CE66">
        <v>106.376926438834</v>
      </c>
      <c r="CF66">
        <v>108.492437042728</v>
      </c>
      <c r="CG66">
        <v>110.654488879909</v>
      </c>
      <c r="CH66">
        <v>112.864105857507</v>
      </c>
      <c r="CI66">
        <v>115.12233440861201</v>
      </c>
      <c r="CJ66">
        <v>117.430243987842</v>
      </c>
      <c r="CK66">
        <v>119.896140468268</v>
      </c>
      <c r="CL66">
        <v>122.41875256774399</v>
      </c>
      <c r="CM66">
        <v>124.999384745508</v>
      </c>
      <c r="CN66">
        <v>127.63937146336001</v>
      </c>
      <c r="CO66">
        <v>130.34007787572301</v>
      </c>
    </row>
    <row r="67" spans="1:110" x14ac:dyDescent="0.25">
      <c r="C67" t="s">
        <v>748</v>
      </c>
      <c r="E67" s="82">
        <v>79.389076000000003</v>
      </c>
      <c r="F67" s="82">
        <v>94.859168999999994</v>
      </c>
      <c r="G67" s="82">
        <v>94.859168999999994</v>
      </c>
      <c r="H67" s="82">
        <v>92.487885000000006</v>
      </c>
      <c r="I67" s="82">
        <v>87.805297999999993</v>
      </c>
      <c r="J67" s="82">
        <v>88.300728000000007</v>
      </c>
      <c r="K67" s="82">
        <v>88.208190999999999</v>
      </c>
      <c r="L67" s="82">
        <v>91.330726999999996</v>
      </c>
      <c r="M67" s="82">
        <v>96.076545999999993</v>
      </c>
      <c r="N67" s="82">
        <v>98.696785000000006</v>
      </c>
      <c r="O67" s="82">
        <v>101.262398</v>
      </c>
      <c r="P67" s="82">
        <v>103.574341</v>
      </c>
      <c r="Q67" s="82">
        <v>105.833641</v>
      </c>
      <c r="R67" s="82">
        <v>108.141273</v>
      </c>
      <c r="S67" s="82">
        <v>110.498299</v>
      </c>
      <c r="T67" s="82">
        <v>112.905762</v>
      </c>
      <c r="U67" s="82">
        <v>115.364754</v>
      </c>
      <c r="V67" s="82">
        <v>117.876358</v>
      </c>
      <c r="W67" s="82">
        <v>120.441711</v>
      </c>
      <c r="X67" s="82">
        <v>123.061966</v>
      </c>
      <c r="Y67" s="82">
        <v>125.738281</v>
      </c>
      <c r="Z67" s="82">
        <v>128.47189299999999</v>
      </c>
      <c r="AA67" s="82">
        <v>131.263992</v>
      </c>
      <c r="AB67" s="82">
        <v>134.11582899999999</v>
      </c>
      <c r="AC67" s="82">
        <v>137.028717</v>
      </c>
      <c r="AD67" s="82">
        <v>140.184662</v>
      </c>
      <c r="AE67" s="82">
        <v>143.41224700000001</v>
      </c>
      <c r="AF67" s="82">
        <v>146.71312</v>
      </c>
      <c r="AG67" s="82">
        <v>150.088898</v>
      </c>
      <c r="AH67" s="82">
        <v>153.54132100000001</v>
      </c>
      <c r="AI67" s="82">
        <v>157.07212799999999</v>
      </c>
      <c r="AJ67">
        <v>160.683044</v>
      </c>
    </row>
    <row r="68" spans="1:110" x14ac:dyDescent="0.25">
      <c r="BK68" t="s">
        <v>749</v>
      </c>
      <c r="BX68" t="s">
        <v>750</v>
      </c>
      <c r="CJ68" t="s">
        <v>751</v>
      </c>
      <c r="CU68" t="s">
        <v>752</v>
      </c>
      <c r="DF68" t="s">
        <v>753</v>
      </c>
    </row>
    <row r="70" spans="1:110" x14ac:dyDescent="0.25">
      <c r="F70" s="82">
        <f>U33</f>
        <v>104.73927357360537</v>
      </c>
    </row>
    <row r="73" spans="1:110" x14ac:dyDescent="0.25">
      <c r="E73" s="323">
        <f>E77/D77-1</f>
        <v>0.27288760622093955</v>
      </c>
      <c r="F73" s="323">
        <f>F76/E76-1</f>
        <v>0.194850346391233</v>
      </c>
      <c r="G73" s="323">
        <f>G77/F77-1</f>
        <v>-2.6586676825228861E-2</v>
      </c>
      <c r="J73" s="328">
        <f>(J76/G76)^(1/(J75-G75))-1</f>
        <v>-2.3598758847122037E-2</v>
      </c>
      <c r="O73" s="328">
        <f>(O76/J76)^(1/(O75-J75))-1</f>
        <v>2.7772006767478707E-2</v>
      </c>
      <c r="T73" s="328">
        <f>(T76/O76)^(1/(T75-O75))-1</f>
        <v>2.2006315854426139E-2</v>
      </c>
      <c r="Y73" s="328">
        <f>(Y76/T76)^(1/(Y75-T75))-1</f>
        <v>2.1763260013069941E-2</v>
      </c>
      <c r="AD73" s="328">
        <f>(AD76/Y76)^(1/(AD75-Y75))-1</f>
        <v>2.198988164876714E-2</v>
      </c>
      <c r="AI73" s="328">
        <f>(AI76/AD76)^(1/(AI75-AD75))-1</f>
        <v>2.3009639008272131E-2</v>
      </c>
    </row>
    <row r="74" spans="1:110" x14ac:dyDescent="0.25">
      <c r="C74" t="s">
        <v>754</v>
      </c>
    </row>
    <row r="75" spans="1:110" x14ac:dyDescent="0.25">
      <c r="C75" t="s">
        <v>253</v>
      </c>
      <c r="D75">
        <v>2009</v>
      </c>
      <c r="E75">
        <v>2010</v>
      </c>
      <c r="F75">
        <f>+E75+1</f>
        <v>2011</v>
      </c>
      <c r="G75">
        <f t="shared" ref="G75:BB75" si="24">+F75+1</f>
        <v>2012</v>
      </c>
      <c r="H75">
        <f t="shared" si="24"/>
        <v>2013</v>
      </c>
      <c r="I75">
        <f t="shared" si="24"/>
        <v>2014</v>
      </c>
      <c r="J75">
        <f t="shared" si="24"/>
        <v>2015</v>
      </c>
      <c r="K75">
        <f t="shared" si="24"/>
        <v>2016</v>
      </c>
      <c r="L75">
        <f t="shared" si="24"/>
        <v>2017</v>
      </c>
      <c r="M75">
        <f t="shared" si="24"/>
        <v>2018</v>
      </c>
      <c r="N75">
        <f t="shared" si="24"/>
        <v>2019</v>
      </c>
      <c r="O75">
        <f t="shared" si="24"/>
        <v>2020</v>
      </c>
      <c r="P75">
        <f t="shared" si="24"/>
        <v>2021</v>
      </c>
      <c r="Q75">
        <f t="shared" si="24"/>
        <v>2022</v>
      </c>
      <c r="R75">
        <f t="shared" si="24"/>
        <v>2023</v>
      </c>
      <c r="S75">
        <f t="shared" si="24"/>
        <v>2024</v>
      </c>
      <c r="T75">
        <f t="shared" si="24"/>
        <v>2025</v>
      </c>
      <c r="U75">
        <f t="shared" si="24"/>
        <v>2026</v>
      </c>
      <c r="V75">
        <f t="shared" si="24"/>
        <v>2027</v>
      </c>
      <c r="W75">
        <f t="shared" si="24"/>
        <v>2028</v>
      </c>
      <c r="X75">
        <f t="shared" si="24"/>
        <v>2029</v>
      </c>
      <c r="Y75">
        <f t="shared" si="24"/>
        <v>2030</v>
      </c>
      <c r="Z75">
        <f t="shared" si="24"/>
        <v>2031</v>
      </c>
      <c r="AA75">
        <f t="shared" si="24"/>
        <v>2032</v>
      </c>
      <c r="AB75">
        <f t="shared" si="24"/>
        <v>2033</v>
      </c>
      <c r="AC75">
        <f t="shared" si="24"/>
        <v>2034</v>
      </c>
      <c r="AD75">
        <f t="shared" si="24"/>
        <v>2035</v>
      </c>
      <c r="AE75">
        <f t="shared" si="24"/>
        <v>2036</v>
      </c>
      <c r="AF75">
        <f t="shared" si="24"/>
        <v>2037</v>
      </c>
      <c r="AG75">
        <f t="shared" si="24"/>
        <v>2038</v>
      </c>
      <c r="AH75">
        <f t="shared" si="24"/>
        <v>2039</v>
      </c>
      <c r="AI75">
        <f t="shared" si="24"/>
        <v>2040</v>
      </c>
      <c r="AJ75">
        <f t="shared" si="24"/>
        <v>2041</v>
      </c>
      <c r="AK75">
        <f t="shared" si="24"/>
        <v>2042</v>
      </c>
      <c r="AL75">
        <f t="shared" si="24"/>
        <v>2043</v>
      </c>
      <c r="AM75">
        <f t="shared" si="24"/>
        <v>2044</v>
      </c>
      <c r="AN75">
        <f t="shared" si="24"/>
        <v>2045</v>
      </c>
      <c r="AX75">
        <f>+AN75+1</f>
        <v>2046</v>
      </c>
      <c r="AY75">
        <f t="shared" si="24"/>
        <v>2047</v>
      </c>
      <c r="AZ75">
        <f t="shared" si="24"/>
        <v>2048</v>
      </c>
      <c r="BA75">
        <f t="shared" si="24"/>
        <v>2049</v>
      </c>
      <c r="BB75">
        <f t="shared" si="24"/>
        <v>2050</v>
      </c>
      <c r="BC75" t="s">
        <v>253</v>
      </c>
      <c r="BD75" t="s">
        <v>253</v>
      </c>
      <c r="BE75" t="s">
        <v>744</v>
      </c>
    </row>
    <row r="76" spans="1:110" ht="51.75" x14ac:dyDescent="0.25">
      <c r="A76">
        <v>1</v>
      </c>
      <c r="B76" t="s">
        <v>755</v>
      </c>
      <c r="C76" s="335" t="s">
        <v>756</v>
      </c>
      <c r="D76" s="336">
        <v>62.37</v>
      </c>
      <c r="E76" s="336">
        <v>79.39</v>
      </c>
      <c r="F76" s="337">
        <v>94.859168999999994</v>
      </c>
      <c r="G76" s="337">
        <f>G67/[11]Deflator!$V$17</f>
        <v>92.33717892988723</v>
      </c>
      <c r="H76" s="337">
        <f>H67/[11]Deflator!$V$17</f>
        <v>90.028939491256082</v>
      </c>
      <c r="I76" s="337">
        <f>I67/[11]Deflator!$V$17</f>
        <v>85.470846918531095</v>
      </c>
      <c r="J76" s="337">
        <f>J67/[11]Deflator!$V$17</f>
        <v>85.953105081231584</v>
      </c>
      <c r="K76" s="337">
        <f>K67/[11]Deflator!$V$17</f>
        <v>85.863028332544943</v>
      </c>
      <c r="L76" s="337">
        <f>L67/[11]Deflator!$V$17</f>
        <v>88.902546477037802</v>
      </c>
      <c r="M76" s="337">
        <f>M67/[11]Deflator!$V$17</f>
        <v>93.522189921013762</v>
      </c>
      <c r="N76" s="337">
        <f>N67/[11]Deflator!$V$17</f>
        <v>96.072765473515915</v>
      </c>
      <c r="O76" s="337">
        <f>O67/[11]Deflator!$V$17</f>
        <v>98.57016734982632</v>
      </c>
      <c r="P76" s="337">
        <f>P67/[11]Deflator!$V$17</f>
        <v>100.82064346844696</v>
      </c>
      <c r="Q76" s="337">
        <f>Q67/[11]Deflator!$V$17</f>
        <v>103.01987618949572</v>
      </c>
      <c r="R76" s="337">
        <f>R67/[11]Deflator!$V$17</f>
        <v>105.26615592328017</v>
      </c>
      <c r="S76" s="337">
        <f>S67/[11]Deflator!$V$17</f>
        <v>107.5605164347495</v>
      </c>
      <c r="T76" s="337">
        <f>T67/[11]Deflator!$V$17</f>
        <v>109.9039729939998</v>
      </c>
      <c r="U76" s="337">
        <f>U67/[11]Deflator!$V$17</f>
        <v>112.29758856837999</v>
      </c>
      <c r="V76" s="337">
        <f>V67/[11]Deflator!$V$17</f>
        <v>114.74241736451903</v>
      </c>
      <c r="W76" s="337">
        <f>W67/[11]Deflator!$V$17</f>
        <v>117.2395661533654</v>
      </c>
      <c r="X76" s="337">
        <f>X67/[11]Deflator!$V$17</f>
        <v>119.79015728048071</v>
      </c>
      <c r="Y76" s="337">
        <f>Y67/[11]Deflator!$V$17</f>
        <v>122.39531795849319</v>
      </c>
      <c r="Z76" s="337">
        <f>Z67/[11]Deflator!$V$17</f>
        <v>125.05625229968362</v>
      </c>
      <c r="AA76" s="337">
        <f>AA67/[11]Deflator!$V$17</f>
        <v>127.77411866590658</v>
      </c>
      <c r="AB76" s="337">
        <f>AB67/[11]Deflator!$V$17</f>
        <v>130.55013479722936</v>
      </c>
      <c r="AC76" s="337">
        <f>AC67/[11]Deflator!$V$17</f>
        <v>133.38557878534527</v>
      </c>
      <c r="AD76" s="337">
        <f>AD67/[11]Deflator!$V$17</f>
        <v>136.45761769555207</v>
      </c>
      <c r="AE76" s="337">
        <f>AE67/[11]Deflator!$V$17</f>
        <v>139.59939193623111</v>
      </c>
      <c r="AF76" s="337">
        <f>AF67/[11]Deflator!$V$17</f>
        <v>142.81250569253899</v>
      </c>
      <c r="AG76" s="337">
        <f>AG67/[11]Deflator!$V$17</f>
        <v>146.09853297381929</v>
      </c>
      <c r="AH76" s="337">
        <f>AH67/[11]Deflator!$V$17</f>
        <v>149.45916751925429</v>
      </c>
      <c r="AI76" s="337">
        <f>AI67/[11]Deflator!$V$17</f>
        <v>152.89610209461301</v>
      </c>
      <c r="AJ76">
        <f t="shared" ref="AJ76:AN77" si="25">FORECAST(AJ$75,Y76:AI76,Y$75:AI$75)</f>
        <v>155.27101346119434</v>
      </c>
      <c r="AK76">
        <f t="shared" si="25"/>
        <v>158.49110875989118</v>
      </c>
      <c r="AL76">
        <f t="shared" si="25"/>
        <v>161.71787616588426</v>
      </c>
      <c r="AM76">
        <f t="shared" si="25"/>
        <v>164.93669887188025</v>
      </c>
      <c r="AN76">
        <f t="shared" si="25"/>
        <v>168.1306741474591</v>
      </c>
      <c r="AX76">
        <f>FORECAST(AX$75,AD76:AN76,AD$75:AN$75)</f>
        <v>171.28066006182507</v>
      </c>
      <c r="AY76">
        <f t="shared" ref="AY76:BB77" si="26">FORECAST(AY$75,AE76:AX76,AE$75:AX$75)</f>
        <v>174.40702666770994</v>
      </c>
      <c r="AZ76">
        <f t="shared" si="26"/>
        <v>177.51341636719098</v>
      </c>
      <c r="BA76">
        <f t="shared" si="26"/>
        <v>180.61026731443872</v>
      </c>
      <c r="BB76">
        <f t="shared" si="26"/>
        <v>183.71716629037019</v>
      </c>
      <c r="BE76" s="338">
        <v>2.4E-2</v>
      </c>
    </row>
    <row r="77" spans="1:110" x14ac:dyDescent="0.25">
      <c r="A77">
        <v>2</v>
      </c>
      <c r="B77" t="s">
        <v>757</v>
      </c>
      <c r="C77" t="s">
        <v>757</v>
      </c>
      <c r="D77">
        <f>+D76</f>
        <v>62.37</v>
      </c>
      <c r="E77">
        <f>+E76</f>
        <v>79.39</v>
      </c>
      <c r="F77">
        <f>+F76</f>
        <v>94.859168999999994</v>
      </c>
      <c r="G77" s="339">
        <f>G76</f>
        <v>92.33717892988723</v>
      </c>
      <c r="H77" s="340">
        <f>($O$77/$G$77)^(1/($O$75-$G$75))*G77</f>
        <v>98.513554427606991</v>
      </c>
      <c r="I77" s="340">
        <f t="shared" ref="I77:N77" si="27">($O$77/$G$77)^(1/($O$75-$G$75))*H77</f>
        <v>105.10306377596994</v>
      </c>
      <c r="J77" s="340">
        <f t="shared" si="27"/>
        <v>112.13334123694902</v>
      </c>
      <c r="K77" s="340">
        <f t="shared" si="27"/>
        <v>119.63386951082258</v>
      </c>
      <c r="L77" s="340">
        <f t="shared" si="27"/>
        <v>127.63610337704354</v>
      </c>
      <c r="M77" s="340">
        <f t="shared" si="27"/>
        <v>136.17360160536808</v>
      </c>
      <c r="N77" s="340">
        <f t="shared" si="27"/>
        <v>145.28216769043632</v>
      </c>
      <c r="O77" s="341">
        <v>155</v>
      </c>
      <c r="P77" s="340">
        <f>($Y$77/$O$77)^(1/($Y$75-$O$75))*O77</f>
        <v>159.00161221441482</v>
      </c>
      <c r="Q77" s="340">
        <f t="shared" ref="Q77:X77" si="28">($Y$77/$O$77)^(1/($Y$75-$O$75))*P77</f>
        <v>163.10653346311707</v>
      </c>
      <c r="R77" s="340">
        <f t="shared" si="28"/>
        <v>167.31743086025816</v>
      </c>
      <c r="S77" s="340">
        <f t="shared" si="28"/>
        <v>171.63704037648341</v>
      </c>
      <c r="T77" s="340">
        <f t="shared" si="28"/>
        <v>176.06816861659016</v>
      </c>
      <c r="U77" s="340">
        <f t="shared" si="28"/>
        <v>180.61369464307916</v>
      </c>
      <c r="V77" s="340">
        <f t="shared" si="28"/>
        <v>185.27657184678452</v>
      </c>
      <c r="W77" s="340">
        <f t="shared" si="28"/>
        <v>190.05982986579741</v>
      </c>
      <c r="X77" s="340">
        <f t="shared" si="28"/>
        <v>194.96657655393017</v>
      </c>
      <c r="Y77" s="341">
        <v>200</v>
      </c>
      <c r="Z77" s="340">
        <f>($AI$77/$Y$77)^(1/($AI$75-$Y$75))*Y77</f>
        <v>204.1002818892168</v>
      </c>
      <c r="AA77" s="340">
        <f t="shared" ref="AA77:AH77" si="29">($AI$77/$Y$77)^(1/($AI$75-$Y$75))*Z77</f>
        <v>208.2846253362888</v>
      </c>
      <c r="AB77" s="340">
        <f t="shared" si="29"/>
        <v>212.55475372163227</v>
      </c>
      <c r="AC77" s="340">
        <f t="shared" si="29"/>
        <v>216.91242575739099</v>
      </c>
      <c r="AD77" s="340">
        <f t="shared" si="29"/>
        <v>221.35943621178657</v>
      </c>
      <c r="AE77" s="340">
        <f t="shared" si="29"/>
        <v>225.89761664831872</v>
      </c>
      <c r="AF77" s="340">
        <f t="shared" si="29"/>
        <v>230.52883618012044</v>
      </c>
      <c r="AG77" s="340">
        <f t="shared" si="29"/>
        <v>235.25500223977832</v>
      </c>
      <c r="AH77" s="340">
        <f t="shared" si="29"/>
        <v>240.07806136493542</v>
      </c>
      <c r="AI77" s="341">
        <v>245</v>
      </c>
      <c r="AJ77">
        <f t="shared" si="25"/>
        <v>248.8022183638368</v>
      </c>
      <c r="AK77">
        <f t="shared" si="25"/>
        <v>253.45915016798972</v>
      </c>
      <c r="AL77">
        <f t="shared" si="25"/>
        <v>258.116730073074</v>
      </c>
      <c r="AM77">
        <f t="shared" si="25"/>
        <v>262.76470012501886</v>
      </c>
      <c r="AN77">
        <f t="shared" si="25"/>
        <v>267.39402937401974</v>
      </c>
      <c r="AX77">
        <f>FORECAST(AX$75,AD77:AN77,AD$75:AN$75)</f>
        <v>271.99802193637879</v>
      </c>
      <c r="AY77">
        <f t="shared" si="26"/>
        <v>276.57376315881811</v>
      </c>
      <c r="AZ77">
        <f t="shared" si="26"/>
        <v>281.12396643489228</v>
      </c>
      <c r="BA77">
        <f t="shared" si="26"/>
        <v>285.65928752739273</v>
      </c>
      <c r="BB77">
        <f t="shared" si="26"/>
        <v>290.20117570827824</v>
      </c>
    </row>
    <row r="78" spans="1:110" x14ac:dyDescent="0.25">
      <c r="A78">
        <v>3</v>
      </c>
      <c r="B78" t="s">
        <v>758</v>
      </c>
    </row>
    <row r="80" spans="1:110" x14ac:dyDescent="0.25">
      <c r="AF80" t="s">
        <v>253</v>
      </c>
    </row>
    <row r="82" spans="1:121" x14ac:dyDescent="0.25">
      <c r="C82" t="s">
        <v>759</v>
      </c>
    </row>
    <row r="83" spans="1:121" x14ac:dyDescent="0.25">
      <c r="C83" t="s">
        <v>253</v>
      </c>
      <c r="D83">
        <v>2009</v>
      </c>
      <c r="E83">
        <v>2010</v>
      </c>
      <c r="F83">
        <f t="shared" ref="F83:BB83" si="30">+E83+1</f>
        <v>2011</v>
      </c>
      <c r="G83">
        <f t="shared" si="30"/>
        <v>2012</v>
      </c>
      <c r="H83">
        <f t="shared" si="30"/>
        <v>2013</v>
      </c>
      <c r="I83">
        <f t="shared" si="30"/>
        <v>2014</v>
      </c>
      <c r="J83">
        <f t="shared" si="30"/>
        <v>2015</v>
      </c>
      <c r="K83">
        <f t="shared" si="30"/>
        <v>2016</v>
      </c>
      <c r="L83">
        <f t="shared" si="30"/>
        <v>2017</v>
      </c>
      <c r="M83">
        <f t="shared" si="30"/>
        <v>2018</v>
      </c>
      <c r="N83">
        <f t="shared" si="30"/>
        <v>2019</v>
      </c>
      <c r="O83">
        <f t="shared" si="30"/>
        <v>2020</v>
      </c>
      <c r="P83">
        <f t="shared" si="30"/>
        <v>2021</v>
      </c>
      <c r="Q83">
        <f t="shared" si="30"/>
        <v>2022</v>
      </c>
      <c r="R83">
        <f t="shared" si="30"/>
        <v>2023</v>
      </c>
      <c r="S83">
        <f t="shared" si="30"/>
        <v>2024</v>
      </c>
      <c r="T83">
        <f t="shared" si="30"/>
        <v>2025</v>
      </c>
      <c r="U83">
        <f t="shared" si="30"/>
        <v>2026</v>
      </c>
      <c r="V83">
        <f t="shared" si="30"/>
        <v>2027</v>
      </c>
      <c r="W83">
        <f t="shared" si="30"/>
        <v>2028</v>
      </c>
      <c r="X83">
        <f t="shared" si="30"/>
        <v>2029</v>
      </c>
      <c r="Y83">
        <f t="shared" si="30"/>
        <v>2030</v>
      </c>
      <c r="Z83">
        <f t="shared" si="30"/>
        <v>2031</v>
      </c>
      <c r="AA83">
        <f t="shared" si="30"/>
        <v>2032</v>
      </c>
      <c r="AB83">
        <f t="shared" si="30"/>
        <v>2033</v>
      </c>
      <c r="AC83">
        <f t="shared" si="30"/>
        <v>2034</v>
      </c>
      <c r="AD83">
        <f t="shared" si="30"/>
        <v>2035</v>
      </c>
      <c r="AE83">
        <f t="shared" si="30"/>
        <v>2036</v>
      </c>
      <c r="AF83">
        <f t="shared" si="30"/>
        <v>2037</v>
      </c>
      <c r="AG83">
        <f t="shared" si="30"/>
        <v>2038</v>
      </c>
      <c r="AH83">
        <f t="shared" si="30"/>
        <v>2039</v>
      </c>
      <c r="AI83">
        <f t="shared" si="30"/>
        <v>2040</v>
      </c>
      <c r="AJ83">
        <f t="shared" si="30"/>
        <v>2041</v>
      </c>
      <c r="AK83">
        <f t="shared" si="30"/>
        <v>2042</v>
      </c>
      <c r="AL83">
        <f t="shared" si="30"/>
        <v>2043</v>
      </c>
      <c r="AM83">
        <f t="shared" si="30"/>
        <v>2044</v>
      </c>
      <c r="AN83">
        <f t="shared" si="30"/>
        <v>2045</v>
      </c>
      <c r="AX83">
        <f>+AN83+1</f>
        <v>2046</v>
      </c>
      <c r="AY83">
        <f t="shared" si="30"/>
        <v>2047</v>
      </c>
      <c r="AZ83">
        <f t="shared" si="30"/>
        <v>2048</v>
      </c>
      <c r="BA83">
        <f t="shared" si="30"/>
        <v>2049</v>
      </c>
      <c r="BB83">
        <f t="shared" si="30"/>
        <v>2050</v>
      </c>
      <c r="BC83" t="s">
        <v>253</v>
      </c>
      <c r="BD83" t="s">
        <v>253</v>
      </c>
      <c r="BE83" t="s">
        <v>744</v>
      </c>
    </row>
    <row r="84" spans="1:121" ht="51.75" x14ac:dyDescent="0.25">
      <c r="A84">
        <v>1</v>
      </c>
      <c r="B84" t="s">
        <v>755</v>
      </c>
      <c r="C84" s="335" t="s">
        <v>756</v>
      </c>
      <c r="D84" s="336">
        <v>62.37</v>
      </c>
      <c r="E84" s="336">
        <v>79.39</v>
      </c>
      <c r="F84" s="336">
        <v>92.86</v>
      </c>
      <c r="G84" s="336">
        <v>94.73</v>
      </c>
      <c r="H84" s="336">
        <v>103.71</v>
      </c>
      <c r="I84" s="336">
        <v>110.9</v>
      </c>
      <c r="J84" s="336">
        <v>116.91</v>
      </c>
      <c r="K84" s="336">
        <v>119.92</v>
      </c>
      <c r="L84" s="336">
        <v>122.89</v>
      </c>
      <c r="M84" s="336">
        <v>124</v>
      </c>
      <c r="N84" s="336">
        <v>125.22</v>
      </c>
      <c r="O84" s="336">
        <v>126.68</v>
      </c>
      <c r="P84" s="336">
        <v>127.99</v>
      </c>
      <c r="Q84" s="336">
        <v>129.41999999999999</v>
      </c>
      <c r="R84" s="336">
        <v>130.47999999999999</v>
      </c>
      <c r="S84" s="336">
        <v>131.54</v>
      </c>
      <c r="T84" s="336">
        <v>132.56</v>
      </c>
      <c r="U84" s="336">
        <v>133.47999999999999</v>
      </c>
      <c r="V84" s="336">
        <v>134.34</v>
      </c>
      <c r="W84" s="336">
        <v>135.38</v>
      </c>
      <c r="X84" s="336">
        <v>137.03</v>
      </c>
      <c r="Y84" s="336">
        <v>138.49</v>
      </c>
      <c r="Z84" s="336">
        <v>139.84</v>
      </c>
      <c r="AA84" s="336">
        <v>141.13999999999999</v>
      </c>
      <c r="AB84" s="336">
        <v>142.35</v>
      </c>
      <c r="AC84" s="336">
        <v>143.79</v>
      </c>
      <c r="AD84" s="335">
        <v>144.97999999999999</v>
      </c>
      <c r="AE84">
        <f t="shared" ref="AE84:BB84" si="31">(($AD$76-$I$76)/21)+AD84</f>
        <v>147.40794146557241</v>
      </c>
      <c r="AF84">
        <f t="shared" si="31"/>
        <v>149.83588293114482</v>
      </c>
      <c r="AG84">
        <f t="shared" si="31"/>
        <v>152.26382439671724</v>
      </c>
      <c r="AH84">
        <f t="shared" si="31"/>
        <v>154.69176586228966</v>
      </c>
      <c r="AI84">
        <f t="shared" si="31"/>
        <v>157.11970732786207</v>
      </c>
      <c r="AJ84">
        <f t="shared" si="31"/>
        <v>159.54764879343449</v>
      </c>
      <c r="AK84">
        <f t="shared" si="31"/>
        <v>161.97559025900691</v>
      </c>
      <c r="AL84">
        <f t="shared" si="31"/>
        <v>164.40353172457932</v>
      </c>
      <c r="AM84">
        <f t="shared" si="31"/>
        <v>166.83147319015174</v>
      </c>
      <c r="AN84">
        <f t="shared" si="31"/>
        <v>169.25941465572416</v>
      </c>
      <c r="AX84">
        <f>(($AD$76-$I$76)/21)+AN84</f>
        <v>171.68735612129657</v>
      </c>
      <c r="AY84">
        <f t="shared" si="31"/>
        <v>174.11529758686899</v>
      </c>
      <c r="AZ84">
        <f t="shared" si="31"/>
        <v>176.54323905244141</v>
      </c>
      <c r="BA84">
        <f t="shared" si="31"/>
        <v>178.97118051801382</v>
      </c>
      <c r="BB84">
        <f t="shared" si="31"/>
        <v>181.39912198358624</v>
      </c>
      <c r="BE84" s="338">
        <v>2.4E-2</v>
      </c>
    </row>
    <row r="85" spans="1:121" x14ac:dyDescent="0.25">
      <c r="A85">
        <v>2</v>
      </c>
      <c r="B85" t="s">
        <v>757</v>
      </c>
      <c r="C85" t="s">
        <v>757</v>
      </c>
      <c r="D85">
        <f>+D84</f>
        <v>62.37</v>
      </c>
      <c r="E85">
        <f>+E84</f>
        <v>79.39</v>
      </c>
      <c r="F85">
        <f>+F84</f>
        <v>92.86</v>
      </c>
      <c r="G85" s="335">
        <v>139.22</v>
      </c>
      <c r="H85" s="335">
        <v>173.04</v>
      </c>
      <c r="I85" s="335">
        <v>178.88</v>
      </c>
      <c r="J85" s="335">
        <v>182.1</v>
      </c>
      <c r="K85" s="335">
        <v>184.27</v>
      </c>
      <c r="L85" s="335">
        <v>185.75</v>
      </c>
      <c r="M85" s="335">
        <v>187.38</v>
      </c>
      <c r="N85" s="335">
        <v>188.86</v>
      </c>
      <c r="O85" s="335">
        <v>189.93</v>
      </c>
      <c r="P85" s="335">
        <v>191.04</v>
      </c>
      <c r="Q85" s="335">
        <v>191.91</v>
      </c>
      <c r="R85" s="335">
        <v>192.47</v>
      </c>
      <c r="S85" s="335">
        <v>192.85</v>
      </c>
      <c r="T85" s="335">
        <v>193.48</v>
      </c>
      <c r="U85" s="335">
        <v>194.18</v>
      </c>
      <c r="V85" s="335">
        <v>195.14</v>
      </c>
      <c r="W85" s="335">
        <v>195.82</v>
      </c>
      <c r="X85" s="335">
        <v>196.98</v>
      </c>
      <c r="Y85" s="335">
        <v>198.24</v>
      </c>
      <c r="Z85" s="335">
        <v>198.88</v>
      </c>
      <c r="AA85" s="335">
        <v>199.24</v>
      </c>
      <c r="AB85" s="335">
        <v>199.55</v>
      </c>
      <c r="AC85" s="335">
        <v>200.3</v>
      </c>
      <c r="AD85" s="335">
        <v>200.36</v>
      </c>
      <c r="AE85">
        <f t="shared" ref="AE85:BB85" si="32">(($AD$77-$I$77)/21)+AD85</f>
        <v>205.8960177350389</v>
      </c>
      <c r="AF85">
        <f t="shared" si="32"/>
        <v>211.43203547007778</v>
      </c>
      <c r="AG85">
        <f t="shared" si="32"/>
        <v>216.96805320511666</v>
      </c>
      <c r="AH85">
        <f t="shared" si="32"/>
        <v>222.50407094015554</v>
      </c>
      <c r="AI85">
        <f t="shared" si="32"/>
        <v>228.04008867519443</v>
      </c>
      <c r="AJ85">
        <f t="shared" si="32"/>
        <v>233.57610641023331</v>
      </c>
      <c r="AK85">
        <f t="shared" si="32"/>
        <v>239.11212414527219</v>
      </c>
      <c r="AL85">
        <f t="shared" si="32"/>
        <v>244.64814188031107</v>
      </c>
      <c r="AM85">
        <f t="shared" si="32"/>
        <v>250.18415961534996</v>
      </c>
      <c r="AN85">
        <f t="shared" si="32"/>
        <v>255.72017735038884</v>
      </c>
      <c r="AX85">
        <f>(($AD$77-$I$77)/21)+AN85</f>
        <v>261.25619508542775</v>
      </c>
      <c r="AY85">
        <f t="shared" si="32"/>
        <v>266.79221282046666</v>
      </c>
      <c r="AZ85">
        <f t="shared" si="32"/>
        <v>272.32823055550557</v>
      </c>
      <c r="BA85">
        <f t="shared" si="32"/>
        <v>277.86424829054448</v>
      </c>
      <c r="BB85">
        <f t="shared" si="32"/>
        <v>283.40026602558339</v>
      </c>
    </row>
    <row r="86" spans="1:121" x14ac:dyDescent="0.25">
      <c r="A86">
        <v>3</v>
      </c>
      <c r="B86" t="s">
        <v>758</v>
      </c>
    </row>
    <row r="92" spans="1:121" x14ac:dyDescent="0.25">
      <c r="CJ92" t="s">
        <v>740</v>
      </c>
    </row>
    <row r="93" spans="1:121" x14ac:dyDescent="0.25">
      <c r="BN93" t="s">
        <v>715</v>
      </c>
      <c r="BQ93" t="s">
        <v>716</v>
      </c>
      <c r="BT93" t="s">
        <v>760</v>
      </c>
      <c r="BZ93">
        <v>2020</v>
      </c>
      <c r="CA93">
        <v>2030</v>
      </c>
      <c r="CB93">
        <v>2040</v>
      </c>
      <c r="CC93">
        <v>2050</v>
      </c>
      <c r="CK93">
        <v>2019</v>
      </c>
      <c r="CL93">
        <v>2020</v>
      </c>
      <c r="CM93">
        <v>2021</v>
      </c>
      <c r="CN93">
        <v>2025</v>
      </c>
      <c r="CO93">
        <v>2030</v>
      </c>
      <c r="CP93">
        <v>2035</v>
      </c>
      <c r="CQ93">
        <v>2040</v>
      </c>
      <c r="CR93">
        <v>2050</v>
      </c>
    </row>
    <row r="94" spans="1:121" x14ac:dyDescent="0.25">
      <c r="BK94" t="s">
        <v>761</v>
      </c>
      <c r="BM94">
        <v>2015</v>
      </c>
      <c r="BN94">
        <v>2020</v>
      </c>
      <c r="BO94">
        <v>2030</v>
      </c>
      <c r="BP94">
        <v>2040</v>
      </c>
      <c r="BQ94">
        <v>2020</v>
      </c>
      <c r="BR94">
        <v>2030</v>
      </c>
      <c r="BS94">
        <v>2040</v>
      </c>
      <c r="BT94">
        <v>2020</v>
      </c>
      <c r="BU94">
        <v>2030</v>
      </c>
      <c r="BV94">
        <v>2040</v>
      </c>
      <c r="BY94" t="s">
        <v>716</v>
      </c>
      <c r="BZ94">
        <v>62</v>
      </c>
      <c r="CA94">
        <v>105</v>
      </c>
      <c r="CB94">
        <v>127</v>
      </c>
      <c r="CC94">
        <v>140</v>
      </c>
      <c r="CJ94" t="s">
        <v>762</v>
      </c>
      <c r="CK94">
        <v>63</v>
      </c>
      <c r="CL94">
        <v>40</v>
      </c>
      <c r="CM94">
        <f>(62+54)/2</f>
        <v>58</v>
      </c>
      <c r="CN94">
        <v>71</v>
      </c>
      <c r="CO94">
        <v>76</v>
      </c>
      <c r="CP94">
        <v>81</v>
      </c>
      <c r="CQ94">
        <v>85</v>
      </c>
      <c r="CR94">
        <f>FORECAST(CR93,CP94:CQ94,CP93:CQ93)</f>
        <v>93</v>
      </c>
      <c r="DL94" s="427" t="s">
        <v>763</v>
      </c>
      <c r="DM94" s="427"/>
      <c r="DN94" s="427" t="s">
        <v>764</v>
      </c>
      <c r="DO94" s="427"/>
      <c r="DP94" s="427" t="s">
        <v>762</v>
      </c>
      <c r="DQ94" s="427"/>
    </row>
    <row r="95" spans="1:121" x14ac:dyDescent="0.25">
      <c r="BK95" t="s">
        <v>765</v>
      </c>
      <c r="BL95" t="s">
        <v>766</v>
      </c>
      <c r="BM95">
        <v>51</v>
      </c>
      <c r="BN95">
        <v>79</v>
      </c>
      <c r="BO95">
        <v>111</v>
      </c>
      <c r="BP95">
        <v>124</v>
      </c>
      <c r="BQ95">
        <v>82</v>
      </c>
      <c r="BR95">
        <v>127</v>
      </c>
      <c r="BS95">
        <v>146</v>
      </c>
      <c r="BT95">
        <v>73</v>
      </c>
      <c r="BU95">
        <v>85</v>
      </c>
      <c r="BV95">
        <v>78</v>
      </c>
      <c r="BY95" t="s">
        <v>762</v>
      </c>
      <c r="BZ95">
        <v>62</v>
      </c>
      <c r="CA95">
        <v>84</v>
      </c>
      <c r="CB95">
        <v>96</v>
      </c>
      <c r="CC95">
        <v>100</v>
      </c>
      <c r="CJ95" t="s">
        <v>767</v>
      </c>
      <c r="CK95">
        <f>CK94</f>
        <v>63</v>
      </c>
      <c r="CL95">
        <v>40</v>
      </c>
      <c r="CM95">
        <f>CM94</f>
        <v>58</v>
      </c>
      <c r="CN95">
        <v>57</v>
      </c>
      <c r="CO95" s="82">
        <f>($CQ95-$CN95)/($CQ$93-$CN$93)*(CO$93-$CN$93)+$CN95</f>
        <v>55.666666666666664</v>
      </c>
      <c r="CP95" s="82">
        <f>($CQ95-$CN95)/($CQ$93-$CN$93)*(CP$93-$CN$93)+$CN95</f>
        <v>54.333333333333336</v>
      </c>
      <c r="CQ95">
        <v>53</v>
      </c>
      <c r="CR95" s="82">
        <f t="shared" ref="CR95:CR96" si="33">FORECAST(CR94,CP95:CQ95,CP94:CQ94)</f>
        <v>50.333333333333329</v>
      </c>
      <c r="DF95" t="s">
        <v>768</v>
      </c>
      <c r="DG95" t="s">
        <v>769</v>
      </c>
      <c r="DH95" t="s">
        <v>770</v>
      </c>
      <c r="DI95" t="s">
        <v>771</v>
      </c>
      <c r="DJ95">
        <v>2010</v>
      </c>
      <c r="DK95">
        <v>2021</v>
      </c>
      <c r="DL95">
        <v>2030</v>
      </c>
      <c r="DM95">
        <v>2050</v>
      </c>
      <c r="DN95">
        <v>2030</v>
      </c>
      <c r="DO95">
        <v>2050</v>
      </c>
      <c r="DP95">
        <v>2030</v>
      </c>
      <c r="DQ95">
        <v>2050</v>
      </c>
    </row>
    <row r="96" spans="1:121" x14ac:dyDescent="0.25">
      <c r="BK96" t="s">
        <v>469</v>
      </c>
      <c r="BL96" t="s">
        <v>772</v>
      </c>
      <c r="BY96" t="s">
        <v>773</v>
      </c>
      <c r="BZ96">
        <v>62</v>
      </c>
      <c r="CA96">
        <v>60</v>
      </c>
      <c r="CB96">
        <v>58</v>
      </c>
      <c r="CC96">
        <v>58</v>
      </c>
      <c r="CJ96" t="s">
        <v>774</v>
      </c>
      <c r="CK96">
        <f>CK95</f>
        <v>63</v>
      </c>
      <c r="CL96">
        <v>40</v>
      </c>
      <c r="CM96">
        <f>CM95</f>
        <v>58</v>
      </c>
      <c r="CN96">
        <v>59</v>
      </c>
      <c r="CO96" s="82">
        <f>($CQ96-$CN96)/($CQ$93-$CN$93)*(CO$93-$CN$93)+$CN96</f>
        <v>63.333333333333336</v>
      </c>
      <c r="CP96" s="82">
        <f>($CQ96-$CN96)/($CQ$93-$CN$93)*(CP$93-$CN$93)+$CN96</f>
        <v>67.666666666666671</v>
      </c>
      <c r="CQ96">
        <v>72</v>
      </c>
      <c r="CR96" s="82">
        <f t="shared" si="33"/>
        <v>80.666666666666657</v>
      </c>
      <c r="DF96" t="s">
        <v>775</v>
      </c>
      <c r="DG96" t="s">
        <v>776</v>
      </c>
      <c r="DH96" t="s">
        <v>777</v>
      </c>
      <c r="DI96" t="s">
        <v>778</v>
      </c>
      <c r="DJ96">
        <v>96</v>
      </c>
      <c r="DK96">
        <v>69</v>
      </c>
      <c r="DL96">
        <v>35</v>
      </c>
      <c r="DM96">
        <v>24</v>
      </c>
      <c r="DN96">
        <v>64</v>
      </c>
      <c r="DO96">
        <v>60</v>
      </c>
      <c r="DP96">
        <v>82</v>
      </c>
      <c r="DQ96">
        <v>95</v>
      </c>
    </row>
    <row r="97" spans="63:121" x14ac:dyDescent="0.25">
      <c r="BK97" t="s">
        <v>779</v>
      </c>
      <c r="BM97">
        <v>2.6</v>
      </c>
      <c r="BN97">
        <v>4.0999999999999996</v>
      </c>
      <c r="BO97">
        <v>5.4</v>
      </c>
      <c r="BP97">
        <v>6.9</v>
      </c>
      <c r="BQ97">
        <v>4.3</v>
      </c>
      <c r="BR97">
        <v>5.9</v>
      </c>
      <c r="BS97">
        <v>7.9</v>
      </c>
      <c r="BT97">
        <v>3.9</v>
      </c>
      <c r="BU97">
        <v>4.8</v>
      </c>
      <c r="BV97">
        <v>5.4</v>
      </c>
      <c r="DF97" t="s">
        <v>780</v>
      </c>
      <c r="DG97" t="s">
        <v>781</v>
      </c>
      <c r="DH97" t="s">
        <v>782</v>
      </c>
    </row>
    <row r="98" spans="63:121" x14ac:dyDescent="0.25">
      <c r="BK98" t="s">
        <v>783</v>
      </c>
      <c r="BM98">
        <v>7</v>
      </c>
      <c r="BN98">
        <v>7.1</v>
      </c>
      <c r="BO98">
        <v>10.3</v>
      </c>
      <c r="BP98">
        <v>11.5</v>
      </c>
      <c r="BQ98">
        <v>7.3</v>
      </c>
      <c r="BR98">
        <v>11.1</v>
      </c>
      <c r="BS98">
        <v>13</v>
      </c>
      <c r="BT98">
        <v>6.9</v>
      </c>
      <c r="BU98">
        <v>9.4</v>
      </c>
      <c r="BV98">
        <v>9.9</v>
      </c>
      <c r="CJ98" t="s">
        <v>784</v>
      </c>
      <c r="CL98">
        <v>1</v>
      </c>
      <c r="DF98" t="s">
        <v>785</v>
      </c>
      <c r="DG98" t="s">
        <v>786</v>
      </c>
      <c r="DJ98">
        <v>5.3</v>
      </c>
      <c r="DK98">
        <v>3.9</v>
      </c>
      <c r="DL98">
        <v>1.9</v>
      </c>
      <c r="DM98">
        <v>1.8</v>
      </c>
      <c r="DN98">
        <v>3.7</v>
      </c>
      <c r="DO98">
        <v>2.6</v>
      </c>
      <c r="DP98">
        <v>4</v>
      </c>
      <c r="DQ98">
        <v>4.7</v>
      </c>
    </row>
    <row r="99" spans="63:121" x14ac:dyDescent="0.25">
      <c r="BK99" t="s">
        <v>787</v>
      </c>
      <c r="BM99">
        <v>9.6999999999999993</v>
      </c>
      <c r="BN99">
        <v>9.1999999999999993</v>
      </c>
      <c r="BO99">
        <v>11.6</v>
      </c>
      <c r="BP99">
        <v>12.1</v>
      </c>
      <c r="BQ99">
        <v>9.5</v>
      </c>
      <c r="BR99">
        <v>12.5</v>
      </c>
      <c r="BS99">
        <v>13.9</v>
      </c>
      <c r="BT99">
        <v>8.6</v>
      </c>
      <c r="BU99">
        <v>10.4</v>
      </c>
      <c r="BV99">
        <v>10.5</v>
      </c>
      <c r="CK99" s="21">
        <v>2021</v>
      </c>
      <c r="CL99">
        <v>2030</v>
      </c>
      <c r="CM99">
        <v>2050</v>
      </c>
      <c r="DF99" t="s">
        <v>788</v>
      </c>
      <c r="DG99" t="s">
        <v>789</v>
      </c>
      <c r="DJ99">
        <v>9</v>
      </c>
      <c r="DK99">
        <v>9.5</v>
      </c>
      <c r="DL99">
        <v>4.5999999999999996</v>
      </c>
      <c r="DM99">
        <v>3.8</v>
      </c>
      <c r="DN99">
        <v>7.9</v>
      </c>
      <c r="DO99">
        <v>6.3</v>
      </c>
      <c r="DP99">
        <v>8.5</v>
      </c>
      <c r="DQ99">
        <v>9.1999999999999993</v>
      </c>
    </row>
    <row r="100" spans="63:121" x14ac:dyDescent="0.25">
      <c r="BK100" t="s">
        <v>738</v>
      </c>
      <c r="BM100">
        <v>10.3</v>
      </c>
      <c r="BN100">
        <v>9.6</v>
      </c>
      <c r="BO100">
        <v>11.9</v>
      </c>
      <c r="BP100">
        <v>12.4</v>
      </c>
      <c r="BQ100">
        <v>9.9</v>
      </c>
      <c r="BR100">
        <v>13</v>
      </c>
      <c r="BS100">
        <v>14.4</v>
      </c>
      <c r="BT100">
        <v>9</v>
      </c>
      <c r="BU100">
        <v>10.8</v>
      </c>
      <c r="BV100">
        <v>10.9</v>
      </c>
      <c r="CJ100" t="str">
        <f>CJ94</f>
        <v>Stated Policies</v>
      </c>
      <c r="CK100">
        <f>CM94*$CL$98</f>
        <v>58</v>
      </c>
      <c r="CL100">
        <f>CO94*$CL$98</f>
        <v>76</v>
      </c>
      <c r="CM100">
        <f>CR94*$CL$98</f>
        <v>93</v>
      </c>
      <c r="DF100" t="s">
        <v>787</v>
      </c>
      <c r="DJ100">
        <v>8</v>
      </c>
      <c r="DK100">
        <v>10.1</v>
      </c>
      <c r="DL100">
        <v>6.1</v>
      </c>
      <c r="DM100">
        <v>5.0999999999999996</v>
      </c>
      <c r="DN100">
        <v>8.8000000000000007</v>
      </c>
      <c r="DO100">
        <v>7.4</v>
      </c>
      <c r="DP100">
        <v>9.8000000000000007</v>
      </c>
      <c r="DQ100">
        <v>10.199999999999999</v>
      </c>
    </row>
    <row r="101" spans="63:121" x14ac:dyDescent="0.25">
      <c r="BK101" t="s">
        <v>790</v>
      </c>
      <c r="BL101" t="s">
        <v>791</v>
      </c>
      <c r="CJ101" t="str">
        <f t="shared" ref="CJ101:CJ102" si="34">CJ95</f>
        <v>Sustainable Development</v>
      </c>
      <c r="CK101">
        <f t="shared" ref="CK101:CK102" si="35">CM95*$CL$98</f>
        <v>58</v>
      </c>
      <c r="CL101" s="57">
        <f t="shared" ref="CL101:CL102" si="36">CO95*$CL$98</f>
        <v>55.666666666666664</v>
      </c>
      <c r="CM101" s="57">
        <f t="shared" ref="CM101:CM102" si="37">CR95*$CL$98</f>
        <v>50.333333333333329</v>
      </c>
      <c r="DF101" t="s">
        <v>738</v>
      </c>
      <c r="DJ101">
        <v>13.3</v>
      </c>
      <c r="DK101">
        <v>10.199999999999999</v>
      </c>
      <c r="DL101">
        <v>6</v>
      </c>
      <c r="DM101">
        <v>5.0999999999999996</v>
      </c>
      <c r="DN101">
        <v>9.1</v>
      </c>
      <c r="DO101">
        <v>7.4</v>
      </c>
      <c r="DP101">
        <v>10.9</v>
      </c>
      <c r="DQ101">
        <v>10.6</v>
      </c>
    </row>
    <row r="102" spans="63:121" x14ac:dyDescent="0.25">
      <c r="BK102" t="s">
        <v>792</v>
      </c>
      <c r="BM102">
        <v>64</v>
      </c>
      <c r="BN102">
        <v>72</v>
      </c>
      <c r="BO102">
        <v>83</v>
      </c>
      <c r="BP102">
        <v>87</v>
      </c>
      <c r="BQ102">
        <v>74</v>
      </c>
      <c r="BR102">
        <v>91</v>
      </c>
      <c r="BS102">
        <v>100</v>
      </c>
      <c r="BT102">
        <v>66</v>
      </c>
      <c r="BU102">
        <v>64</v>
      </c>
      <c r="BV102">
        <v>57</v>
      </c>
      <c r="CJ102" t="str">
        <f t="shared" si="34"/>
        <v>Delayed Recovery</v>
      </c>
      <c r="CK102">
        <f t="shared" si="35"/>
        <v>58</v>
      </c>
      <c r="CL102" s="57">
        <f t="shared" si="36"/>
        <v>63.333333333333336</v>
      </c>
      <c r="CM102" s="57">
        <f t="shared" si="37"/>
        <v>80.666666666666657</v>
      </c>
      <c r="DF102" t="s">
        <v>793</v>
      </c>
      <c r="DG102" t="s">
        <v>794</v>
      </c>
      <c r="DH102" t="s">
        <v>795</v>
      </c>
    </row>
    <row r="103" spans="63:121" x14ac:dyDescent="0.25">
      <c r="BK103" t="s">
        <v>779</v>
      </c>
      <c r="BM103">
        <v>51</v>
      </c>
      <c r="BN103">
        <v>55</v>
      </c>
      <c r="BO103">
        <v>58</v>
      </c>
      <c r="BP103">
        <v>60</v>
      </c>
      <c r="BQ103">
        <v>56</v>
      </c>
      <c r="BR103">
        <v>61</v>
      </c>
      <c r="BS103">
        <v>64</v>
      </c>
      <c r="BT103">
        <v>53</v>
      </c>
      <c r="BU103">
        <v>52</v>
      </c>
      <c r="BV103">
        <v>49</v>
      </c>
      <c r="DF103" t="s">
        <v>785</v>
      </c>
      <c r="DG103" t="s">
        <v>786</v>
      </c>
      <c r="DH103">
        <v>63</v>
      </c>
      <c r="DI103">
        <v>44</v>
      </c>
      <c r="DJ103">
        <v>22</v>
      </c>
      <c r="DK103">
        <v>17</v>
      </c>
      <c r="DL103">
        <v>42</v>
      </c>
      <c r="DM103">
        <v>24</v>
      </c>
      <c r="DN103">
        <v>46</v>
      </c>
      <c r="DO103">
        <v>44</v>
      </c>
    </row>
    <row r="104" spans="63:121" x14ac:dyDescent="0.25">
      <c r="BK104" t="s">
        <v>783</v>
      </c>
      <c r="BM104">
        <v>57</v>
      </c>
      <c r="BN104">
        <v>63</v>
      </c>
      <c r="BO104">
        <v>74</v>
      </c>
      <c r="BP104">
        <v>77</v>
      </c>
      <c r="BQ104">
        <v>65</v>
      </c>
      <c r="BR104">
        <v>80</v>
      </c>
      <c r="BS104">
        <v>88</v>
      </c>
      <c r="BT104">
        <v>58</v>
      </c>
      <c r="BU104">
        <v>57</v>
      </c>
      <c r="BV104">
        <v>51</v>
      </c>
      <c r="CJ104" t="s">
        <v>796</v>
      </c>
      <c r="CL104" t="s">
        <v>797</v>
      </c>
      <c r="CO104" t="s">
        <v>739</v>
      </c>
      <c r="CR104" t="s">
        <v>787</v>
      </c>
      <c r="DF104" t="s">
        <v>788</v>
      </c>
      <c r="DG104" t="s">
        <v>789</v>
      </c>
      <c r="DH104">
        <v>113</v>
      </c>
      <c r="DI104">
        <v>120</v>
      </c>
      <c r="DJ104">
        <v>52</v>
      </c>
      <c r="DK104">
        <v>42</v>
      </c>
      <c r="DL104">
        <v>62</v>
      </c>
      <c r="DM104">
        <v>53</v>
      </c>
      <c r="DN104">
        <v>60</v>
      </c>
      <c r="DO104">
        <v>64</v>
      </c>
    </row>
    <row r="105" spans="63:121" x14ac:dyDescent="0.25">
      <c r="BK105" t="s">
        <v>798</v>
      </c>
      <c r="BM105">
        <v>72</v>
      </c>
      <c r="BN105">
        <v>78</v>
      </c>
      <c r="BO105">
        <v>86</v>
      </c>
      <c r="BP105">
        <v>89</v>
      </c>
      <c r="BQ105">
        <v>79</v>
      </c>
      <c r="BR105">
        <v>92</v>
      </c>
      <c r="BS105">
        <v>98</v>
      </c>
      <c r="BT105">
        <v>73</v>
      </c>
      <c r="BU105">
        <v>72</v>
      </c>
      <c r="BV105">
        <v>67</v>
      </c>
      <c r="CL105">
        <v>2025</v>
      </c>
      <c r="CM105">
        <v>2040</v>
      </c>
      <c r="CN105" t="s">
        <v>799</v>
      </c>
      <c r="CO105">
        <f>CL105</f>
        <v>2025</v>
      </c>
      <c r="CP105">
        <f>CM105</f>
        <v>2040</v>
      </c>
      <c r="CQ105" t="s">
        <v>799</v>
      </c>
      <c r="CR105">
        <f>CO105</f>
        <v>2025</v>
      </c>
      <c r="CS105">
        <f>CP105</f>
        <v>2040</v>
      </c>
      <c r="CT105" t="s">
        <v>799</v>
      </c>
      <c r="DF105" t="s">
        <v>738</v>
      </c>
      <c r="DG105">
        <v>132</v>
      </c>
      <c r="DH105">
        <v>153</v>
      </c>
      <c r="DI105">
        <v>59</v>
      </c>
      <c r="DJ105">
        <v>46</v>
      </c>
      <c r="DK105">
        <v>74</v>
      </c>
      <c r="DL105">
        <v>59</v>
      </c>
      <c r="DM105">
        <v>91</v>
      </c>
      <c r="DN105">
        <v>72</v>
      </c>
    </row>
    <row r="106" spans="63:121" x14ac:dyDescent="0.25">
      <c r="BK106" t="s">
        <v>738</v>
      </c>
      <c r="BM106">
        <v>59</v>
      </c>
      <c r="BN106">
        <v>66</v>
      </c>
      <c r="BO106">
        <v>77</v>
      </c>
      <c r="BP106">
        <v>80</v>
      </c>
      <c r="BQ106">
        <v>68</v>
      </c>
      <c r="BR106">
        <v>84</v>
      </c>
      <c r="BS106">
        <v>92</v>
      </c>
      <c r="BT106">
        <v>61</v>
      </c>
      <c r="BU106">
        <v>59</v>
      </c>
      <c r="BV106">
        <v>53</v>
      </c>
      <c r="CJ106" t="str">
        <f>CJ94</f>
        <v>Stated Policies</v>
      </c>
      <c r="CL106">
        <v>3.5</v>
      </c>
      <c r="CM106">
        <v>4.2</v>
      </c>
      <c r="CN106" s="82">
        <f>(CM106/CL106-1)/($CQ94/$CN94-1)</f>
        <v>1.0142857142857142</v>
      </c>
      <c r="CO106">
        <v>6.7</v>
      </c>
      <c r="CP106">
        <v>8.3000000000000007</v>
      </c>
      <c r="CQ106" s="82">
        <f>(CP106/CO106-1)/($CQ94/$CN94-1)</f>
        <v>1.2110874200426442</v>
      </c>
      <c r="CR106">
        <v>8.4</v>
      </c>
      <c r="CS106">
        <v>8.8000000000000007</v>
      </c>
      <c r="CT106" s="82">
        <f>(CS106/CR106-1)/($CQ94/$CN94-1)</f>
        <v>0.24149659863945611</v>
      </c>
      <c r="DF106" t="s">
        <v>800</v>
      </c>
      <c r="DG106" t="s">
        <v>787</v>
      </c>
      <c r="DH106">
        <v>142</v>
      </c>
      <c r="DI106">
        <v>164</v>
      </c>
      <c r="DJ106">
        <v>58</v>
      </c>
      <c r="DK106">
        <v>48</v>
      </c>
      <c r="DL106">
        <v>73</v>
      </c>
      <c r="DM106">
        <v>62</v>
      </c>
      <c r="DN106">
        <v>89</v>
      </c>
      <c r="DO106">
        <v>74</v>
      </c>
    </row>
    <row r="107" spans="63:121" x14ac:dyDescent="0.25">
      <c r="CJ107" t="str">
        <f t="shared" ref="CJ107:CJ108" si="38">CJ95</f>
        <v>Sustainable Development</v>
      </c>
      <c r="CL107">
        <v>2.1</v>
      </c>
      <c r="CM107">
        <v>2</v>
      </c>
      <c r="CN107" s="82">
        <f t="shared" ref="CN107:CN108" si="39">(CM107/CL107-1)/($CQ95/$CN95-1)</f>
        <v>0.67857142857142938</v>
      </c>
      <c r="CO107">
        <v>4.8</v>
      </c>
      <c r="CP107">
        <v>4.9000000000000004</v>
      </c>
      <c r="CQ107" s="82">
        <f t="shared" ref="CQ107:CQ108" si="40">(CP107/CO107-1)/($CQ95/$CN95-1)</f>
        <v>-0.29687500000000211</v>
      </c>
      <c r="CR107">
        <v>6</v>
      </c>
      <c r="CS107">
        <v>6.4</v>
      </c>
      <c r="CT107" s="82">
        <f t="shared" ref="CT107:CT108" si="41">(CS107/CR107-1)/($CQ95/$CN95-1)</f>
        <v>-0.94999999999999984</v>
      </c>
    </row>
    <row r="108" spans="63:121" x14ac:dyDescent="0.25">
      <c r="CJ108" t="str">
        <f t="shared" si="38"/>
        <v>Delayed Recovery</v>
      </c>
      <c r="CL108">
        <v>3.2</v>
      </c>
      <c r="CM108">
        <v>3.7</v>
      </c>
      <c r="CN108" s="82">
        <f t="shared" si="39"/>
        <v>0.70913461538461509</v>
      </c>
      <c r="CO108">
        <v>6.3</v>
      </c>
      <c r="CP108">
        <v>7.6</v>
      </c>
      <c r="CQ108" s="82">
        <f t="shared" si="40"/>
        <v>0.93650793650793585</v>
      </c>
      <c r="CR108">
        <v>7.9</v>
      </c>
      <c r="CS108">
        <v>8.1999999999999993</v>
      </c>
      <c r="CT108" s="82">
        <f t="shared" si="41"/>
        <v>0.17234664070106992</v>
      </c>
      <c r="DF108" t="s">
        <v>1058</v>
      </c>
      <c r="DJ108" s="300">
        <f>DJ101/DJ96</f>
        <v>0.13854166666666667</v>
      </c>
      <c r="DK108" s="300">
        <f t="shared" ref="DK108:DQ108" si="42">DK101/DK96</f>
        <v>0.14782608695652172</v>
      </c>
      <c r="DL108" s="300">
        <f t="shared" si="42"/>
        <v>0.17142857142857143</v>
      </c>
      <c r="DM108" s="300">
        <f t="shared" si="42"/>
        <v>0.21249999999999999</v>
      </c>
      <c r="DN108" s="300">
        <f t="shared" si="42"/>
        <v>0.14218749999999999</v>
      </c>
      <c r="DO108" s="300">
        <f t="shared" si="42"/>
        <v>0.12333333333333334</v>
      </c>
      <c r="DP108" s="300">
        <f t="shared" si="42"/>
        <v>0.13292682926829269</v>
      </c>
      <c r="DQ108" s="300">
        <f t="shared" si="42"/>
        <v>0.11157894736842106</v>
      </c>
    </row>
    <row r="110" spans="63:121" x14ac:dyDescent="0.25">
      <c r="CJ110" t="s">
        <v>801</v>
      </c>
    </row>
    <row r="111" spans="63:121" x14ac:dyDescent="0.25">
      <c r="CK111">
        <f t="shared" ref="CK111:CR111" si="43">CK93</f>
        <v>2019</v>
      </c>
      <c r="CL111">
        <f t="shared" si="43"/>
        <v>2020</v>
      </c>
      <c r="CM111">
        <f t="shared" si="43"/>
        <v>2021</v>
      </c>
      <c r="CN111">
        <f t="shared" si="43"/>
        <v>2025</v>
      </c>
      <c r="CO111">
        <f t="shared" si="43"/>
        <v>2030</v>
      </c>
      <c r="CP111">
        <f t="shared" si="43"/>
        <v>2035</v>
      </c>
      <c r="CQ111">
        <f t="shared" si="43"/>
        <v>2040</v>
      </c>
      <c r="CR111">
        <f t="shared" si="43"/>
        <v>2050</v>
      </c>
    </row>
    <row r="112" spans="63:121" x14ac:dyDescent="0.25">
      <c r="CJ112" t="str">
        <f>CJ94</f>
        <v>Stated Policies</v>
      </c>
      <c r="CK112">
        <v>46</v>
      </c>
      <c r="CN112">
        <v>53</v>
      </c>
      <c r="CO112">
        <v>44</v>
      </c>
      <c r="CP112">
        <v>47</v>
      </c>
      <c r="CQ112">
        <v>50</v>
      </c>
    </row>
    <row r="113" spans="88:96" x14ac:dyDescent="0.25">
      <c r="CJ113" t="str">
        <f>CJ95</f>
        <v>Sustainable Development</v>
      </c>
      <c r="CK113">
        <v>46</v>
      </c>
      <c r="CN113">
        <v>37</v>
      </c>
      <c r="CQ113">
        <v>32</v>
      </c>
    </row>
    <row r="114" spans="88:96" x14ac:dyDescent="0.25">
      <c r="CJ114" t="str">
        <f>CJ96</f>
        <v>Delayed Recovery</v>
      </c>
      <c r="CK114">
        <v>46</v>
      </c>
      <c r="CN114">
        <v>48</v>
      </c>
      <c r="CQ114">
        <v>44</v>
      </c>
    </row>
    <row r="116" spans="88:96" x14ac:dyDescent="0.25">
      <c r="CJ116" t="s">
        <v>802</v>
      </c>
    </row>
    <row r="117" spans="88:96" x14ac:dyDescent="0.25">
      <c r="CK117">
        <f>CK111</f>
        <v>2019</v>
      </c>
      <c r="CL117">
        <f t="shared" ref="CL117:CR117" si="44">CL111</f>
        <v>2020</v>
      </c>
      <c r="CM117">
        <f t="shared" si="44"/>
        <v>2021</v>
      </c>
      <c r="CN117">
        <f t="shared" si="44"/>
        <v>2025</v>
      </c>
      <c r="CO117">
        <f t="shared" si="44"/>
        <v>2030</v>
      </c>
      <c r="CP117">
        <f t="shared" si="44"/>
        <v>2035</v>
      </c>
      <c r="CQ117">
        <f t="shared" si="44"/>
        <v>2040</v>
      </c>
      <c r="CR117">
        <f t="shared" si="44"/>
        <v>2050</v>
      </c>
    </row>
    <row r="118" spans="88:96" x14ac:dyDescent="0.25">
      <c r="CJ118" t="str">
        <f>CJ100</f>
        <v>Stated Policies</v>
      </c>
      <c r="CK118">
        <v>61</v>
      </c>
      <c r="CN118">
        <v>66</v>
      </c>
      <c r="CO118">
        <v>71</v>
      </c>
      <c r="CP118">
        <v>70</v>
      </c>
      <c r="CQ118">
        <v>69</v>
      </c>
    </row>
    <row r="119" spans="88:96" x14ac:dyDescent="0.25">
      <c r="CJ119" t="str">
        <f>CJ101</f>
        <v>Sustainable Development</v>
      </c>
      <c r="CK119">
        <v>61</v>
      </c>
      <c r="CN119">
        <v>57</v>
      </c>
      <c r="CQ119">
        <v>55</v>
      </c>
    </row>
    <row r="120" spans="88:96" x14ac:dyDescent="0.25">
      <c r="CJ120" t="str">
        <f>CJ102</f>
        <v>Delayed Recovery</v>
      </c>
      <c r="CK120">
        <v>61</v>
      </c>
      <c r="CN120">
        <v>60</v>
      </c>
      <c r="CQ120">
        <v>64</v>
      </c>
    </row>
    <row r="122" spans="88:96" x14ac:dyDescent="0.25">
      <c r="CJ122" t="s">
        <v>803</v>
      </c>
    </row>
    <row r="123" spans="88:96" x14ac:dyDescent="0.25">
      <c r="CK123">
        <f>CK117</f>
        <v>2019</v>
      </c>
      <c r="CL123">
        <f t="shared" ref="CL123:CR123" si="45">CL117</f>
        <v>2020</v>
      </c>
      <c r="CM123">
        <f t="shared" si="45"/>
        <v>2021</v>
      </c>
      <c r="CN123">
        <f t="shared" si="45"/>
        <v>2025</v>
      </c>
      <c r="CO123">
        <f t="shared" si="45"/>
        <v>2030</v>
      </c>
      <c r="CP123">
        <f t="shared" si="45"/>
        <v>2035</v>
      </c>
      <c r="CQ123">
        <f t="shared" si="45"/>
        <v>2040</v>
      </c>
      <c r="CR123">
        <f t="shared" si="45"/>
        <v>2050</v>
      </c>
    </row>
    <row r="124" spans="88:96" x14ac:dyDescent="0.25">
      <c r="CJ124" t="str">
        <f>CJ112</f>
        <v>Stated Policies</v>
      </c>
      <c r="CK124">
        <v>92</v>
      </c>
      <c r="CN124">
        <v>83</v>
      </c>
      <c r="CO124">
        <v>83</v>
      </c>
      <c r="CP124">
        <v>82</v>
      </c>
      <c r="CQ124">
        <v>79</v>
      </c>
    </row>
    <row r="125" spans="88:96" x14ac:dyDescent="0.25">
      <c r="CJ125" t="str">
        <f t="shared" ref="CJ125:CJ126" si="46">CJ113</f>
        <v>Sustainable Development</v>
      </c>
      <c r="CK125">
        <v>92</v>
      </c>
      <c r="CN125">
        <v>73</v>
      </c>
      <c r="CQ125">
        <v>67</v>
      </c>
    </row>
    <row r="126" spans="88:96" x14ac:dyDescent="0.25">
      <c r="CJ126" t="str">
        <f t="shared" si="46"/>
        <v>Delayed Recovery</v>
      </c>
      <c r="CK126">
        <v>92</v>
      </c>
      <c r="CN126">
        <v>76</v>
      </c>
      <c r="CQ126">
        <v>73</v>
      </c>
    </row>
    <row r="128" spans="88:96" x14ac:dyDescent="0.25">
      <c r="CJ128" t="s">
        <v>804</v>
      </c>
    </row>
    <row r="129" spans="88:95" x14ac:dyDescent="0.25">
      <c r="CK129" t="s">
        <v>805</v>
      </c>
      <c r="CL129" t="s">
        <v>806</v>
      </c>
      <c r="CM129" t="s">
        <v>807</v>
      </c>
      <c r="CN129" t="s">
        <v>808</v>
      </c>
      <c r="CO129" t="s">
        <v>809</v>
      </c>
      <c r="CP129" t="s">
        <v>810</v>
      </c>
      <c r="CQ129" t="s">
        <v>811</v>
      </c>
    </row>
    <row r="130" spans="88:95" x14ac:dyDescent="0.25">
      <c r="CJ130" t="str">
        <f>CJ100</f>
        <v>Stated Policies</v>
      </c>
      <c r="CK130" s="82">
        <f>CQ94/CN94-1</f>
        <v>0.19718309859154926</v>
      </c>
      <c r="CL130" s="82">
        <f>CQ112/CN112-1</f>
        <v>-5.6603773584905648E-2</v>
      </c>
      <c r="CM130" s="82">
        <f>CL130/CK130</f>
        <v>-0.28706199460916443</v>
      </c>
      <c r="CN130" s="82">
        <f>CQ118/CN118-1</f>
        <v>4.5454545454545414E-2</v>
      </c>
      <c r="CO130" s="256">
        <f>CN130/CK130</f>
        <v>0.23051948051948037</v>
      </c>
      <c r="CP130" s="82">
        <f>CQ124/CN124-1</f>
        <v>-4.8192771084337394E-2</v>
      </c>
      <c r="CQ130" s="82">
        <f>CP130/CK130</f>
        <v>-0.24440619621342541</v>
      </c>
    </row>
    <row r="131" spans="88:95" x14ac:dyDescent="0.25">
      <c r="CJ131" t="str">
        <f>CJ101</f>
        <v>Sustainable Development</v>
      </c>
      <c r="CK131" s="82">
        <f>CQ95/CN95-1</f>
        <v>-7.0175438596491224E-2</v>
      </c>
      <c r="CL131" s="82">
        <f t="shared" ref="CL131:CL132" si="47">CQ113/CN113-1</f>
        <v>-0.13513513513513509</v>
      </c>
      <c r="CM131" s="82">
        <f t="shared" ref="CM131:CM132" si="48">CL131/CK131</f>
        <v>1.925675675675675</v>
      </c>
      <c r="CN131" s="82">
        <f t="shared" ref="CN131:CN132" si="49">CQ119/CN119-1</f>
        <v>-3.5087719298245612E-2</v>
      </c>
      <c r="CO131" s="256">
        <f>CN131/CK131</f>
        <v>0.5</v>
      </c>
      <c r="CP131" s="82">
        <f t="shared" ref="CP131:CP132" si="50">CQ125/CN125-1</f>
        <v>-8.2191780821917804E-2</v>
      </c>
      <c r="CQ131" s="82">
        <f t="shared" ref="CQ131:CQ132" si="51">CP131/CK131</f>
        <v>1.1712328767123288</v>
      </c>
    </row>
    <row r="132" spans="88:95" x14ac:dyDescent="0.25">
      <c r="CJ132" t="str">
        <f>CJ102</f>
        <v>Delayed Recovery</v>
      </c>
      <c r="CK132" s="82">
        <f>CQ96/CN96-1</f>
        <v>0.22033898305084754</v>
      </c>
      <c r="CL132" s="82">
        <f t="shared" si="47"/>
        <v>-8.333333333333337E-2</v>
      </c>
      <c r="CM132" s="82">
        <f t="shared" si="48"/>
        <v>-0.37820512820512825</v>
      </c>
      <c r="CN132" s="82">
        <f t="shared" si="49"/>
        <v>6.6666666666666652E-2</v>
      </c>
      <c r="CO132" s="256">
        <f>CN132/CK132</f>
        <v>0.30256410256410238</v>
      </c>
      <c r="CP132" s="82">
        <f t="shared" si="50"/>
        <v>-3.9473684210526327E-2</v>
      </c>
      <c r="CQ132" s="82">
        <f t="shared" si="51"/>
        <v>-0.1791497975708502</v>
      </c>
    </row>
    <row r="134" spans="88:95" x14ac:dyDescent="0.25">
      <c r="CJ134" t="s">
        <v>812</v>
      </c>
    </row>
    <row r="135" spans="88:95" x14ac:dyDescent="0.25">
      <c r="CK135" t="s">
        <v>805</v>
      </c>
      <c r="CL135" t="s">
        <v>806</v>
      </c>
      <c r="CM135" t="s">
        <v>807</v>
      </c>
      <c r="CN135" t="s">
        <v>808</v>
      </c>
      <c r="CO135" t="s">
        <v>809</v>
      </c>
      <c r="CP135" t="s">
        <v>810</v>
      </c>
      <c r="CQ135" t="s">
        <v>811</v>
      </c>
    </row>
    <row r="136" spans="88:95" x14ac:dyDescent="0.25">
      <c r="CJ136" t="str">
        <f>CJ112</f>
        <v>Stated Policies</v>
      </c>
      <c r="CK136" s="82">
        <f>CQ94/CK94-1</f>
        <v>0.3492063492063493</v>
      </c>
      <c r="CL136" s="82">
        <f>CQ112/CK112-1</f>
        <v>8.6956521739130377E-2</v>
      </c>
      <c r="CM136" s="82">
        <f>CL136/CK136</f>
        <v>0.24901185770750964</v>
      </c>
      <c r="CN136" s="82">
        <f>CQ118/CK118-1</f>
        <v>0.13114754098360648</v>
      </c>
      <c r="CO136" s="256">
        <f>CN136/CK136</f>
        <v>0.37555886736214572</v>
      </c>
      <c r="CP136" s="82">
        <f>CQ124/CK124-1</f>
        <v>-0.14130434782608692</v>
      </c>
      <c r="CQ136" s="82">
        <f t="shared" ref="CQ136:CQ138" si="52">CP136/CK136</f>
        <v>-0.40464426877470333</v>
      </c>
    </row>
    <row r="137" spans="88:95" x14ac:dyDescent="0.25">
      <c r="CJ137" t="str">
        <f>CJ113</f>
        <v>Sustainable Development</v>
      </c>
      <c r="CK137" s="82">
        <f>CQ95/CK95-1</f>
        <v>-0.15873015873015872</v>
      </c>
      <c r="CL137" s="82">
        <f>CQ113/CK113-1</f>
        <v>-0.30434782608695654</v>
      </c>
      <c r="CM137" s="82">
        <f t="shared" ref="CM137:CM138" si="53">CL137/CK137</f>
        <v>1.9173913043478263</v>
      </c>
      <c r="CN137" s="82">
        <f>CQ119/CK119-1</f>
        <v>-9.8360655737704916E-2</v>
      </c>
      <c r="CO137" s="256">
        <f>CN137/CK137</f>
        <v>0.61967213114754105</v>
      </c>
      <c r="CP137" s="82">
        <f>CQ125/CK125-1</f>
        <v>-0.27173913043478259</v>
      </c>
      <c r="CQ137" s="82">
        <f t="shared" si="52"/>
        <v>1.7119565217391304</v>
      </c>
    </row>
    <row r="138" spans="88:95" x14ac:dyDescent="0.25">
      <c r="CJ138" t="str">
        <f>CJ114</f>
        <v>Delayed Recovery</v>
      </c>
      <c r="CK138" s="82">
        <f>CQ96/CK96-1</f>
        <v>0.14285714285714279</v>
      </c>
      <c r="CL138" s="82">
        <f>CQ114/CK114-1</f>
        <v>-4.3478260869565188E-2</v>
      </c>
      <c r="CM138" s="82">
        <f t="shared" si="53"/>
        <v>-0.30434782608695643</v>
      </c>
      <c r="CN138" s="82">
        <f>CQ120/CK120-1</f>
        <v>4.9180327868852514E-2</v>
      </c>
      <c r="CO138" s="256">
        <f>CN138/CK138</f>
        <v>0.34426229508196776</v>
      </c>
      <c r="CP138" s="82">
        <f>CQ126/CK126-1</f>
        <v>-0.20652173913043481</v>
      </c>
      <c r="CQ138" s="82">
        <f t="shared" si="52"/>
        <v>-1.4456521739130443</v>
      </c>
    </row>
  </sheetData>
  <mergeCells count="3">
    <mergeCell ref="DL94:DM94"/>
    <mergeCell ref="DN94:DO94"/>
    <mergeCell ref="DP94:DQ94"/>
  </mergeCells>
  <pageMargins left="0.75" right="0.75" top="1" bottom="1" header="0.5" footer="0.5"/>
  <pageSetup paperSize="9" orientation="portrait" horizontalDpi="4294967292" verticalDpi="4294967292" r:id="rId1"/>
  <headerFooter alignWithMargins="0"/>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FB91D-F102-4AB9-8C3D-9CD2BE8C1EB8}">
  <sheetPr codeName="Sheet16"/>
  <dimension ref="A1:AN117"/>
  <sheetViews>
    <sheetView workbookViewId="0">
      <selection activeCell="D12" sqref="D12"/>
    </sheetView>
  </sheetViews>
  <sheetFormatPr defaultColWidth="9.28515625" defaultRowHeight="15" x14ac:dyDescent="0.25"/>
  <cols>
    <col min="1" max="1" width="13.7109375" customWidth="1"/>
    <col min="3" max="3" width="20.28515625" customWidth="1"/>
    <col min="4" max="4" width="16.28515625" customWidth="1"/>
    <col min="5" max="5" width="26.42578125" customWidth="1"/>
    <col min="6" max="6" width="15.5703125" customWidth="1"/>
    <col min="7" max="7" width="15.28515625" customWidth="1"/>
    <col min="8" max="8" width="20.7109375" customWidth="1"/>
    <col min="9" max="9" width="17.28515625" customWidth="1"/>
  </cols>
  <sheetData>
    <row r="1" spans="2:39" ht="18" thickBot="1" x14ac:dyDescent="0.35">
      <c r="B1" s="169" t="s">
        <v>1012</v>
      </c>
      <c r="C1" s="169"/>
      <c r="D1" s="169"/>
      <c r="E1" s="169"/>
    </row>
    <row r="2" spans="2:39" ht="15.75" thickTop="1" x14ac:dyDescent="0.25"/>
    <row r="4" spans="2:39" x14ac:dyDescent="0.25">
      <c r="B4" t="s">
        <v>818</v>
      </c>
      <c r="E4">
        <v>2013</v>
      </c>
      <c r="F4">
        <v>2013</v>
      </c>
      <c r="G4" t="s">
        <v>819</v>
      </c>
    </row>
    <row r="5" spans="2:39" ht="30" x14ac:dyDescent="0.25">
      <c r="B5" t="s">
        <v>820</v>
      </c>
      <c r="C5" t="s">
        <v>821</v>
      </c>
      <c r="D5" t="s">
        <v>822</v>
      </c>
      <c r="E5" s="176" t="s">
        <v>823</v>
      </c>
      <c r="F5" s="176" t="s">
        <v>824</v>
      </c>
      <c r="G5" s="176" t="s">
        <v>824</v>
      </c>
      <c r="R5" s="343" t="s">
        <v>825</v>
      </c>
      <c r="S5" s="344">
        <v>1991</v>
      </c>
      <c r="T5" s="344">
        <v>1992</v>
      </c>
      <c r="U5" s="344">
        <v>1993</v>
      </c>
      <c r="V5" s="344">
        <v>1994</v>
      </c>
      <c r="W5" s="344">
        <v>1995</v>
      </c>
      <c r="X5" s="344">
        <v>1996</v>
      </c>
      <c r="Y5" s="344">
        <v>1997</v>
      </c>
      <c r="Z5" s="344">
        <v>1998</v>
      </c>
      <c r="AA5" s="344">
        <v>1999</v>
      </c>
      <c r="AB5" s="344">
        <v>2000</v>
      </c>
      <c r="AC5" s="344">
        <v>2001</v>
      </c>
      <c r="AD5" s="344">
        <v>2002</v>
      </c>
      <c r="AE5" s="344">
        <v>2003</v>
      </c>
      <c r="AF5" s="344">
        <v>2004</v>
      </c>
      <c r="AG5" s="344">
        <v>2005</v>
      </c>
      <c r="AH5" s="344">
        <v>2006</v>
      </c>
      <c r="AI5" s="344">
        <v>2007</v>
      </c>
      <c r="AJ5" s="344">
        <v>2008</v>
      </c>
      <c r="AK5" s="344">
        <v>2009</v>
      </c>
      <c r="AL5" s="344">
        <v>2010</v>
      </c>
      <c r="AM5" s="345"/>
    </row>
    <row r="6" spans="2:39" ht="24" x14ac:dyDescent="0.25">
      <c r="B6" t="s">
        <v>826</v>
      </c>
      <c r="C6" t="s">
        <v>827</v>
      </c>
      <c r="D6">
        <v>590</v>
      </c>
      <c r="E6">
        <v>826</v>
      </c>
      <c r="F6">
        <f>E6*[11]Deflator!$F$33</f>
        <v>9841.7899999999991</v>
      </c>
      <c r="G6" s="346">
        <f>D6*(AVERAGE(D$25:$D$31)*FuelDistribution!$AB$6*FuelDistribution!$AE$40/FuelDistribution!$S$40)/1000</f>
        <v>266.11872910346432</v>
      </c>
      <c r="R6" s="347" t="s">
        <v>231</v>
      </c>
      <c r="S6" s="348">
        <v>15.727008694067001</v>
      </c>
      <c r="T6" s="348">
        <v>14.5711517216375</v>
      </c>
      <c r="U6" s="348">
        <v>13.0875688743451</v>
      </c>
      <c r="V6" s="348">
        <v>9.5940101543789797</v>
      </c>
      <c r="W6" s="348">
        <v>10.250325952765699</v>
      </c>
      <c r="X6" s="348">
        <v>8.0896615070995495</v>
      </c>
      <c r="Y6" s="348">
        <v>8.1064754482185197</v>
      </c>
      <c r="Z6" s="348">
        <v>7.7104128133594703</v>
      </c>
      <c r="AA6" s="348">
        <v>7.0732294482553897</v>
      </c>
      <c r="AB6" s="348">
        <v>8.8095447928848092</v>
      </c>
      <c r="AC6" s="348">
        <v>7.6669259373051499</v>
      </c>
      <c r="AD6" s="348">
        <v>10.749452406287</v>
      </c>
      <c r="AE6" s="348">
        <v>5.5502297825584197</v>
      </c>
      <c r="AF6" s="348">
        <v>6.3718942256896698</v>
      </c>
      <c r="AG6" s="348">
        <v>5.4446739251013696</v>
      </c>
      <c r="AH6" s="348">
        <v>6.5276131156196397</v>
      </c>
      <c r="AI6" s="348">
        <v>8.1914947793359403</v>
      </c>
      <c r="AJ6" s="348">
        <v>9.2056545564224894</v>
      </c>
      <c r="AK6" s="348">
        <v>7.3317962461641599</v>
      </c>
      <c r="AL6" s="349">
        <f>(145.2/134.3-1)*100</f>
        <v>8.116157855547268</v>
      </c>
      <c r="AM6" s="28"/>
    </row>
    <row r="7" spans="2:39" ht="36" customHeight="1" x14ac:dyDescent="0.25">
      <c r="B7" t="s">
        <v>826</v>
      </c>
      <c r="C7" t="s">
        <v>828</v>
      </c>
      <c r="D7">
        <v>240</v>
      </c>
      <c r="E7">
        <v>336</v>
      </c>
      <c r="F7">
        <f>E7*AVERAGE([12]Deflator!$LD$77:$LD$332)</f>
        <v>3242.0356415999986</v>
      </c>
      <c r="G7" s="346">
        <f>D7*(AVERAGE(D$25:$D$31)*FuelDistribution!$AB$6*FuelDistribution!$AE$40/FuelDistribution!$S$40)/1000</f>
        <v>108.25168641496855</v>
      </c>
      <c r="R7" s="350">
        <f>S16</f>
        <v>2006</v>
      </c>
      <c r="S7" s="351">
        <f t="shared" ref="S7:AL7" si="0">IF(S5=$R$7,1,IF(S5&lt;$R7,T7/(1+T6/100),R7*(S6/100+1)))</f>
        <v>0.28967090786437666</v>
      </c>
      <c r="T7" s="351">
        <f t="shared" si="0"/>
        <v>0.33187929534273974</v>
      </c>
      <c r="U7" s="351">
        <f t="shared" si="0"/>
        <v>0.37531422670041198</v>
      </c>
      <c r="V7" s="351">
        <f t="shared" si="0"/>
        <v>0.4113219117208784</v>
      </c>
      <c r="W7" s="351">
        <f t="shared" si="0"/>
        <v>0.45348374838741562</v>
      </c>
      <c r="X7" s="351">
        <f t="shared" si="0"/>
        <v>0.49016904862166455</v>
      </c>
      <c r="Y7" s="351">
        <f t="shared" si="0"/>
        <v>0.52990448220294606</v>
      </c>
      <c r="Z7" s="351">
        <f t="shared" si="0"/>
        <v>0.57076230529728811</v>
      </c>
      <c r="AA7" s="351">
        <f t="shared" si="0"/>
        <v>0.61113363275511723</v>
      </c>
      <c r="AB7" s="351">
        <f t="shared" si="0"/>
        <v>0.66497172387706338</v>
      </c>
      <c r="AC7" s="351">
        <f t="shared" si="0"/>
        <v>0.71595461345073919</v>
      </c>
      <c r="AD7" s="351">
        <f t="shared" si="0"/>
        <v>0.79291581387424248</v>
      </c>
      <c r="AE7" s="351">
        <f t="shared" si="0"/>
        <v>0.83692446352650607</v>
      </c>
      <c r="AF7" s="351">
        <f t="shared" si="0"/>
        <v>0.89025240509133574</v>
      </c>
      <c r="AG7" s="351">
        <f t="shared" si="0"/>
        <v>0.93872374565893157</v>
      </c>
      <c r="AH7" s="351">
        <f t="shared" si="0"/>
        <v>1</v>
      </c>
      <c r="AI7" s="351">
        <f t="shared" si="0"/>
        <v>1.0819149477933594</v>
      </c>
      <c r="AJ7" s="351">
        <f t="shared" si="0"/>
        <v>1.1815123004815147</v>
      </c>
      <c r="AK7" s="351">
        <f t="shared" si="0"/>
        <v>1.2681383749761861</v>
      </c>
      <c r="AL7" s="351">
        <f t="shared" si="0"/>
        <v>1.3710624873160253</v>
      </c>
      <c r="AM7" s="28"/>
    </row>
    <row r="8" spans="2:39" x14ac:dyDescent="0.25">
      <c r="B8" t="s">
        <v>826</v>
      </c>
      <c r="C8" t="s">
        <v>829</v>
      </c>
      <c r="D8">
        <v>210</v>
      </c>
      <c r="E8">
        <v>294</v>
      </c>
      <c r="F8">
        <f>E8*AVERAGE([12]Deflator!$LD$77:$LD$332)</f>
        <v>2836.7811863999987</v>
      </c>
      <c r="G8" s="346">
        <f>D8*(AVERAGE(D$25:$D$31)*FuelDistribution!$AB$6*FuelDistribution!$AE$40/FuelDistribution!$S$40)/1000</f>
        <v>94.720225613097469</v>
      </c>
      <c r="R8" s="350" t="s">
        <v>634</v>
      </c>
      <c r="S8" s="351">
        <f t="shared" ref="S8:AL8" si="1">1/S7</f>
        <v>3.452193412768251</v>
      </c>
      <c r="T8" s="351">
        <f t="shared" si="1"/>
        <v>3.0131436761286237</v>
      </c>
      <c r="U8" s="351">
        <f t="shared" si="1"/>
        <v>2.6644340364913277</v>
      </c>
      <c r="V8" s="351">
        <f t="shared" si="1"/>
        <v>2.4311858218693598</v>
      </c>
      <c r="W8" s="351">
        <f t="shared" si="1"/>
        <v>2.2051506885439478</v>
      </c>
      <c r="X8" s="351">
        <f t="shared" si="1"/>
        <v>2.0401124934590613</v>
      </c>
      <c r="Y8" s="351">
        <f t="shared" si="1"/>
        <v>1.887132556121716</v>
      </c>
      <c r="Z8" s="351">
        <f t="shared" si="1"/>
        <v>1.7520428218873678</v>
      </c>
      <c r="AA8" s="351">
        <f t="shared" si="1"/>
        <v>1.6363033326963081</v>
      </c>
      <c r="AB8" s="351">
        <f t="shared" si="1"/>
        <v>1.5038233417950189</v>
      </c>
      <c r="AC8" s="351">
        <f t="shared" si="1"/>
        <v>1.3967365824772415</v>
      </c>
      <c r="AD8" s="351">
        <f t="shared" si="1"/>
        <v>1.2611679354885479</v>
      </c>
      <c r="AE8" s="351">
        <f t="shared" si="1"/>
        <v>1.1948509615627088</v>
      </c>
      <c r="AF8" s="351">
        <f t="shared" si="1"/>
        <v>1.1232769428995866</v>
      </c>
      <c r="AG8" s="351">
        <f t="shared" si="1"/>
        <v>1.0652761311561965</v>
      </c>
      <c r="AH8" s="351">
        <f t="shared" si="1"/>
        <v>1</v>
      </c>
      <c r="AI8" s="351">
        <f t="shared" si="1"/>
        <v>0.92428707269417931</v>
      </c>
      <c r="AJ8" s="351">
        <f t="shared" si="1"/>
        <v>0.84637290664892695</v>
      </c>
      <c r="AK8" s="351">
        <f t="shared" si="1"/>
        <v>0.78855747900443329</v>
      </c>
      <c r="AL8" s="351">
        <f t="shared" si="1"/>
        <v>0.72936135971277827</v>
      </c>
      <c r="AM8" s="28"/>
    </row>
    <row r="9" spans="2:39" x14ac:dyDescent="0.25">
      <c r="B9" t="s">
        <v>826</v>
      </c>
      <c r="C9" t="s">
        <v>830</v>
      </c>
      <c r="D9">
        <v>690</v>
      </c>
      <c r="E9">
        <v>966</v>
      </c>
      <c r="F9">
        <f>E9*AVERAGE([12]Deflator!$LD$77:$LD$332)</f>
        <v>9320.8524695999949</v>
      </c>
      <c r="G9" s="346">
        <f>D9*(AVERAGE(D$25:$D$31)*FuelDistribution!$AB$6*FuelDistribution!$AE$40/FuelDistribution!$S$40)/1000</f>
        <v>311.22359844303452</v>
      </c>
      <c r="R9" s="28" t="s">
        <v>831</v>
      </c>
      <c r="S9" s="28"/>
      <c r="T9" s="28"/>
      <c r="U9" s="28"/>
      <c r="V9" s="28"/>
      <c r="W9" s="28"/>
      <c r="X9" s="28"/>
      <c r="Y9" s="28"/>
      <c r="Z9" s="28"/>
      <c r="AA9" s="28"/>
      <c r="AB9" s="28"/>
      <c r="AC9" s="28"/>
      <c r="AD9" s="28"/>
      <c r="AE9" s="28"/>
      <c r="AF9" s="28"/>
      <c r="AG9" s="28"/>
      <c r="AH9" s="28"/>
      <c r="AI9" s="28"/>
      <c r="AJ9" s="28"/>
      <c r="AK9" s="28"/>
      <c r="AL9" s="28"/>
      <c r="AM9" s="28"/>
    </row>
    <row r="10" spans="2:39" x14ac:dyDescent="0.25">
      <c r="B10" t="s">
        <v>826</v>
      </c>
      <c r="C10" t="s">
        <v>832</v>
      </c>
      <c r="D10">
        <v>750</v>
      </c>
      <c r="E10">
        <v>1050</v>
      </c>
      <c r="F10">
        <f>E10*AVERAGE([12]Deflator!$LD$77:$LD$332)</f>
        <v>10131.361379999995</v>
      </c>
      <c r="G10" s="346">
        <f>D10*(AVERAGE(D$25:$D$31)*FuelDistribution!$AB$6*FuelDistribution!$AE$40/FuelDistribution!$S$40)/1000</f>
        <v>338.28652004677667</v>
      </c>
      <c r="R10" s="352" t="s">
        <v>833</v>
      </c>
      <c r="S10" s="28"/>
      <c r="T10" s="28"/>
      <c r="U10" s="28"/>
      <c r="V10" s="28"/>
      <c r="W10" s="28"/>
      <c r="X10" s="28"/>
      <c r="Y10" s="28"/>
      <c r="Z10" s="28"/>
      <c r="AA10" s="28"/>
      <c r="AB10" s="28"/>
      <c r="AC10" s="28"/>
      <c r="AD10" s="28"/>
      <c r="AE10" s="28"/>
      <c r="AF10" s="28"/>
      <c r="AG10" s="28"/>
      <c r="AH10" s="28"/>
      <c r="AI10" s="28"/>
      <c r="AJ10" s="28"/>
      <c r="AK10" s="28"/>
      <c r="AL10" s="28"/>
      <c r="AM10" s="28"/>
    </row>
    <row r="11" spans="2:39" x14ac:dyDescent="0.25">
      <c r="B11" t="s">
        <v>546</v>
      </c>
      <c r="D11">
        <f>SUM(D6:D10)</f>
        <v>2480</v>
      </c>
      <c r="F11" s="353">
        <f>SUM(F6:F10)</f>
        <v>35372.820677599986</v>
      </c>
      <c r="G11" s="353">
        <f>SUM(G6:G10)</f>
        <v>1118.6007596213417</v>
      </c>
      <c r="R11" s="28" t="s">
        <v>834</v>
      </c>
      <c r="S11" s="28"/>
      <c r="T11" s="28"/>
      <c r="U11" s="28"/>
      <c r="V11" s="28"/>
      <c r="W11" s="28"/>
      <c r="X11" s="28"/>
      <c r="Y11" s="28"/>
      <c r="Z11" s="28"/>
      <c r="AA11" s="28"/>
      <c r="AB11" s="28"/>
      <c r="AC11" s="28"/>
      <c r="AD11" s="28"/>
      <c r="AE11" s="28"/>
      <c r="AF11" s="28"/>
      <c r="AG11" s="28"/>
      <c r="AH11" s="28"/>
      <c r="AI11" s="28"/>
      <c r="AJ11" s="28"/>
      <c r="AK11" s="28"/>
      <c r="AL11" s="28"/>
      <c r="AM11" s="28"/>
    </row>
    <row r="12" spans="2:39" x14ac:dyDescent="0.25">
      <c r="B12" t="s">
        <v>835</v>
      </c>
      <c r="R12" s="28"/>
      <c r="S12" s="28"/>
      <c r="T12" s="28"/>
      <c r="U12" s="28"/>
      <c r="V12" s="28"/>
      <c r="W12" s="28"/>
      <c r="X12" s="28"/>
      <c r="Y12" s="28"/>
      <c r="Z12" s="28"/>
      <c r="AA12" s="28"/>
      <c r="AB12" s="28"/>
      <c r="AC12" s="28"/>
      <c r="AD12" s="28"/>
      <c r="AE12" s="28"/>
      <c r="AF12" s="28"/>
      <c r="AG12" s="28"/>
      <c r="AH12" s="28"/>
      <c r="AI12" s="28"/>
      <c r="AJ12" s="28"/>
      <c r="AK12" s="28"/>
      <c r="AL12" s="28"/>
      <c r="AM12" s="28"/>
    </row>
    <row r="13" spans="2:39" x14ac:dyDescent="0.25">
      <c r="R13" s="28" t="s">
        <v>836</v>
      </c>
      <c r="S13" s="28"/>
      <c r="T13" s="28"/>
      <c r="U13" s="28"/>
      <c r="V13" s="28"/>
      <c r="W13" s="28"/>
      <c r="X13" s="28"/>
      <c r="Y13" s="28"/>
      <c r="Z13" s="28"/>
      <c r="AA13" s="28"/>
      <c r="AB13" s="28"/>
      <c r="AC13" s="28"/>
      <c r="AD13" s="28"/>
      <c r="AE13" s="28"/>
      <c r="AF13" s="28"/>
      <c r="AG13" s="28"/>
      <c r="AH13" s="28"/>
      <c r="AI13" s="28"/>
      <c r="AJ13" s="28"/>
      <c r="AK13" s="28"/>
      <c r="AL13" s="28"/>
      <c r="AM13" s="28"/>
    </row>
    <row r="14" spans="2:39" x14ac:dyDescent="0.25">
      <c r="R14" s="345"/>
      <c r="S14" s="354">
        <v>2000</v>
      </c>
      <c r="T14" s="345" t="s">
        <v>837</v>
      </c>
      <c r="U14" s="345"/>
      <c r="V14" s="345"/>
      <c r="W14" s="345"/>
      <c r="X14" s="345"/>
      <c r="Y14" s="345"/>
      <c r="Z14" s="345"/>
      <c r="AA14" s="345"/>
      <c r="AB14" s="345"/>
      <c r="AC14" s="345"/>
      <c r="AD14" s="345"/>
      <c r="AE14" s="345"/>
      <c r="AF14" s="345"/>
      <c r="AG14" s="345"/>
      <c r="AH14" s="345"/>
      <c r="AI14" s="345"/>
      <c r="AJ14" s="345"/>
      <c r="AK14" s="345"/>
      <c r="AL14" s="345"/>
      <c r="AM14" s="345"/>
    </row>
    <row r="15" spans="2:39" x14ac:dyDescent="0.25">
      <c r="B15" t="s">
        <v>838</v>
      </c>
      <c r="R15" s="28" t="s">
        <v>839</v>
      </c>
      <c r="S15" s="28"/>
      <c r="T15" s="28"/>
      <c r="U15" s="28"/>
      <c r="V15" s="28"/>
      <c r="W15" s="28"/>
      <c r="X15" s="28"/>
      <c r="Y15" s="28"/>
      <c r="Z15" s="28"/>
      <c r="AA15" s="28"/>
      <c r="AB15" s="28"/>
      <c r="AC15" s="28"/>
      <c r="AD15" s="28"/>
      <c r="AE15" s="28"/>
      <c r="AF15" s="28"/>
      <c r="AG15" s="28"/>
      <c r="AH15" s="28"/>
      <c r="AI15" s="28"/>
      <c r="AJ15" s="28"/>
      <c r="AK15" s="28"/>
      <c r="AL15" s="28"/>
      <c r="AM15" s="28"/>
    </row>
    <row r="16" spans="2:39" x14ac:dyDescent="0.25">
      <c r="B16" t="s">
        <v>840</v>
      </c>
      <c r="R16" s="345"/>
      <c r="S16" s="354">
        <v>2006</v>
      </c>
      <c r="T16" s="345" t="s">
        <v>837</v>
      </c>
      <c r="U16" s="345"/>
      <c r="V16" s="345"/>
      <c r="W16" s="345"/>
      <c r="X16" s="345"/>
      <c r="Y16" s="345"/>
      <c r="Z16" s="345"/>
      <c r="AA16" s="345"/>
      <c r="AB16" s="345"/>
      <c r="AC16" s="345"/>
      <c r="AD16" s="345"/>
      <c r="AE16" s="345"/>
      <c r="AF16" s="345"/>
      <c r="AG16" s="345"/>
      <c r="AH16" s="345"/>
      <c r="AI16" s="345"/>
      <c r="AJ16" s="345"/>
      <c r="AK16" s="345"/>
      <c r="AL16" s="345"/>
      <c r="AM16" s="345"/>
    </row>
    <row r="17" spans="1:40" x14ac:dyDescent="0.25">
      <c r="B17" t="s">
        <v>841</v>
      </c>
      <c r="R17" s="28" t="s">
        <v>842</v>
      </c>
      <c r="S17" s="28"/>
      <c r="T17" s="28"/>
      <c r="U17" s="28"/>
      <c r="V17" s="28"/>
      <c r="W17" s="28"/>
      <c r="X17" s="28"/>
      <c r="Y17" s="28"/>
      <c r="Z17" s="28"/>
      <c r="AA17" s="28"/>
      <c r="AB17" s="28"/>
      <c r="AC17" s="28"/>
      <c r="AD17" s="28"/>
      <c r="AE17" s="28"/>
      <c r="AF17" s="28"/>
      <c r="AG17" s="28"/>
      <c r="AH17" s="28"/>
      <c r="AI17" s="28"/>
      <c r="AJ17" s="28"/>
      <c r="AK17" s="28"/>
      <c r="AL17" s="28"/>
      <c r="AM17" s="28"/>
    </row>
    <row r="18" spans="1:40" x14ac:dyDescent="0.25">
      <c r="B18" t="s">
        <v>843</v>
      </c>
      <c r="R18" s="28" t="s">
        <v>844</v>
      </c>
      <c r="S18" s="355">
        <f>1/S19</f>
        <v>1.5038233417950189</v>
      </c>
      <c r="T18" s="28"/>
      <c r="U18" s="28"/>
      <c r="V18" s="28"/>
      <c r="W18" s="28"/>
      <c r="X18" s="28"/>
      <c r="Y18" s="28"/>
      <c r="Z18" s="28"/>
      <c r="AA18" s="28"/>
      <c r="AB18" s="28"/>
      <c r="AC18" s="28"/>
      <c r="AD18" s="28"/>
      <c r="AE18" s="28"/>
      <c r="AF18" s="28"/>
      <c r="AG18" s="28"/>
      <c r="AH18" s="28"/>
      <c r="AI18" s="28"/>
      <c r="AJ18" s="28"/>
      <c r="AK18" s="28"/>
      <c r="AL18" s="28"/>
      <c r="AM18" s="28"/>
    </row>
    <row r="19" spans="1:40" x14ac:dyDescent="0.25">
      <c r="R19" s="28" t="s">
        <v>845</v>
      </c>
      <c r="S19" s="356">
        <f>SUMIF($S$5:$AL$5,S14,$S$7:$AL$7)</f>
        <v>0.66497172387706338</v>
      </c>
      <c r="T19" s="28"/>
      <c r="U19" s="28"/>
      <c r="V19" s="28"/>
      <c r="W19" s="28"/>
      <c r="X19" s="28"/>
      <c r="Y19" s="28"/>
      <c r="Z19" s="28"/>
      <c r="AA19" s="28"/>
      <c r="AB19" s="28"/>
      <c r="AC19" s="28"/>
      <c r="AD19" s="28"/>
      <c r="AE19" s="28"/>
      <c r="AF19" s="28"/>
      <c r="AG19" s="28"/>
      <c r="AH19" s="28"/>
      <c r="AI19" s="28"/>
      <c r="AJ19" s="28"/>
      <c r="AK19" s="28"/>
      <c r="AL19" s="28"/>
      <c r="AM19" s="28"/>
    </row>
    <row r="20" spans="1:40" x14ac:dyDescent="0.25">
      <c r="A20" s="2">
        <v>2.54</v>
      </c>
      <c r="R20" s="28"/>
      <c r="S20" s="28"/>
      <c r="T20" s="28"/>
      <c r="U20" s="28"/>
      <c r="V20" s="28"/>
      <c r="W20" s="28"/>
      <c r="X20" s="28"/>
      <c r="Y20" s="28"/>
      <c r="Z20" s="28"/>
      <c r="AA20" s="28"/>
      <c r="AB20" s="28"/>
      <c r="AC20" s="28"/>
      <c r="AD20" s="28"/>
      <c r="AE20" s="28"/>
      <c r="AF20" s="28"/>
      <c r="AG20" s="28"/>
      <c r="AH20" s="28"/>
      <c r="AI20" s="28"/>
      <c r="AJ20" s="28"/>
      <c r="AK20" s="28"/>
      <c r="AL20" s="28"/>
      <c r="AM20" s="28"/>
    </row>
    <row r="21" spans="1:40" x14ac:dyDescent="0.25">
      <c r="R21" s="28" t="s">
        <v>846</v>
      </c>
      <c r="S21" s="28"/>
      <c r="T21" s="28"/>
      <c r="U21" s="28"/>
      <c r="V21" s="28"/>
      <c r="W21" s="28"/>
      <c r="X21" s="28"/>
      <c r="Y21" s="28"/>
      <c r="Z21" s="28"/>
      <c r="AA21" s="28"/>
      <c r="AB21" s="28"/>
      <c r="AC21" s="28"/>
      <c r="AD21" s="28"/>
      <c r="AE21" s="28"/>
      <c r="AF21" s="28"/>
      <c r="AG21" s="28"/>
      <c r="AH21" s="28"/>
      <c r="AI21" s="28"/>
      <c r="AJ21" s="28"/>
      <c r="AK21" s="28"/>
      <c r="AL21" s="28"/>
      <c r="AM21" s="28"/>
    </row>
    <row r="22" spans="1:40" ht="24" x14ac:dyDescent="0.25">
      <c r="C22" s="8" t="s">
        <v>847</v>
      </c>
      <c r="E22" s="8"/>
      <c r="F22" s="8"/>
      <c r="G22" s="8"/>
      <c r="H22" s="8"/>
      <c r="R22" s="343" t="s">
        <v>825</v>
      </c>
      <c r="S22" s="344">
        <v>1991</v>
      </c>
      <c r="T22" s="344">
        <v>1992</v>
      </c>
      <c r="U22" s="344">
        <v>1993</v>
      </c>
      <c r="V22" s="344">
        <v>1994</v>
      </c>
      <c r="W22" s="344">
        <v>1995</v>
      </c>
      <c r="X22" s="344">
        <v>1996</v>
      </c>
      <c r="Y22" s="344">
        <v>1997</v>
      </c>
      <c r="Z22" s="344">
        <v>1998</v>
      </c>
      <c r="AA22" s="344">
        <v>1999</v>
      </c>
      <c r="AB22" s="344">
        <v>2000</v>
      </c>
      <c r="AC22" s="344">
        <v>2001</v>
      </c>
      <c r="AD22" s="344">
        <v>2002</v>
      </c>
      <c r="AE22" s="344">
        <v>2003</v>
      </c>
      <c r="AF22" s="344">
        <v>2004</v>
      </c>
      <c r="AG22" s="344">
        <v>2005</v>
      </c>
      <c r="AH22" s="344">
        <v>2006</v>
      </c>
      <c r="AI22" s="344">
        <v>2007</v>
      </c>
      <c r="AJ22" s="344">
        <v>2008</v>
      </c>
      <c r="AK22" s="344">
        <v>2009</v>
      </c>
      <c r="AL22" s="344">
        <v>2010</v>
      </c>
      <c r="AM22" s="345"/>
    </row>
    <row r="23" spans="1:40" ht="24" x14ac:dyDescent="0.25">
      <c r="C23" s="258" t="s">
        <v>848</v>
      </c>
      <c r="D23" s="1" t="s">
        <v>849</v>
      </c>
      <c r="E23" s="1" t="s">
        <v>850</v>
      </c>
      <c r="F23" s="1" t="s">
        <v>851</v>
      </c>
      <c r="G23" s="1" t="s">
        <v>852</v>
      </c>
      <c r="H23" s="8" t="s">
        <v>853</v>
      </c>
      <c r="I23" s="142" t="s">
        <v>854</v>
      </c>
      <c r="J23" s="142">
        <v>38.520000000000003</v>
      </c>
      <c r="R23" s="347" t="s">
        <v>779</v>
      </c>
      <c r="S23" s="357">
        <v>3.3994252378249699</v>
      </c>
      <c r="T23" s="357">
        <v>2.1054788150436798</v>
      </c>
      <c r="U23" s="357">
        <v>2.1924332890308</v>
      </c>
      <c r="V23" s="357">
        <v>2.0360309460728101</v>
      </c>
      <c r="W23" s="357">
        <v>2.3263787079223999</v>
      </c>
      <c r="X23" s="357">
        <v>1.7717629484628601</v>
      </c>
      <c r="Y23" s="357">
        <v>1.9273567571815799</v>
      </c>
      <c r="Z23" s="357">
        <v>1.4055393887866201</v>
      </c>
      <c r="AA23" s="357">
        <v>1.46557115641922</v>
      </c>
      <c r="AB23" s="357">
        <v>2.1635805504784602</v>
      </c>
      <c r="AC23" s="357">
        <v>2.2671398465768702</v>
      </c>
      <c r="AD23" s="357">
        <v>1.6245670393856999</v>
      </c>
      <c r="AE23" s="357">
        <v>2.1553754412521502</v>
      </c>
      <c r="AF23" s="357">
        <v>2.8345692622040302</v>
      </c>
      <c r="AG23" s="357">
        <v>3.33465966170388</v>
      </c>
      <c r="AH23" s="357">
        <v>3.2525297973129899</v>
      </c>
      <c r="AI23" s="357">
        <v>2.9410667446596199</v>
      </c>
      <c r="AJ23" s="357">
        <v>2.1781516163835</v>
      </c>
      <c r="AK23" s="357">
        <v>0.92363494772816102</v>
      </c>
      <c r="AL23" s="357">
        <v>0.95304869092815603</v>
      </c>
      <c r="AM23" s="28"/>
    </row>
    <row r="24" spans="1:40" x14ac:dyDescent="0.25">
      <c r="C24" s="1" t="s">
        <v>855</v>
      </c>
      <c r="D24" s="1" t="s">
        <v>856</v>
      </c>
      <c r="E24" s="1" t="s">
        <v>857</v>
      </c>
      <c r="F24" s="1" t="s">
        <v>858</v>
      </c>
      <c r="G24" s="1">
        <v>1</v>
      </c>
      <c r="H24" s="142" t="s">
        <v>859</v>
      </c>
      <c r="I24" s="142"/>
      <c r="R24" s="350">
        <v>2005</v>
      </c>
      <c r="S24" s="358">
        <f t="shared" ref="S24:AL24" si="2">IF(S22=$R$24,1,IF(S22&lt;$R24,T24/(1+T23/100),R24*(S23/100+1)))</f>
        <v>0.74613139409322993</v>
      </c>
      <c r="T24" s="358">
        <f t="shared" si="2"/>
        <v>0.76184103252825297</v>
      </c>
      <c r="U24" s="358">
        <f t="shared" si="2"/>
        <v>0.77854388893489834</v>
      </c>
      <c r="V24" s="358">
        <f t="shared" si="2"/>
        <v>0.79439528344237154</v>
      </c>
      <c r="W24" s="358">
        <f t="shared" si="2"/>
        <v>0.81287592617311466</v>
      </c>
      <c r="X24" s="358">
        <f t="shared" si="2"/>
        <v>0.82727816065002424</v>
      </c>
      <c r="Y24" s="358">
        <f t="shared" si="2"/>
        <v>0.84322276218000003</v>
      </c>
      <c r="Z24" s="358">
        <f t="shared" si="2"/>
        <v>0.85507459023765453</v>
      </c>
      <c r="AA24" s="358">
        <f t="shared" si="2"/>
        <v>0.86760631679804734</v>
      </c>
      <c r="AB24" s="358">
        <f t="shared" si="2"/>
        <v>0.88637767832301229</v>
      </c>
      <c r="AC24" s="358">
        <f t="shared" si="2"/>
        <v>0.90647309985943625</v>
      </c>
      <c r="AD24" s="358">
        <f t="shared" si="2"/>
        <v>0.92119936306065042</v>
      </c>
      <c r="AE24" s="358">
        <f t="shared" si="2"/>
        <v>0.94105466789703096</v>
      </c>
      <c r="AF24" s="358">
        <f t="shared" si="2"/>
        <v>0.9677295142537764</v>
      </c>
      <c r="AG24" s="358">
        <f t="shared" si="2"/>
        <v>1</v>
      </c>
      <c r="AH24" s="358">
        <f t="shared" si="2"/>
        <v>1.0325252979731299</v>
      </c>
      <c r="AI24" s="358">
        <f t="shared" si="2"/>
        <v>1.0628925561420153</v>
      </c>
      <c r="AJ24" s="358">
        <f t="shared" si="2"/>
        <v>1.0860439675340425</v>
      </c>
      <c r="AK24" s="358">
        <f t="shared" si="2"/>
        <v>1.0960750491658804</v>
      </c>
      <c r="AL24" s="358">
        <f t="shared" si="2"/>
        <v>1.106521178073546</v>
      </c>
      <c r="AM24" s="28"/>
    </row>
    <row r="25" spans="1:40" x14ac:dyDescent="0.25">
      <c r="C25" s="1">
        <f t="shared" ref="C25:C31" si="3">D25*_xlfn.SINGLE(inchtocentimetre)</f>
        <v>50.8</v>
      </c>
      <c r="D25" s="359">
        <v>20</v>
      </c>
      <c r="E25" s="359">
        <v>2</v>
      </c>
      <c r="F25" s="360">
        <f t="shared" ref="F25:F31" si="4">E25*$J$23</f>
        <v>77.040000000000006</v>
      </c>
      <c r="G25" s="360">
        <v>1</v>
      </c>
      <c r="H25" s="361">
        <f t="shared" ref="H25:H31" si="5">$F$11/(F25*G25)</f>
        <v>459.14876268951173</v>
      </c>
      <c r="R25" s="350" t="s">
        <v>634</v>
      </c>
      <c r="S25" s="358">
        <f t="shared" ref="S25:AL25" si="6">1/S24</f>
        <v>1.3402465141080082</v>
      </c>
      <c r="T25" s="358">
        <f t="shared" si="6"/>
        <v>1.3126097929923652</v>
      </c>
      <c r="U25" s="358">
        <f t="shared" si="6"/>
        <v>1.2844491032715817</v>
      </c>
      <c r="V25" s="358">
        <f t="shared" si="6"/>
        <v>1.2588191557063089</v>
      </c>
      <c r="W25" s="358">
        <f t="shared" si="6"/>
        <v>1.2302000438219822</v>
      </c>
      <c r="X25" s="358">
        <f t="shared" si="6"/>
        <v>1.2087832697218328</v>
      </c>
      <c r="Y25" s="358">
        <f t="shared" si="6"/>
        <v>1.1859262401962214</v>
      </c>
      <c r="Z25" s="358">
        <f t="shared" si="6"/>
        <v>1.1694886170363987</v>
      </c>
      <c r="AA25" s="358">
        <f t="shared" si="6"/>
        <v>1.1525964952520855</v>
      </c>
      <c r="AB25" s="358">
        <f t="shared" si="6"/>
        <v>1.1281872552250596</v>
      </c>
      <c r="AC25" s="358">
        <f t="shared" si="6"/>
        <v>1.1031766967547814</v>
      </c>
      <c r="AD25" s="358">
        <f t="shared" si="6"/>
        <v>1.0855413497872355</v>
      </c>
      <c r="AE25" s="358">
        <f t="shared" si="6"/>
        <v>1.0626375216167769</v>
      </c>
      <c r="AF25" s="358">
        <f t="shared" si="6"/>
        <v>1.0333465966170388</v>
      </c>
      <c r="AG25" s="358">
        <f t="shared" si="6"/>
        <v>1</v>
      </c>
      <c r="AH25" s="358">
        <f t="shared" si="6"/>
        <v>0.96849927257280988</v>
      </c>
      <c r="AI25" s="358">
        <f t="shared" si="6"/>
        <v>0.94082886762299234</v>
      </c>
      <c r="AJ25" s="358">
        <f t="shared" si="6"/>
        <v>0.92077303488051887</v>
      </c>
      <c r="AK25" s="358">
        <f t="shared" si="6"/>
        <v>0.91234628574111409</v>
      </c>
      <c r="AL25" s="358">
        <f t="shared" si="6"/>
        <v>0.90373326766415851</v>
      </c>
      <c r="AM25" s="28"/>
    </row>
    <row r="26" spans="1:40" x14ac:dyDescent="0.25">
      <c r="C26" s="1">
        <f t="shared" si="3"/>
        <v>60.96</v>
      </c>
      <c r="D26" s="359">
        <v>24</v>
      </c>
      <c r="E26" s="359">
        <v>3.2</v>
      </c>
      <c r="F26" s="360">
        <f t="shared" si="4"/>
        <v>123.26400000000001</v>
      </c>
      <c r="G26" s="360">
        <v>1</v>
      </c>
      <c r="H26" s="361">
        <f t="shared" si="5"/>
        <v>286.96797668094484</v>
      </c>
      <c r="R26" s="28"/>
      <c r="S26" s="28"/>
      <c r="T26" s="28"/>
      <c r="U26" s="28"/>
      <c r="V26" s="28"/>
      <c r="W26" s="28"/>
      <c r="X26" s="28"/>
      <c r="Y26" s="28"/>
      <c r="Z26" s="28"/>
      <c r="AA26" s="28"/>
      <c r="AB26" s="28"/>
      <c r="AC26" s="28"/>
      <c r="AD26" s="28"/>
      <c r="AE26" s="28"/>
      <c r="AF26" s="28"/>
      <c r="AG26" s="28"/>
      <c r="AH26" s="28"/>
      <c r="AI26" s="28"/>
      <c r="AJ26" s="28"/>
      <c r="AK26" s="28"/>
      <c r="AL26" s="28"/>
      <c r="AM26" s="28"/>
    </row>
    <row r="27" spans="1:40" x14ac:dyDescent="0.25">
      <c r="C27" s="1">
        <f t="shared" si="3"/>
        <v>71.12</v>
      </c>
      <c r="D27" s="359">
        <v>28</v>
      </c>
      <c r="E27" s="359">
        <v>4.7</v>
      </c>
      <c r="F27" s="360">
        <f t="shared" si="4"/>
        <v>181.04400000000001</v>
      </c>
      <c r="G27" s="360">
        <v>1</v>
      </c>
      <c r="H27" s="361">
        <f t="shared" si="5"/>
        <v>195.38245220830285</v>
      </c>
      <c r="R27" s="362" t="s">
        <v>860</v>
      </c>
      <c r="S27" s="28"/>
      <c r="T27" s="28"/>
      <c r="U27" s="28"/>
      <c r="V27" s="28"/>
      <c r="W27" s="28"/>
      <c r="X27" s="28"/>
      <c r="Y27" s="28"/>
      <c r="Z27" s="28"/>
      <c r="AA27" s="28"/>
      <c r="AB27" s="28"/>
      <c r="AC27" s="28"/>
      <c r="AD27" s="28"/>
      <c r="AE27" s="28"/>
      <c r="AF27" s="28"/>
      <c r="AG27" s="28"/>
      <c r="AH27" s="28"/>
      <c r="AI27" s="28"/>
      <c r="AJ27" s="28"/>
      <c r="AK27" s="28"/>
      <c r="AL27" s="28"/>
      <c r="AM27" s="28"/>
    </row>
    <row r="28" spans="1:40" ht="24" x14ac:dyDescent="0.25">
      <c r="C28" s="1">
        <f t="shared" si="3"/>
        <v>81.28</v>
      </c>
      <c r="D28" s="359">
        <v>32</v>
      </c>
      <c r="E28" s="359">
        <v>6.6</v>
      </c>
      <c r="F28" s="360">
        <f t="shared" si="4"/>
        <v>254.232</v>
      </c>
      <c r="G28" s="360">
        <v>1</v>
      </c>
      <c r="H28" s="361">
        <f t="shared" si="5"/>
        <v>139.13598869379143</v>
      </c>
      <c r="R28" s="343" t="s">
        <v>825</v>
      </c>
      <c r="S28" s="344">
        <v>1991</v>
      </c>
      <c r="T28" s="344">
        <v>1992</v>
      </c>
      <c r="U28" s="344">
        <v>1993</v>
      </c>
      <c r="V28" s="344">
        <v>1994</v>
      </c>
      <c r="W28" s="344">
        <v>1995</v>
      </c>
      <c r="X28" s="344">
        <v>1996</v>
      </c>
      <c r="Y28" s="344">
        <v>1997</v>
      </c>
      <c r="Z28" s="344">
        <v>1998</v>
      </c>
      <c r="AA28" s="344">
        <v>1999</v>
      </c>
      <c r="AB28" s="344">
        <v>2000</v>
      </c>
      <c r="AC28" s="344">
        <v>2001</v>
      </c>
      <c r="AD28" s="344">
        <v>2002</v>
      </c>
      <c r="AE28" s="344">
        <v>2003</v>
      </c>
      <c r="AF28" s="344">
        <v>2004</v>
      </c>
      <c r="AG28" s="344">
        <v>2005</v>
      </c>
      <c r="AH28" s="344">
        <v>2006</v>
      </c>
      <c r="AI28" s="344">
        <v>2007</v>
      </c>
      <c r="AJ28" s="344">
        <v>2008</v>
      </c>
      <c r="AK28" s="344">
        <v>2009</v>
      </c>
      <c r="AL28" s="344">
        <v>2010</v>
      </c>
      <c r="AM28" s="344">
        <v>2011</v>
      </c>
      <c r="AN28" s="344">
        <v>2012</v>
      </c>
    </row>
    <row r="29" spans="1:40" ht="24" x14ac:dyDescent="0.25">
      <c r="C29" s="1">
        <f t="shared" si="3"/>
        <v>91.44</v>
      </c>
      <c r="D29" s="359">
        <v>36</v>
      </c>
      <c r="E29" s="359">
        <v>9</v>
      </c>
      <c r="F29" s="360">
        <f t="shared" si="4"/>
        <v>346.68</v>
      </c>
      <c r="G29" s="360">
        <v>1</v>
      </c>
      <c r="H29" s="361">
        <f t="shared" si="5"/>
        <v>102.03305837544706</v>
      </c>
      <c r="R29" s="347" t="s">
        <v>231</v>
      </c>
      <c r="S29" s="357">
        <v>2.7613150000000002</v>
      </c>
      <c r="T29" s="357">
        <v>2.8520141666666698</v>
      </c>
      <c r="U29" s="357">
        <v>3.2677415833333301</v>
      </c>
      <c r="V29" s="357">
        <v>3.5507983333333302</v>
      </c>
      <c r="W29" s="357">
        <v>3.6270850000000001</v>
      </c>
      <c r="X29" s="357">
        <v>4.2993491666666701</v>
      </c>
      <c r="Y29" s="357">
        <v>4.6079616666666698</v>
      </c>
      <c r="Z29" s="357">
        <v>5.52828416666667</v>
      </c>
      <c r="AA29" s="357">
        <v>6.1094841666666699</v>
      </c>
      <c r="AB29" s="357">
        <v>6.9398283333333302</v>
      </c>
      <c r="AC29" s="357">
        <v>8.6091808333333297</v>
      </c>
      <c r="AD29" s="357">
        <v>10.540746666666699</v>
      </c>
      <c r="AE29" s="357">
        <v>7.5647491666666697</v>
      </c>
      <c r="AF29" s="357">
        <v>6.4596925000000001</v>
      </c>
      <c r="AG29" s="357">
        <v>6.3593283333333304</v>
      </c>
      <c r="AH29" s="357">
        <v>6.7715491666666701</v>
      </c>
      <c r="AI29" s="357">
        <v>7.0453650000000003</v>
      </c>
      <c r="AJ29" s="357">
        <v>8.26122333333333</v>
      </c>
      <c r="AK29" s="357">
        <v>8.4736741582488797</v>
      </c>
      <c r="AL29" s="357">
        <v>7.3212219611528804</v>
      </c>
      <c r="AM29" s="357">
        <v>7.2087538461538481</v>
      </c>
      <c r="AN29" s="357">
        <v>8.1955830188679251</v>
      </c>
    </row>
    <row r="30" spans="1:40" x14ac:dyDescent="0.25">
      <c r="C30" s="1">
        <f t="shared" si="3"/>
        <v>101.6</v>
      </c>
      <c r="D30" s="359">
        <v>40</v>
      </c>
      <c r="E30" s="359">
        <v>11.7</v>
      </c>
      <c r="F30" s="360">
        <f t="shared" si="4"/>
        <v>450.68400000000003</v>
      </c>
      <c r="G30" s="360">
        <v>1</v>
      </c>
      <c r="H30" s="361">
        <f t="shared" si="5"/>
        <v>78.486967981113111</v>
      </c>
      <c r="R30" s="350">
        <v>2005</v>
      </c>
      <c r="S30" s="358">
        <f t="shared" ref="S30:AL30" si="7">IF(S28=$R$30,1,IF(S28&lt;$R30,T30/(1+T29/100),R30*(S29/100+1)))</f>
        <v>0.45926906270745477</v>
      </c>
      <c r="T30" s="358">
        <f t="shared" si="7"/>
        <v>0.4723674814389886</v>
      </c>
      <c r="U30" s="358">
        <f t="shared" si="7"/>
        <v>0.48780323005611481</v>
      </c>
      <c r="V30" s="358">
        <f t="shared" si="7"/>
        <v>0.50512413901889353</v>
      </c>
      <c r="W30" s="358">
        <f t="shared" si="7"/>
        <v>0.52344542089662693</v>
      </c>
      <c r="X30" s="358">
        <f t="shared" si="7"/>
        <v>0.54595016723790091</v>
      </c>
      <c r="Y30" s="358">
        <f t="shared" si="7"/>
        <v>0.57110734166332588</v>
      </c>
      <c r="Z30" s="358">
        <f t="shared" si="7"/>
        <v>0.60267977840717046</v>
      </c>
      <c r="AA30" s="358">
        <f t="shared" si="7"/>
        <v>0.63950040404465835</v>
      </c>
      <c r="AB30" s="358">
        <f t="shared" si="7"/>
        <v>0.68388063427633072</v>
      </c>
      <c r="AC30" s="358">
        <f t="shared" si="7"/>
        <v>0.742757154765327</v>
      </c>
      <c r="AD30" s="358">
        <f t="shared" si="7"/>
        <v>0.82104930479768157</v>
      </c>
      <c r="AE30" s="358">
        <f t="shared" si="7"/>
        <v>0.88315962524028668</v>
      </c>
      <c r="AF30" s="358">
        <f t="shared" si="7"/>
        <v>0.94020902131496165</v>
      </c>
      <c r="AG30" s="358">
        <f t="shared" si="7"/>
        <v>1</v>
      </c>
      <c r="AH30" s="358">
        <f t="shared" si="7"/>
        <v>1.0677154916666667</v>
      </c>
      <c r="AI30" s="358">
        <f t="shared" si="7"/>
        <v>1.142939945216128</v>
      </c>
      <c r="AJ30" s="358">
        <f t="shared" si="7"/>
        <v>1.2373607666563098</v>
      </c>
      <c r="AK30" s="358">
        <f t="shared" si="7"/>
        <v>1.3422106861847758</v>
      </c>
      <c r="AL30" s="358">
        <f t="shared" si="7"/>
        <v>1.4404769097066763</v>
      </c>
      <c r="AM30" s="28"/>
    </row>
    <row r="31" spans="1:40" x14ac:dyDescent="0.25">
      <c r="C31" s="1">
        <f t="shared" si="3"/>
        <v>111.76</v>
      </c>
      <c r="D31" s="359">
        <v>44</v>
      </c>
      <c r="E31" s="359">
        <v>14.9</v>
      </c>
      <c r="F31" s="360">
        <f t="shared" si="4"/>
        <v>573.94800000000009</v>
      </c>
      <c r="G31" s="360">
        <v>1</v>
      </c>
      <c r="H31" s="361">
        <f t="shared" si="5"/>
        <v>61.63070640127674</v>
      </c>
      <c r="R31" s="350" t="s">
        <v>634</v>
      </c>
      <c r="S31" s="358">
        <f t="shared" ref="S31:AL31" si="8">1/S30</f>
        <v>2.1773728761629654</v>
      </c>
      <c r="T31" s="358">
        <f t="shared" si="8"/>
        <v>2.1169958544852983</v>
      </c>
      <c r="U31" s="358">
        <f t="shared" si="8"/>
        <v>2.0500069257125753</v>
      </c>
      <c r="V31" s="358">
        <f t="shared" si="8"/>
        <v>1.9797113674715836</v>
      </c>
      <c r="W31" s="358">
        <f t="shared" si="8"/>
        <v>1.9104188518586465</v>
      </c>
      <c r="X31" s="358">
        <f t="shared" si="8"/>
        <v>1.8316690057249205</v>
      </c>
      <c r="Y31" s="358">
        <f t="shared" si="8"/>
        <v>1.7509843194933241</v>
      </c>
      <c r="Z31" s="358">
        <f t="shared" si="8"/>
        <v>1.6592559362832977</v>
      </c>
      <c r="AA31" s="358">
        <f t="shared" si="8"/>
        <v>1.563720669565311</v>
      </c>
      <c r="AB31" s="358">
        <f t="shared" si="8"/>
        <v>1.4622434820927204</v>
      </c>
      <c r="AC31" s="358">
        <f t="shared" si="8"/>
        <v>1.3463350619839516</v>
      </c>
      <c r="AD31" s="358">
        <f t="shared" si="8"/>
        <v>1.2179536529129813</v>
      </c>
      <c r="AE31" s="358">
        <f t="shared" si="8"/>
        <v>1.1322981388873203</v>
      </c>
      <c r="AF31" s="358">
        <f t="shared" si="8"/>
        <v>1.0635932833333333</v>
      </c>
      <c r="AG31" s="358">
        <f t="shared" si="8"/>
        <v>1</v>
      </c>
      <c r="AH31" s="358">
        <f t="shared" si="8"/>
        <v>0.93657908666196721</v>
      </c>
      <c r="AI31" s="358">
        <f t="shared" si="8"/>
        <v>0.87493660903670811</v>
      </c>
      <c r="AJ31" s="358">
        <f t="shared" si="8"/>
        <v>0.80817173693188604</v>
      </c>
      <c r="AK31" s="358">
        <f t="shared" si="8"/>
        <v>0.74503951599617557</v>
      </c>
      <c r="AL31" s="358">
        <f t="shared" si="8"/>
        <v>0.69421452941139439</v>
      </c>
      <c r="AM31" s="28"/>
    </row>
    <row r="32" spans="1:40" x14ac:dyDescent="0.25">
      <c r="C32" s="8"/>
      <c r="D32" s="445" t="s">
        <v>744</v>
      </c>
      <c r="E32" s="445"/>
      <c r="F32" s="363">
        <f>AVERAGE(F25:F31)</f>
        <v>286.69885714285715</v>
      </c>
      <c r="G32" s="363">
        <v>1</v>
      </c>
      <c r="H32" s="364">
        <f>G11/F32</f>
        <v>3.9016575467685315</v>
      </c>
      <c r="I32" s="365">
        <f>AVERAGE(H25:H31)</f>
        <v>188.96941614719825</v>
      </c>
      <c r="K32" t="s">
        <v>861</v>
      </c>
      <c r="R32" s="28"/>
      <c r="S32" s="28"/>
      <c r="T32" s="28"/>
      <c r="U32" s="28"/>
      <c r="V32" s="28"/>
      <c r="W32" s="28"/>
      <c r="X32" s="28"/>
      <c r="Y32" s="28"/>
      <c r="Z32" s="28"/>
      <c r="AA32" s="28"/>
      <c r="AB32" s="28"/>
      <c r="AC32" s="28"/>
      <c r="AD32" s="28"/>
      <c r="AE32" s="28"/>
      <c r="AF32" s="28"/>
      <c r="AG32" s="28"/>
      <c r="AH32" s="28"/>
      <c r="AI32" s="28"/>
      <c r="AJ32" s="28"/>
      <c r="AK32" s="28"/>
      <c r="AL32" s="28"/>
      <c r="AM32" s="28"/>
    </row>
    <row r="33" spans="1:39" x14ac:dyDescent="0.25">
      <c r="R33" s="362" t="s">
        <v>862</v>
      </c>
      <c r="S33" s="28"/>
      <c r="T33" s="28"/>
      <c r="U33" s="28"/>
      <c r="V33" s="28"/>
      <c r="W33" s="28"/>
      <c r="X33" s="28"/>
      <c r="Y33" s="28"/>
      <c r="Z33" s="28"/>
      <c r="AA33" s="28"/>
      <c r="AB33" s="28"/>
      <c r="AC33" s="28"/>
      <c r="AD33" s="28"/>
      <c r="AE33" s="28"/>
      <c r="AF33" s="28"/>
      <c r="AG33" s="28"/>
      <c r="AH33" s="28"/>
      <c r="AI33" s="28"/>
      <c r="AJ33" s="28"/>
      <c r="AK33" s="28"/>
      <c r="AL33" s="28"/>
      <c r="AM33" s="28"/>
    </row>
    <row r="34" spans="1:39" ht="24" x14ac:dyDescent="0.25">
      <c r="R34" s="343" t="s">
        <v>825</v>
      </c>
      <c r="S34" s="344">
        <v>1991</v>
      </c>
      <c r="T34" s="344">
        <v>1992</v>
      </c>
      <c r="U34" s="344">
        <v>1993</v>
      </c>
      <c r="V34" s="344">
        <v>1994</v>
      </c>
      <c r="W34" s="344">
        <v>1995</v>
      </c>
      <c r="X34" s="344">
        <v>1996</v>
      </c>
      <c r="Y34" s="344">
        <v>1997</v>
      </c>
      <c r="Z34" s="344">
        <v>1998</v>
      </c>
      <c r="AA34" s="344">
        <v>1999</v>
      </c>
      <c r="AB34" s="344">
        <v>2000</v>
      </c>
      <c r="AC34" s="344">
        <v>2001</v>
      </c>
      <c r="AD34" s="344">
        <v>2002</v>
      </c>
      <c r="AE34" s="344">
        <v>2003</v>
      </c>
      <c r="AF34" s="344">
        <v>2004</v>
      </c>
      <c r="AG34" s="344">
        <v>2005</v>
      </c>
      <c r="AH34" s="344">
        <v>2006</v>
      </c>
      <c r="AI34" s="344">
        <v>2007</v>
      </c>
      <c r="AJ34" s="344">
        <v>2008</v>
      </c>
      <c r="AK34" s="344">
        <v>2009</v>
      </c>
      <c r="AL34" s="344">
        <v>2010</v>
      </c>
      <c r="AM34" s="345"/>
    </row>
    <row r="35" spans="1:39" ht="24" x14ac:dyDescent="0.25">
      <c r="A35" t="s">
        <v>863</v>
      </c>
      <c r="R35" s="347" t="s">
        <v>231</v>
      </c>
      <c r="S35" s="348">
        <v>120.919166666666</v>
      </c>
      <c r="T35" s="348">
        <v>124.9175</v>
      </c>
      <c r="U35" s="348">
        <v>122.595</v>
      </c>
      <c r="V35" s="348">
        <v>117.354166666667</v>
      </c>
      <c r="W35" s="348">
        <v>114.07250000000001</v>
      </c>
      <c r="X35" s="348">
        <v>105.07</v>
      </c>
      <c r="Y35" s="348">
        <v>110.886666666667</v>
      </c>
      <c r="Z35" s="348">
        <v>101.948333333333</v>
      </c>
      <c r="AA35" s="348">
        <v>96.432500000000005</v>
      </c>
      <c r="AB35" s="348">
        <v>93.360833333333304</v>
      </c>
      <c r="AC35" s="348">
        <v>82.358333333333306</v>
      </c>
      <c r="AD35" s="348">
        <v>70.561666666666696</v>
      </c>
      <c r="AE35" s="348">
        <v>91.406666666666695</v>
      </c>
      <c r="AF35" s="348">
        <v>99.689166666666793</v>
      </c>
      <c r="AG35" s="348">
        <v>100</v>
      </c>
      <c r="AH35" s="348">
        <v>96.115833333333299</v>
      </c>
      <c r="AI35" s="348">
        <v>90.378333333333302</v>
      </c>
      <c r="AJ35" s="348">
        <v>80.405000000000001</v>
      </c>
      <c r="AK35" s="348">
        <v>87.792500000000004</v>
      </c>
      <c r="AL35" s="348"/>
      <c r="AM35" s="28"/>
    </row>
    <row r="36" spans="1:39" x14ac:dyDescent="0.25">
      <c r="A36" t="s">
        <v>864</v>
      </c>
      <c r="R36" s="28"/>
      <c r="S36" s="28"/>
      <c r="T36" s="28"/>
      <c r="U36" s="28"/>
      <c r="V36" s="28"/>
      <c r="W36" s="28"/>
      <c r="X36" s="28"/>
      <c r="Y36" s="28"/>
      <c r="Z36" s="28"/>
      <c r="AA36" s="28"/>
      <c r="AB36" s="28"/>
      <c r="AC36" s="28"/>
      <c r="AD36" s="28"/>
      <c r="AE36" s="28"/>
      <c r="AF36" s="28"/>
      <c r="AG36" s="28"/>
      <c r="AH36" s="28"/>
      <c r="AI36" s="28"/>
      <c r="AJ36" s="28"/>
      <c r="AK36" s="28"/>
      <c r="AL36" s="28"/>
      <c r="AM36" s="28"/>
    </row>
    <row r="37" spans="1:39" ht="29.25" customHeight="1" x14ac:dyDescent="0.25">
      <c r="B37" s="26" t="s">
        <v>865</v>
      </c>
      <c r="C37" s="26" t="s">
        <v>866</v>
      </c>
      <c r="D37" s="26" t="s">
        <v>240</v>
      </c>
      <c r="E37" s="26" t="s">
        <v>867</v>
      </c>
      <c r="F37" s="26" t="s">
        <v>868</v>
      </c>
      <c r="G37" s="81" t="s">
        <v>869</v>
      </c>
      <c r="H37" s="26" t="s">
        <v>870</v>
      </c>
      <c r="R37" s="28"/>
      <c r="S37" s="28"/>
      <c r="T37" s="28"/>
      <c r="U37" s="28"/>
      <c r="V37" s="28"/>
      <c r="W37" s="28"/>
      <c r="X37" s="28"/>
      <c r="Y37" s="28"/>
      <c r="Z37" s="28"/>
      <c r="AA37" s="28"/>
      <c r="AB37" s="28"/>
      <c r="AC37" s="28"/>
      <c r="AD37" s="28"/>
      <c r="AE37" s="28"/>
      <c r="AF37" s="28"/>
      <c r="AG37" s="28"/>
      <c r="AH37" s="28"/>
      <c r="AI37" s="28"/>
      <c r="AJ37" s="28"/>
      <c r="AK37" s="28"/>
      <c r="AL37" s="28"/>
      <c r="AM37" s="28"/>
    </row>
    <row r="38" spans="1:39" x14ac:dyDescent="0.25">
      <c r="B38" t="s">
        <v>871</v>
      </c>
      <c r="C38">
        <f>0.5*_xlfn.SINGLE(inchtocentimetre)</f>
        <v>1.27</v>
      </c>
      <c r="D38">
        <f>C38*$F$25/$C$25</f>
        <v>1.9260000000000004</v>
      </c>
      <c r="E38">
        <v>2000</v>
      </c>
      <c r="F38">
        <f>J23*FuelDistribution!E38/10^6</f>
        <v>7.7039999999999997E-2</v>
      </c>
      <c r="G38">
        <f>F38/D38</f>
        <v>3.9999999999999994E-2</v>
      </c>
      <c r="H38">
        <f>'[12]Piping costs'!E73*1000</f>
        <v>700000</v>
      </c>
      <c r="R38" s="28"/>
      <c r="S38" s="28"/>
      <c r="T38" s="28"/>
      <c r="U38" s="28"/>
      <c r="V38" s="28"/>
      <c r="W38" s="28"/>
      <c r="X38" s="28"/>
      <c r="Y38" s="28"/>
      <c r="Z38" s="28"/>
      <c r="AA38" s="28"/>
      <c r="AB38" s="28"/>
      <c r="AC38" s="28"/>
      <c r="AD38" s="28"/>
      <c r="AE38" s="28"/>
      <c r="AF38" s="28"/>
      <c r="AG38" s="28"/>
      <c r="AH38" s="28"/>
      <c r="AI38" s="28"/>
      <c r="AJ38" s="28"/>
      <c r="AK38" s="28"/>
      <c r="AL38" s="28"/>
      <c r="AM38" s="28"/>
    </row>
    <row r="39" spans="1:39" x14ac:dyDescent="0.25">
      <c r="B39" t="s">
        <v>871</v>
      </c>
      <c r="C39">
        <f>0.75*_xlfn.SINGLE(inchtocentimetre)</f>
        <v>1.905</v>
      </c>
      <c r="D39">
        <f>C39*$F$25/$C$25</f>
        <v>2.8890000000000002</v>
      </c>
      <c r="E39">
        <v>2000</v>
      </c>
      <c r="F39">
        <f>J24*FuelDistribution!E39/10^6</f>
        <v>0</v>
      </c>
      <c r="G39">
        <f>F39/D39</f>
        <v>0</v>
      </c>
      <c r="R39" s="179" t="s">
        <v>496</v>
      </c>
      <c r="S39" s="366">
        <v>2000</v>
      </c>
      <c r="T39" s="366">
        <v>2001</v>
      </c>
      <c r="U39" s="366">
        <v>2002</v>
      </c>
      <c r="V39" s="366">
        <v>2003</v>
      </c>
      <c r="W39" s="366">
        <v>2004</v>
      </c>
      <c r="X39" s="366">
        <v>2005</v>
      </c>
      <c r="Y39" s="366">
        <v>2006</v>
      </c>
      <c r="Z39" s="366">
        <v>2007</v>
      </c>
      <c r="AA39" s="366">
        <v>2008</v>
      </c>
      <c r="AB39" s="366">
        <v>2010</v>
      </c>
      <c r="AC39" s="366">
        <v>2011</v>
      </c>
      <c r="AD39" s="366">
        <v>2012</v>
      </c>
      <c r="AE39" s="366">
        <v>2013</v>
      </c>
      <c r="AF39" s="367" t="s">
        <v>872</v>
      </c>
      <c r="AG39" s="28"/>
      <c r="AH39" s="28"/>
      <c r="AI39" s="28"/>
      <c r="AJ39" s="28"/>
      <c r="AK39" s="28"/>
      <c r="AL39" s="28"/>
      <c r="AM39" s="28"/>
    </row>
    <row r="40" spans="1:39" x14ac:dyDescent="0.25">
      <c r="B40" t="s">
        <v>873</v>
      </c>
      <c r="C40">
        <v>4.4000000000000004</v>
      </c>
      <c r="D40">
        <f>C40*$F$25/$C$25</f>
        <v>6.6727559055118126</v>
      </c>
      <c r="E40">
        <v>2000</v>
      </c>
      <c r="F40">
        <f>J25*FuelDistribution!E40/10^6</f>
        <v>0</v>
      </c>
      <c r="G40">
        <f>F40/D40</f>
        <v>0</v>
      </c>
      <c r="R40" s="179" t="s">
        <v>874</v>
      </c>
      <c r="S40" s="179">
        <v>62.5</v>
      </c>
      <c r="T40" s="179">
        <v>66.099999999999994</v>
      </c>
      <c r="U40" s="179">
        <v>72.099999999999994</v>
      </c>
      <c r="V40" s="179">
        <v>76.3</v>
      </c>
      <c r="W40" s="179">
        <v>77.400000000000006</v>
      </c>
      <c r="X40" s="179">
        <v>80</v>
      </c>
      <c r="Y40" s="179">
        <v>83.7</v>
      </c>
      <c r="Z40" s="179">
        <v>89.7</v>
      </c>
      <c r="AA40" s="179">
        <v>100</v>
      </c>
      <c r="AB40" s="179">
        <v>111.7</v>
      </c>
      <c r="AC40" s="179">
        <v>118.1</v>
      </c>
      <c r="AD40" s="179">
        <v>100</v>
      </c>
      <c r="AE40" s="179">
        <v>100</v>
      </c>
      <c r="AF40" s="368">
        <v>2</v>
      </c>
      <c r="AG40" s="28" t="s">
        <v>875</v>
      </c>
      <c r="AH40" s="28"/>
      <c r="AI40" s="28"/>
      <c r="AJ40" s="28"/>
      <c r="AK40" s="28"/>
      <c r="AL40" s="28"/>
      <c r="AM40" s="28"/>
    </row>
    <row r="41" spans="1:39" x14ac:dyDescent="0.25">
      <c r="B41" t="s">
        <v>873</v>
      </c>
      <c r="C41">
        <v>15</v>
      </c>
      <c r="D41">
        <f>C41*$F$25/$C$25</f>
        <v>22.748031496062996</v>
      </c>
      <c r="E41">
        <v>2000</v>
      </c>
      <c r="F41">
        <f>J26*FuelDistribution!E41/10^6</f>
        <v>0</v>
      </c>
      <c r="G41">
        <f>F41/D41</f>
        <v>0</v>
      </c>
      <c r="H41" s="26" t="s">
        <v>876</v>
      </c>
      <c r="R41" s="28"/>
      <c r="S41" s="28"/>
      <c r="T41" s="28"/>
      <c r="U41" s="28"/>
      <c r="V41" s="28"/>
      <c r="W41" s="28"/>
      <c r="X41" s="28"/>
      <c r="Y41" s="28"/>
      <c r="Z41" s="28"/>
      <c r="AA41" s="28"/>
      <c r="AB41" s="28"/>
      <c r="AC41" s="28"/>
      <c r="AD41" s="28"/>
      <c r="AE41" s="28"/>
      <c r="AF41" s="28"/>
      <c r="AG41" s="28"/>
      <c r="AH41" s="28"/>
      <c r="AI41" s="28"/>
      <c r="AJ41" s="28"/>
      <c r="AK41" s="28"/>
      <c r="AL41" s="28"/>
      <c r="AM41" s="28"/>
    </row>
    <row r="42" spans="1:39" x14ac:dyDescent="0.25">
      <c r="B42" s="369" t="s">
        <v>744</v>
      </c>
      <c r="C42" s="369">
        <f>AVERAGE(C38:C41)</f>
        <v>5.6437499999999998</v>
      </c>
      <c r="D42" s="369">
        <f>AVERAGE(D38:D41)</f>
        <v>8.5589468503937027</v>
      </c>
      <c r="E42" s="369">
        <f>AVERAGE(E38:E41)</f>
        <v>2000</v>
      </c>
      <c r="F42" s="369">
        <f>AVERAGE(F38:F41)</f>
        <v>1.9259999999999999E-2</v>
      </c>
      <c r="G42" s="369">
        <f>AVERAGE(G38:G41)</f>
        <v>9.9999999999999985E-3</v>
      </c>
      <c r="H42" s="370">
        <f>H38*FuelDistribution!$AN$29*FuelDistribution!$AD$40/FuelDistribution!$S$40/10^6</f>
        <v>9.1790529811320773</v>
      </c>
      <c r="R42" s="28"/>
      <c r="S42" s="28"/>
      <c r="T42" s="28"/>
      <c r="U42" s="28"/>
      <c r="V42" s="28"/>
      <c r="W42" s="28"/>
      <c r="X42" s="28"/>
      <c r="Y42" s="28"/>
      <c r="Z42" s="28"/>
      <c r="AA42" s="28">
        <f>Y40/S40</f>
        <v>1.3391999999999999</v>
      </c>
      <c r="AB42" s="28"/>
      <c r="AC42" s="28"/>
      <c r="AD42" s="28"/>
      <c r="AE42" s="28"/>
      <c r="AF42" s="28"/>
      <c r="AG42" s="28"/>
      <c r="AH42" s="28"/>
      <c r="AI42" s="28"/>
      <c r="AJ42" s="28"/>
      <c r="AK42" s="28"/>
      <c r="AL42" s="28"/>
      <c r="AM42" s="28"/>
    </row>
    <row r="43" spans="1:39" x14ac:dyDescent="0.25">
      <c r="B43" t="s">
        <v>877</v>
      </c>
      <c r="R43" s="28"/>
      <c r="S43" s="28"/>
      <c r="T43" s="28"/>
      <c r="U43" s="28"/>
      <c r="V43" s="28"/>
      <c r="W43" s="28"/>
      <c r="X43" s="28"/>
      <c r="Y43" s="28"/>
      <c r="Z43" s="28"/>
      <c r="AA43" s="28"/>
      <c r="AB43" s="28"/>
      <c r="AC43" s="28"/>
      <c r="AD43" s="28"/>
      <c r="AE43" s="28"/>
      <c r="AF43" s="28"/>
      <c r="AG43" s="28"/>
      <c r="AH43" s="28"/>
      <c r="AI43" s="28"/>
      <c r="AJ43" s="28"/>
      <c r="AK43" s="28"/>
      <c r="AL43" s="28"/>
      <c r="AM43" s="28"/>
    </row>
    <row r="45" spans="1:39" x14ac:dyDescent="0.25">
      <c r="A45" t="s">
        <v>878</v>
      </c>
      <c r="B45" t="s">
        <v>879</v>
      </c>
    </row>
    <row r="47" spans="1:39" x14ac:dyDescent="0.25">
      <c r="C47" s="142" t="s">
        <v>880</v>
      </c>
    </row>
    <row r="48" spans="1:39" x14ac:dyDescent="0.25">
      <c r="A48" s="26" t="s">
        <v>4</v>
      </c>
      <c r="C48" s="142" t="s">
        <v>876</v>
      </c>
      <c r="D48" t="s">
        <v>881</v>
      </c>
    </row>
    <row r="49" spans="1:18" x14ac:dyDescent="0.25">
      <c r="A49" t="s">
        <v>882</v>
      </c>
      <c r="C49" s="142">
        <f>200</f>
        <v>200</v>
      </c>
    </row>
    <row r="50" spans="1:18" x14ac:dyDescent="0.25">
      <c r="C50" s="142"/>
    </row>
    <row r="51" spans="1:18" x14ac:dyDescent="0.25">
      <c r="I51" s="142" t="s">
        <v>209</v>
      </c>
      <c r="J51" s="142" t="s">
        <v>207</v>
      </c>
    </row>
    <row r="52" spans="1:18" x14ac:dyDescent="0.25">
      <c r="A52" s="303">
        <f>[13]LossesCalib!V6</f>
        <v>0</v>
      </c>
      <c r="B52" s="107"/>
      <c r="C52" s="107"/>
      <c r="D52" s="107" t="s">
        <v>883</v>
      </c>
      <c r="E52" s="107"/>
      <c r="F52" s="15"/>
      <c r="H52" t="s">
        <v>884</v>
      </c>
      <c r="I52" t="s">
        <v>885</v>
      </c>
      <c r="J52" t="s">
        <v>885</v>
      </c>
      <c r="K52" t="s">
        <v>886</v>
      </c>
      <c r="L52" t="s">
        <v>887</v>
      </c>
    </row>
    <row r="53" spans="1:18" x14ac:dyDescent="0.25">
      <c r="A53" s="82" t="str">
        <f>[13]LossesCalib!X7</f>
        <v xml:space="preserve">Industry </v>
      </c>
      <c r="B53" s="82" t="str">
        <f>[13]LossesCalib!Y7</f>
        <v>INDODS</v>
      </c>
      <c r="C53" s="82" t="str">
        <f>[13]LossesCalib!Z7</f>
        <v>IND</v>
      </c>
      <c r="D53" s="82">
        <f>[13]LossesCalib!AA7</f>
        <v>36.014976280799999</v>
      </c>
      <c r="F53" s="11"/>
      <c r="H53" t="s">
        <v>888</v>
      </c>
      <c r="I53" s="82">
        <v>11.7</v>
      </c>
      <c r="J53" s="82">
        <v>11.7</v>
      </c>
    </row>
    <row r="54" spans="1:18" x14ac:dyDescent="0.25">
      <c r="A54" s="82" t="str">
        <f>[13]LossesCalib!X8</f>
        <v xml:space="preserve">Industry </v>
      </c>
      <c r="B54" s="82" t="str">
        <f>[13]LossesCalib!Y8</f>
        <v>INDGAS</v>
      </c>
      <c r="C54" s="82"/>
      <c r="D54" s="82">
        <f>[13]LossesCalib!AA8</f>
        <v>104.82035999999999</v>
      </c>
      <c r="F54" s="11"/>
      <c r="H54" t="s">
        <v>889</v>
      </c>
      <c r="I54" s="82">
        <v>17.100000000000001</v>
      </c>
      <c r="J54" s="82">
        <v>17.100000000000001</v>
      </c>
    </row>
    <row r="55" spans="1:18" x14ac:dyDescent="0.25">
      <c r="A55" s="82" t="str">
        <f>[13]LossesCalib!X9</f>
        <v xml:space="preserve">Agriculture </v>
      </c>
      <c r="B55" s="82" t="str">
        <f>[13]LossesCalib!Y9</f>
        <v>AGRODS</v>
      </c>
      <c r="C55" s="82"/>
      <c r="D55" s="82">
        <f>[13]LossesCalib!AA9</f>
        <v>38.226119077199996</v>
      </c>
      <c r="F55" s="11"/>
      <c r="H55" t="s">
        <v>890</v>
      </c>
      <c r="I55" s="82">
        <f>(SUM(I53,I54)/I62)</f>
        <v>0.65454545454545454</v>
      </c>
      <c r="J55" s="82">
        <f>(SUM(J53,J54)/J62)</f>
        <v>0.67764705882352938</v>
      </c>
    </row>
    <row r="56" spans="1:18" x14ac:dyDescent="0.25">
      <c r="A56" s="82" t="str">
        <f>[13]LossesCalib!X10</f>
        <v xml:space="preserve">Agriculture </v>
      </c>
      <c r="B56" s="82" t="str">
        <f>[13]LossesCalib!Y10</f>
        <v>AGROGS</v>
      </c>
      <c r="C56" s="82"/>
      <c r="D56" s="82">
        <f>[13]LossesCalib!AA10</f>
        <v>4.9641961086000004</v>
      </c>
      <c r="F56" s="11"/>
      <c r="H56" t="s">
        <v>254</v>
      </c>
      <c r="I56" s="82">
        <f>I55*100/1000</f>
        <v>6.545454545454546E-2</v>
      </c>
      <c r="J56" s="82">
        <f>J55*100/1000</f>
        <v>6.7764705882352935E-2</v>
      </c>
    </row>
    <row r="57" spans="1:18" x14ac:dyDescent="0.25">
      <c r="A57" s="82" t="str">
        <f>[13]LossesCalib!X11</f>
        <v>Transport</v>
      </c>
      <c r="B57" s="82" t="str">
        <f>[13]LossesCalib!Y11</f>
        <v>TRAODS</v>
      </c>
      <c r="C57" s="82"/>
      <c r="D57" s="82">
        <f>[13]LossesCalib!AA11</f>
        <v>250.61541389748552</v>
      </c>
      <c r="F57" s="11"/>
      <c r="H57" s="5" t="s">
        <v>891</v>
      </c>
      <c r="I57" s="371">
        <f>I56*D61</f>
        <v>25.463596835812123</v>
      </c>
      <c r="J57" s="371">
        <f>J56*D62</f>
        <v>25.827936915797132</v>
      </c>
    </row>
    <row r="58" spans="1:18" x14ac:dyDescent="0.25">
      <c r="A58" s="82" t="str">
        <f>[13]LossesCalib!X12</f>
        <v>Transport</v>
      </c>
      <c r="B58" s="82" t="str">
        <f>[13]LossesCalib!Y12</f>
        <v>TRAOGS</v>
      </c>
      <c r="C58" s="82"/>
      <c r="D58" s="82">
        <f>[13]LossesCalib!AA12</f>
        <v>384.06297777186296</v>
      </c>
      <c r="F58" s="11"/>
      <c r="J58" s="372"/>
      <c r="K58" s="372"/>
      <c r="L58" s="26"/>
    </row>
    <row r="59" spans="1:18" x14ac:dyDescent="0.25">
      <c r="A59" s="82" t="str">
        <f>[13]LossesCalib!X13</f>
        <v>Power</v>
      </c>
      <c r="B59" s="82" t="str">
        <f>[13]LossesCalib!Y13</f>
        <v>PWRODS</v>
      </c>
      <c r="C59" s="82"/>
      <c r="D59" s="82">
        <f>[13]LossesCalib!AA13</f>
        <v>21.6357</v>
      </c>
      <c r="F59" s="11"/>
      <c r="J59" s="372"/>
      <c r="K59" s="372"/>
      <c r="L59" s="26"/>
      <c r="P59" t="s">
        <v>892</v>
      </c>
    </row>
    <row r="60" spans="1:18" x14ac:dyDescent="0.25">
      <c r="A60" s="73"/>
      <c r="D60" s="82" t="str">
        <f>[13]LossesCalib!AA14</f>
        <v>SATIM</v>
      </c>
      <c r="F60" s="11"/>
      <c r="J60" s="372"/>
      <c r="K60" s="372"/>
      <c r="L60" s="26"/>
    </row>
    <row r="61" spans="1:18" x14ac:dyDescent="0.25">
      <c r="A61" s="82" t="str">
        <f>[13]LossesCalib!X15</f>
        <v>OGS</v>
      </c>
      <c r="B61" s="82">
        <f>[13]LossesCalib!Y15</f>
        <v>0</v>
      </c>
      <c r="C61" s="82">
        <f>[13]LossesCalib!Z15</f>
        <v>0</v>
      </c>
      <c r="D61" s="82">
        <f>[13]LossesCalib!AA15</f>
        <v>389.02717388046295</v>
      </c>
      <c r="E61" t="s">
        <v>893</v>
      </c>
      <c r="F61" s="11" t="s">
        <v>894</v>
      </c>
      <c r="H61" s="8"/>
      <c r="I61" s="8" t="s">
        <v>895</v>
      </c>
      <c r="J61" s="373" t="s">
        <v>896</v>
      </c>
      <c r="K61" s="372"/>
      <c r="L61" s="26"/>
      <c r="P61" t="s">
        <v>897</v>
      </c>
      <c r="Q61">
        <v>30</v>
      </c>
      <c r="R61" t="s">
        <v>898</v>
      </c>
    </row>
    <row r="62" spans="1:18" x14ac:dyDescent="0.25">
      <c r="A62" s="82" t="str">
        <f>[13]LossesCalib!X16</f>
        <v>ODS</v>
      </c>
      <c r="B62" s="82">
        <f>[13]LossesCalib!Y16</f>
        <v>0</v>
      </c>
      <c r="C62" s="82">
        <f>[13]LossesCalib!Z16</f>
        <v>0</v>
      </c>
      <c r="D62" s="82">
        <f>[13]LossesCalib!AA16</f>
        <v>381.14143018103408</v>
      </c>
      <c r="F62" s="11"/>
      <c r="H62" s="8" t="s">
        <v>707</v>
      </c>
      <c r="I62" s="8">
        <v>44</v>
      </c>
      <c r="J62" s="373">
        <v>42.5</v>
      </c>
      <c r="K62" s="372"/>
      <c r="L62" s="26">
        <f>I53*D65/(I62*10^9)</f>
        <v>0</v>
      </c>
      <c r="P62" t="s">
        <v>899</v>
      </c>
      <c r="Q62">
        <v>850</v>
      </c>
      <c r="R62" t="s">
        <v>900</v>
      </c>
    </row>
    <row r="63" spans="1:18" x14ac:dyDescent="0.25">
      <c r="A63" s="82">
        <f>[13]LossesCalib!X17</f>
        <v>0</v>
      </c>
      <c r="B63" s="82">
        <f>[13]LossesCalib!Y17</f>
        <v>0</v>
      </c>
      <c r="C63" s="82">
        <f>[13]LossesCalib!Z17</f>
        <v>0</v>
      </c>
      <c r="D63" s="82">
        <f>[13]LossesCalib!AA17</f>
        <v>0</v>
      </c>
      <c r="F63" s="11"/>
      <c r="H63" s="8" t="s">
        <v>901</v>
      </c>
      <c r="I63" s="8">
        <v>0.745</v>
      </c>
      <c r="J63" s="373">
        <v>0.85</v>
      </c>
      <c r="K63" s="372"/>
      <c r="L63" s="26"/>
    </row>
    <row r="64" spans="1:18" x14ac:dyDescent="0.25">
      <c r="A64" s="210"/>
      <c r="B64" s="13"/>
      <c r="C64" s="13"/>
      <c r="D64" s="13"/>
      <c r="E64" s="13"/>
      <c r="F64" s="14"/>
      <c r="J64" s="372"/>
      <c r="K64" s="372"/>
      <c r="L64" s="26"/>
      <c r="P64" t="s">
        <v>902</v>
      </c>
      <c r="Q64">
        <f>Q62/Q61</f>
        <v>28.333333333333332</v>
      </c>
      <c r="R64" t="s">
        <v>903</v>
      </c>
    </row>
    <row r="65" spans="1:26" x14ac:dyDescent="0.25">
      <c r="J65" s="372"/>
      <c r="K65" s="372"/>
      <c r="L65" s="26"/>
      <c r="Q65">
        <f>0.25%*Q64</f>
        <v>7.0833333333333331E-2</v>
      </c>
    </row>
    <row r="66" spans="1:26" x14ac:dyDescent="0.25">
      <c r="J66" s="372"/>
      <c r="K66" s="372"/>
      <c r="L66" s="26"/>
    </row>
    <row r="69" spans="1:26" x14ac:dyDescent="0.25">
      <c r="E69" t="s">
        <v>904</v>
      </c>
      <c r="F69" t="s">
        <v>905</v>
      </c>
      <c r="G69" t="s">
        <v>906</v>
      </c>
      <c r="P69" t="s">
        <v>907</v>
      </c>
      <c r="Z69" t="s">
        <v>908</v>
      </c>
    </row>
    <row r="70" spans="1:26" x14ac:dyDescent="0.25">
      <c r="A70" s="26" t="s">
        <v>909</v>
      </c>
      <c r="E70" t="s">
        <v>910</v>
      </c>
      <c r="F70" t="s">
        <v>911</v>
      </c>
      <c r="G70" t="str">
        <f>E70</f>
        <v>USA$ million</v>
      </c>
      <c r="Y70">
        <v>2000</v>
      </c>
      <c r="Z70">
        <v>93.1</v>
      </c>
    </row>
    <row r="71" spans="1:26" x14ac:dyDescent="0.25">
      <c r="C71" t="s">
        <v>912</v>
      </c>
      <c r="E71">
        <v>380</v>
      </c>
      <c r="F71">
        <v>116</v>
      </c>
      <c r="G71">
        <v>122</v>
      </c>
      <c r="P71" s="254" t="s">
        <v>913</v>
      </c>
      <c r="Y71">
        <v>2010</v>
      </c>
      <c r="Z71">
        <v>114.5</v>
      </c>
    </row>
    <row r="72" spans="1:26" x14ac:dyDescent="0.25">
      <c r="C72" t="s">
        <v>266</v>
      </c>
      <c r="E72">
        <v>135</v>
      </c>
      <c r="F72">
        <v>116</v>
      </c>
      <c r="G72">
        <v>122</v>
      </c>
      <c r="P72" s="8" t="s">
        <v>914</v>
      </c>
      <c r="Q72" s="8"/>
      <c r="R72" s="8"/>
      <c r="S72" s="1">
        <v>7.98</v>
      </c>
      <c r="T72" s="1">
        <v>2.77</v>
      </c>
    </row>
    <row r="73" spans="1:26" x14ac:dyDescent="0.25">
      <c r="P73" s="8" t="s">
        <v>915</v>
      </c>
      <c r="Q73" s="8"/>
      <c r="R73" s="8"/>
      <c r="S73" s="446">
        <v>1.59</v>
      </c>
      <c r="T73" s="374">
        <v>19.5</v>
      </c>
      <c r="Y73" t="s">
        <v>916</v>
      </c>
      <c r="Z73">
        <f>Z71/Z70</f>
        <v>1.2298603651987112</v>
      </c>
    </row>
    <row r="74" spans="1:26" x14ac:dyDescent="0.25">
      <c r="C74" s="26" t="s">
        <v>917</v>
      </c>
      <c r="E74" s="26" t="s">
        <v>918</v>
      </c>
      <c r="F74" s="26" t="s">
        <v>919</v>
      </c>
      <c r="G74" s="26" t="s">
        <v>920</v>
      </c>
      <c r="H74" s="26" t="s">
        <v>865</v>
      </c>
      <c r="I74" s="26" t="s">
        <v>921</v>
      </c>
      <c r="P74" s="8" t="s">
        <v>922</v>
      </c>
      <c r="Q74" s="8"/>
      <c r="R74" s="8"/>
      <c r="S74" s="447"/>
      <c r="T74" s="1">
        <v>11.1</v>
      </c>
    </row>
    <row r="75" spans="1:26" x14ac:dyDescent="0.25">
      <c r="A75" s="375" t="s">
        <v>923</v>
      </c>
      <c r="B75" s="375"/>
      <c r="C75" s="375" t="s">
        <v>924</v>
      </c>
      <c r="D75" s="375" t="s">
        <v>925</v>
      </c>
      <c r="E75" s="375" t="s">
        <v>911</v>
      </c>
      <c r="F75" s="375" t="s">
        <v>926</v>
      </c>
      <c r="G75" s="375" t="s">
        <v>855</v>
      </c>
      <c r="H75" s="375" t="s">
        <v>240</v>
      </c>
      <c r="I75" s="375" t="s">
        <v>859</v>
      </c>
      <c r="J75" s="375" t="s">
        <v>927</v>
      </c>
      <c r="P75" t="s">
        <v>928</v>
      </c>
      <c r="Y75">
        <v>11.3</v>
      </c>
      <c r="Z75" t="s">
        <v>929</v>
      </c>
    </row>
    <row r="76" spans="1:26" x14ac:dyDescent="0.25">
      <c r="A76" s="8" t="s">
        <v>8</v>
      </c>
      <c r="B76" s="8" t="s">
        <v>930</v>
      </c>
      <c r="C76" s="8" t="s">
        <v>931</v>
      </c>
      <c r="D76" s="8" t="s">
        <v>932</v>
      </c>
      <c r="E76" s="8">
        <f>8+61</f>
        <v>69</v>
      </c>
      <c r="F76" s="8">
        <v>62</v>
      </c>
      <c r="G76" s="360">
        <f>D25</f>
        <v>20</v>
      </c>
      <c r="H76" s="360">
        <f>F25</f>
        <v>77.040000000000006</v>
      </c>
      <c r="I76" s="8">
        <f>(F76*$AN$29/H76)*(AE40/Y40)</f>
        <v>7.8800652079419287</v>
      </c>
      <c r="J76" s="8">
        <v>2018</v>
      </c>
    </row>
    <row r="77" spans="1:26" x14ac:dyDescent="0.25">
      <c r="A77" s="8" t="s">
        <v>8</v>
      </c>
      <c r="B77" s="8" t="s">
        <v>933</v>
      </c>
      <c r="C77" s="8" t="s">
        <v>931</v>
      </c>
      <c r="D77" s="8" t="s">
        <v>934</v>
      </c>
      <c r="E77" s="8">
        <v>62</v>
      </c>
      <c r="F77" s="8">
        <v>71</v>
      </c>
      <c r="G77" s="360">
        <f>G76</f>
        <v>20</v>
      </c>
      <c r="H77" s="360">
        <f>H76</f>
        <v>77.040000000000006</v>
      </c>
      <c r="I77" s="8">
        <f>(F77*FuelDistribution!$AN$29/H77)*(AE40/Y40)</f>
        <v>9.0239456413528547</v>
      </c>
      <c r="J77" s="8">
        <v>2018</v>
      </c>
      <c r="P77" s="254" t="s">
        <v>913</v>
      </c>
    </row>
    <row r="78" spans="1:26" x14ac:dyDescent="0.25">
      <c r="A78" s="8" t="s">
        <v>935</v>
      </c>
      <c r="B78" s="8"/>
      <c r="C78" s="8" t="s">
        <v>931</v>
      </c>
      <c r="D78" s="8" t="s">
        <v>936</v>
      </c>
      <c r="E78" s="8"/>
      <c r="F78" s="8"/>
      <c r="G78" s="8"/>
      <c r="H78" s="8"/>
      <c r="I78" s="8"/>
      <c r="J78" s="8"/>
      <c r="P78" s="8" t="s">
        <v>914</v>
      </c>
      <c r="Q78" s="8"/>
      <c r="R78" s="8"/>
      <c r="S78" s="374">
        <f>S72*$Z$73</f>
        <v>9.8142857142857167</v>
      </c>
      <c r="T78" s="374">
        <f>T72*$Z$73</f>
        <v>3.4067132116004299</v>
      </c>
    </row>
    <row r="79" spans="1:26" x14ac:dyDescent="0.25">
      <c r="A79" s="8" t="s">
        <v>935</v>
      </c>
      <c r="B79" s="8"/>
      <c r="C79" s="8" t="s">
        <v>931</v>
      </c>
      <c r="D79" s="8" t="s">
        <v>937</v>
      </c>
      <c r="E79" s="8"/>
      <c r="F79" s="8"/>
      <c r="G79" s="8"/>
      <c r="H79" s="8"/>
      <c r="I79" s="8"/>
      <c r="J79" s="8"/>
      <c r="P79" s="8" t="s">
        <v>915</v>
      </c>
      <c r="Q79" s="8"/>
      <c r="R79" s="8"/>
      <c r="S79" s="448">
        <f>S73*Z73</f>
        <v>1.955477980665951</v>
      </c>
      <c r="T79" s="374">
        <f>T73*$Z$73</f>
        <v>23.982277121374867</v>
      </c>
    </row>
    <row r="80" spans="1:26" x14ac:dyDescent="0.25">
      <c r="A80" s="8" t="s">
        <v>935</v>
      </c>
      <c r="B80" s="8"/>
      <c r="C80" s="8" t="s">
        <v>938</v>
      </c>
      <c r="D80" s="8"/>
      <c r="E80" s="8">
        <v>105</v>
      </c>
      <c r="F80" s="8">
        <v>75</v>
      </c>
      <c r="G80" s="361">
        <f>C42</f>
        <v>5.6437499999999998</v>
      </c>
      <c r="H80" s="361">
        <f>D42</f>
        <v>8.5589468503937027</v>
      </c>
      <c r="I80" s="361">
        <f>F80*FuelDistribution!$AN$29/H80+$H$42</f>
        <v>80.994982809790869</v>
      </c>
      <c r="J80" s="8">
        <v>2020</v>
      </c>
      <c r="P80" s="8" t="s">
        <v>922</v>
      </c>
      <c r="Q80" s="8"/>
      <c r="R80" s="8"/>
      <c r="S80" s="449"/>
      <c r="T80" s="374">
        <f>T74*$Z$73</f>
        <v>13.651450053705695</v>
      </c>
    </row>
    <row r="81" spans="1:21" x14ac:dyDescent="0.25">
      <c r="A81" s="8" t="s">
        <v>935</v>
      </c>
      <c r="B81" s="8"/>
      <c r="C81" s="8" t="s">
        <v>939</v>
      </c>
      <c r="D81" s="8"/>
      <c r="E81" s="8">
        <v>8</v>
      </c>
      <c r="F81" s="8">
        <v>5.5</v>
      </c>
      <c r="G81" s="361">
        <f>G80</f>
        <v>5.6437499999999998</v>
      </c>
      <c r="H81" s="361">
        <f>H80</f>
        <v>8.5589468503937027</v>
      </c>
      <c r="I81" s="361">
        <f>F81*FuelDistribution!$AN$29/H81+$H$42</f>
        <v>14.445554501900389</v>
      </c>
      <c r="J81" s="8">
        <v>2020</v>
      </c>
      <c r="P81" t="s">
        <v>940</v>
      </c>
    </row>
    <row r="82" spans="1:21" x14ac:dyDescent="0.25">
      <c r="A82" s="8"/>
      <c r="B82" s="8"/>
      <c r="C82" s="8" t="s">
        <v>941</v>
      </c>
      <c r="D82" s="8"/>
      <c r="E82" s="8">
        <v>13</v>
      </c>
      <c r="F82" s="8">
        <f>8.5</f>
        <v>8.5</v>
      </c>
      <c r="G82" s="361">
        <f>G81</f>
        <v>5.6437499999999998</v>
      </c>
      <c r="H82" s="361">
        <f>H81</f>
        <v>8.5589468503937027</v>
      </c>
      <c r="I82" s="361">
        <f>F82*FuelDistribution!$AN$29/H82+$H$42</f>
        <v>17.318191695046742</v>
      </c>
      <c r="J82" s="8">
        <v>2020</v>
      </c>
    </row>
    <row r="83" spans="1:21" x14ac:dyDescent="0.25">
      <c r="P83" s="254" t="s">
        <v>913</v>
      </c>
      <c r="U83" t="s">
        <v>942</v>
      </c>
    </row>
    <row r="84" spans="1:21" x14ac:dyDescent="0.25">
      <c r="D84" t="s">
        <v>943</v>
      </c>
      <c r="E84" t="s">
        <v>944</v>
      </c>
      <c r="F84" t="s">
        <v>945</v>
      </c>
      <c r="G84" t="s">
        <v>131</v>
      </c>
      <c r="H84" s="237" t="s">
        <v>946</v>
      </c>
      <c r="P84" s="8" t="s">
        <v>914</v>
      </c>
      <c r="Q84" s="8"/>
      <c r="R84" s="8"/>
      <c r="S84" s="374">
        <f>S78*$Y$75</f>
        <v>110.90142857142861</v>
      </c>
      <c r="T84" s="374">
        <f>T78*$Y$75</f>
        <v>38.495859291084862</v>
      </c>
    </row>
    <row r="85" spans="1:21" x14ac:dyDescent="0.25">
      <c r="D85" t="s">
        <v>859</v>
      </c>
      <c r="H85" s="237" t="s">
        <v>859</v>
      </c>
      <c r="P85" s="8" t="s">
        <v>915</v>
      </c>
      <c r="Q85" s="8"/>
      <c r="R85" s="8"/>
      <c r="S85" s="448">
        <f>S79*Y75</f>
        <v>22.096901181525247</v>
      </c>
      <c r="T85" s="374">
        <f>T79*$Y$75</f>
        <v>270.99973147153599</v>
      </c>
    </row>
    <row r="86" spans="1:21" x14ac:dyDescent="0.25">
      <c r="C86" t="s">
        <v>947</v>
      </c>
      <c r="D86" s="342">
        <f>AVERAGE(I80:I82)</f>
        <v>37.586243002246</v>
      </c>
      <c r="F86" s="342">
        <f>D86*10%</f>
        <v>3.7586243002246</v>
      </c>
      <c r="G86">
        <v>60</v>
      </c>
      <c r="H86" s="82">
        <f>$T$89</f>
        <v>425.26111707841039</v>
      </c>
      <c r="P86" s="8" t="s">
        <v>922</v>
      </c>
      <c r="Q86" s="8"/>
      <c r="R86" s="8"/>
      <c r="S86" s="449"/>
      <c r="T86" s="374">
        <f>T80*$Y$75</f>
        <v>154.26138560687437</v>
      </c>
    </row>
    <row r="87" spans="1:21" x14ac:dyDescent="0.25">
      <c r="C87" t="s">
        <v>948</v>
      </c>
      <c r="D87" s="342">
        <f>D86</f>
        <v>37.586243002246</v>
      </c>
      <c r="F87" s="342">
        <f>D87*10%</f>
        <v>3.7586243002246</v>
      </c>
      <c r="G87">
        <v>60</v>
      </c>
      <c r="H87" s="82">
        <f>H86*0.95</f>
        <v>403.99806122448985</v>
      </c>
      <c r="P87" t="s">
        <v>949</v>
      </c>
    </row>
    <row r="88" spans="1:21" x14ac:dyDescent="0.25">
      <c r="C88" t="s">
        <v>950</v>
      </c>
      <c r="D88" s="342">
        <f>D87</f>
        <v>37.586243002246</v>
      </c>
      <c r="F88" s="342">
        <f>D88*10%</f>
        <v>3.7586243002246</v>
      </c>
      <c r="G88">
        <v>60</v>
      </c>
      <c r="H88" s="82">
        <f>H86</f>
        <v>425.26111707841039</v>
      </c>
    </row>
    <row r="89" spans="1:21" x14ac:dyDescent="0.25">
      <c r="C89" t="s">
        <v>951</v>
      </c>
      <c r="D89" s="342">
        <f>D88</f>
        <v>37.586243002246</v>
      </c>
      <c r="F89" s="342">
        <f>D89*10%</f>
        <v>3.7586243002246</v>
      </c>
      <c r="G89">
        <v>60</v>
      </c>
      <c r="H89" s="82">
        <f>H87</f>
        <v>403.99806122448985</v>
      </c>
      <c r="P89" s="254"/>
      <c r="S89" s="257" t="s">
        <v>952</v>
      </c>
      <c r="T89" s="82">
        <f>T86+T85</f>
        <v>425.26111707841039</v>
      </c>
      <c r="U89" t="s">
        <v>903</v>
      </c>
    </row>
    <row r="90" spans="1:21" x14ac:dyDescent="0.25">
      <c r="S90" s="257" t="s">
        <v>953</v>
      </c>
      <c r="T90">
        <v>0.7</v>
      </c>
    </row>
    <row r="91" spans="1:21" x14ac:dyDescent="0.25">
      <c r="C91" t="s">
        <v>954</v>
      </c>
      <c r="D91" s="82">
        <f>I57</f>
        <v>25.463596835812123</v>
      </c>
      <c r="G91">
        <v>60</v>
      </c>
      <c r="T91">
        <f>T90*T89</f>
        <v>297.68278195488728</v>
      </c>
      <c r="U91" t="s">
        <v>903</v>
      </c>
    </row>
    <row r="92" spans="1:21" x14ac:dyDescent="0.25">
      <c r="C92" t="s">
        <v>955</v>
      </c>
      <c r="D92" s="82">
        <f>J57</f>
        <v>25.827936915797132</v>
      </c>
      <c r="G92">
        <v>60</v>
      </c>
    </row>
    <row r="94" spans="1:21" x14ac:dyDescent="0.25">
      <c r="A94" s="26" t="s">
        <v>956</v>
      </c>
    </row>
    <row r="95" spans="1:21" x14ac:dyDescent="0.25">
      <c r="B95" t="s">
        <v>5</v>
      </c>
      <c r="C95" t="s">
        <v>6</v>
      </c>
      <c r="D95" t="s">
        <v>7</v>
      </c>
      <c r="E95" t="s">
        <v>8</v>
      </c>
      <c r="F95" t="s">
        <v>9</v>
      </c>
      <c r="G95" t="s">
        <v>10</v>
      </c>
      <c r="H95" t="s">
        <v>11</v>
      </c>
    </row>
    <row r="96" spans="1:21" x14ac:dyDescent="0.25">
      <c r="A96" t="s">
        <v>171</v>
      </c>
      <c r="B96">
        <v>0</v>
      </c>
      <c r="C96" s="342">
        <f>H88</f>
        <v>425.26111707841039</v>
      </c>
      <c r="D96" s="342">
        <f>H87-D87*5%</f>
        <v>402.11874907437755</v>
      </c>
      <c r="E96" s="342">
        <f>H86</f>
        <v>425.26111707841039</v>
      </c>
      <c r="F96" s="342">
        <f>H89</f>
        <v>403.99806122448985</v>
      </c>
      <c r="G96" s="82">
        <f>C96/20</f>
        <v>21.26305585392052</v>
      </c>
      <c r="H96" s="82">
        <f>G96</f>
        <v>21.26305585392052</v>
      </c>
    </row>
    <row r="97" spans="1:15" x14ac:dyDescent="0.25">
      <c r="A97" t="s">
        <v>209</v>
      </c>
      <c r="E97" s="82">
        <f>I57</f>
        <v>25.463596835812123</v>
      </c>
    </row>
    <row r="98" spans="1:15" x14ac:dyDescent="0.25">
      <c r="A98" t="s">
        <v>207</v>
      </c>
      <c r="E98" s="82">
        <f>J57</f>
        <v>25.827936915797132</v>
      </c>
      <c r="O98">
        <f>_xlfn.SINGLE(zar.2010)</f>
        <v>1.3094103081137336</v>
      </c>
    </row>
    <row r="101" spans="1:15" x14ac:dyDescent="0.25">
      <c r="A101" t="s">
        <v>957</v>
      </c>
      <c r="C101" s="57">
        <f>-PMT($B$102,$B$103,C96,0,1)</f>
        <v>31.815024026733443</v>
      </c>
      <c r="D101" s="57">
        <f>-PMT($B$102,$B$103,D96,0,1)</f>
        <v>30.083676004271148</v>
      </c>
      <c r="E101" s="57">
        <f>-PMT($B$102,$B$103,E96,0,1)</f>
        <v>31.815024026733443</v>
      </c>
      <c r="F101" s="57">
        <f>-PMT($B$102,$B$103,F96,0,1)</f>
        <v>30.224272825396771</v>
      </c>
      <c r="G101" s="57">
        <f>-PMT($B$102,$B$103,G96,0,1)</f>
        <v>1.590751201336672</v>
      </c>
    </row>
    <row r="102" spans="1:15" x14ac:dyDescent="0.25">
      <c r="A102" t="s">
        <v>958</v>
      </c>
      <c r="B102" s="254">
        <v>0.08</v>
      </c>
    </row>
    <row r="103" spans="1:15" x14ac:dyDescent="0.25">
      <c r="A103" t="s">
        <v>131</v>
      </c>
      <c r="B103">
        <v>60</v>
      </c>
    </row>
    <row r="106" spans="1:15" x14ac:dyDescent="0.25">
      <c r="A106" t="s">
        <v>959</v>
      </c>
      <c r="B106" t="s">
        <v>960</v>
      </c>
      <c r="C106" t="s">
        <v>959</v>
      </c>
      <c r="D106" t="s">
        <v>960</v>
      </c>
    </row>
    <row r="107" spans="1:15" x14ac:dyDescent="0.25">
      <c r="A107" s="255" t="s">
        <v>961</v>
      </c>
      <c r="B107" s="376" t="s">
        <v>961</v>
      </c>
      <c r="C107" s="255" t="s">
        <v>962</v>
      </c>
      <c r="D107" s="376" t="s">
        <v>851</v>
      </c>
    </row>
    <row r="108" spans="1:15" x14ac:dyDescent="0.25">
      <c r="A108" s="26" t="s">
        <v>856</v>
      </c>
      <c r="B108" s="377" t="s">
        <v>855</v>
      </c>
      <c r="C108" s="26" t="s">
        <v>963</v>
      </c>
      <c r="D108" s="377" t="s">
        <v>964</v>
      </c>
    </row>
    <row r="109" spans="1:15" x14ac:dyDescent="0.25">
      <c r="B109" s="377"/>
      <c r="D109" s="377"/>
    </row>
    <row r="110" spans="1:15" x14ac:dyDescent="0.25">
      <c r="A110">
        <v>20</v>
      </c>
      <c r="B110" s="377">
        <f t="shared" ref="B110:B116" si="9">A110*_xlfn.SINGLE(inchtocentimetre)</f>
        <v>50.8</v>
      </c>
      <c r="C110">
        <v>2</v>
      </c>
      <c r="D110" s="377">
        <f>C110*J23</f>
        <v>77.040000000000006</v>
      </c>
    </row>
    <row r="111" spans="1:15" x14ac:dyDescent="0.25">
      <c r="A111">
        <v>24</v>
      </c>
      <c r="B111" s="377">
        <f t="shared" si="9"/>
        <v>60.96</v>
      </c>
      <c r="C111">
        <v>3.2</v>
      </c>
      <c r="D111" s="377">
        <f t="shared" ref="D111:D116" si="10">C111*K140</f>
        <v>0</v>
      </c>
    </row>
    <row r="112" spans="1:15" x14ac:dyDescent="0.25">
      <c r="A112">
        <v>28</v>
      </c>
      <c r="B112" s="377">
        <f t="shared" si="9"/>
        <v>71.12</v>
      </c>
      <c r="C112">
        <v>4.7</v>
      </c>
      <c r="D112" s="377">
        <f t="shared" si="10"/>
        <v>0</v>
      </c>
    </row>
    <row r="113" spans="1:4" x14ac:dyDescent="0.25">
      <c r="A113">
        <v>32</v>
      </c>
      <c r="B113" s="377">
        <f t="shared" si="9"/>
        <v>81.28</v>
      </c>
      <c r="C113">
        <v>6.6</v>
      </c>
      <c r="D113" s="377">
        <f t="shared" si="10"/>
        <v>0</v>
      </c>
    </row>
    <row r="114" spans="1:4" x14ac:dyDescent="0.25">
      <c r="A114">
        <v>36</v>
      </c>
      <c r="B114" s="377">
        <f t="shared" si="9"/>
        <v>91.44</v>
      </c>
      <c r="C114">
        <v>9</v>
      </c>
      <c r="D114" s="377">
        <f t="shared" si="10"/>
        <v>0</v>
      </c>
    </row>
    <row r="115" spans="1:4" x14ac:dyDescent="0.25">
      <c r="A115">
        <v>40</v>
      </c>
      <c r="B115" s="377">
        <f t="shared" si="9"/>
        <v>101.6</v>
      </c>
      <c r="C115">
        <v>11.7</v>
      </c>
      <c r="D115" s="377">
        <f t="shared" si="10"/>
        <v>0</v>
      </c>
    </row>
    <row r="116" spans="1:4" x14ac:dyDescent="0.25">
      <c r="A116">
        <v>44</v>
      </c>
      <c r="B116" s="377">
        <f t="shared" si="9"/>
        <v>111.76</v>
      </c>
      <c r="C116">
        <v>14.9</v>
      </c>
      <c r="D116" s="377">
        <f t="shared" si="10"/>
        <v>0</v>
      </c>
    </row>
    <row r="117" spans="1:4" x14ac:dyDescent="0.25">
      <c r="A117" t="s">
        <v>965</v>
      </c>
      <c r="B117" s="378" t="s">
        <v>966</v>
      </c>
    </row>
  </sheetData>
  <mergeCells count="4">
    <mergeCell ref="D32:E32"/>
    <mergeCell ref="S73:S74"/>
    <mergeCell ref="S79:S80"/>
    <mergeCell ref="S85:S86"/>
  </mergeCells>
  <hyperlinks>
    <hyperlink ref="R10" r:id="rId1" xr:uid="{BDA8866B-77CB-4E89-B3B3-45C2DB72B62F}"/>
    <hyperlink ref="AF40" location="References!A1" display="References!A1" xr:uid="{ACA199B5-F2E0-456B-90A2-980C8CCF67D4}"/>
  </hyperlinks>
  <pageMargins left="0.7" right="0.7" top="0.75" bottom="0.75" header="0.3" footer="0.3"/>
  <pageSetup paperSize="9" orientation="portrait"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8</vt:i4>
      </vt:variant>
    </vt:vector>
  </HeadingPairs>
  <TitlesOfParts>
    <vt:vector size="23" baseType="lpstr">
      <vt:lpstr>Index</vt:lpstr>
      <vt:lpstr>ChangeLog</vt:lpstr>
      <vt:lpstr>NameConv</vt:lpstr>
      <vt:lpstr>EnergyBalance2017</vt:lpstr>
      <vt:lpstr>ITEMS_Tech</vt:lpstr>
      <vt:lpstr>ITEMS_Comm</vt:lpstr>
      <vt:lpstr>SUP</vt:lpstr>
      <vt:lpstr>LNG</vt:lpstr>
      <vt:lpstr>GasPipeLines</vt:lpstr>
      <vt:lpstr>FugitiveEmissions</vt:lpstr>
      <vt:lpstr>EmissionsAggregationCO2eq</vt:lpstr>
      <vt:lpstr>FuelTechs</vt:lpstr>
      <vt:lpstr>Liq Fuel Prices</vt:lpstr>
      <vt:lpstr>IEA_WEO</vt:lpstr>
      <vt:lpstr>FuelDistribution</vt:lpstr>
      <vt:lpstr>eps</vt:lpstr>
      <vt:lpstr>FuelNames</vt:lpstr>
      <vt:lpstr>FuelNamesLong</vt:lpstr>
      <vt:lpstr>FuelNamesShort</vt:lpstr>
      <vt:lpstr>inchtocentimetre</vt:lpstr>
      <vt:lpstr>SectorNames</vt:lpstr>
      <vt:lpstr>SectorNamesLong</vt:lpstr>
      <vt:lpstr>SectorNamesShort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Bruno</dc:creator>
  <cp:lastModifiedBy>Bruno Merven</cp:lastModifiedBy>
  <dcterms:created xsi:type="dcterms:W3CDTF">2023-07-28T07:51:46Z</dcterms:created>
  <dcterms:modified xsi:type="dcterms:W3CDTF">2023-09-26T10:49:19Z</dcterms:modified>
</cp:coreProperties>
</file>