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9.xml" ContentType="application/vnd.ms-excel.threaded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omments13.xml" ContentType="application/vnd.openxmlformats-officedocument.spreadsheetml.comment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omments14.xml" ContentType="application/vnd.openxmlformats-officedocument.spreadsheetml.comments+xml"/>
  <Override PartName="/xl/drawings/drawing9.xml" ContentType="application/vnd.openxmlformats-officedocument.drawing+xml"/>
  <Override PartName="/xl/comments15.xml" ContentType="application/vnd.openxmlformats-officedocument.spreadsheetml.comment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41EE5594-7EB8-4647-8155-0D226198D1B3}" xr6:coauthVersionLast="47" xr6:coauthVersionMax="47" xr10:uidLastSave="{00000000-0000-0000-0000-000000000000}"/>
  <bookViews>
    <workbookView xWindow="-120" yWindow="-120" windowWidth="20730" windowHeight="11160" firstSheet="5" activeTab="10" xr2:uid="{FF8D263B-0C11-433E-8502-3956B29C280C}"/>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CostProjections" sheetId="21" r:id="rId10"/>
    <sheet name="VehicleCostData2022" sheetId="22" r:id="rId11"/>
    <sheet name="IEAWEO2023 cost data" sheetId="23" r:id="rId12"/>
    <sheet name="Vehicle data-proc2023" sheetId="8" r:id="rId13"/>
    <sheet name="AEA2012 update" sheetId="6" r:id="rId14"/>
    <sheet name="VehicleCostData2023" sheetId="18" r:id="rId15"/>
    <sheet name="Vehicle data-NDC2020" sheetId="20" r:id="rId16"/>
    <sheet name="AEA2012 summary" sheetId="17" r:id="rId17"/>
    <sheet name="Vehicle data " sheetId="7" r:id="rId18"/>
    <sheet name="FuelCell" sheetId="9" r:id="rId19"/>
    <sheet name="Calib_old" sheetId="3" r:id="rId20"/>
  </sheets>
  <externalReferences>
    <externalReference r:id="rId21"/>
    <externalReference r:id="rId22"/>
    <externalReference r:id="rId23"/>
    <externalReference r:id="rId24"/>
    <externalReference r:id="rId25"/>
    <externalReference r:id="rId26"/>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9" hidden="1">CostProjections!$A$10:$AH$93</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19" hidden="1">Calib_old!$H$96,Calib_old!$K$118,Calib_old!$J$87,Calib_old!$H$102,Calib_old!$H$101,Calib_old!$H$104:$J$104,Calib_old!$H$113:$K$113</definedName>
    <definedName name="solver_cvg" localSheetId="5" hidden="1">0.0001</definedName>
    <definedName name="solver_cvg" localSheetId="19" hidden="1">0.0001</definedName>
    <definedName name="solver_drv" localSheetId="5" hidden="1">1</definedName>
    <definedName name="solver_drv" localSheetId="19" hidden="1">1</definedName>
    <definedName name="solver_eng" localSheetId="5" hidden="1">1</definedName>
    <definedName name="solver_eng" localSheetId="19" hidden="1">1</definedName>
    <definedName name="solver_est" localSheetId="5" hidden="1">1</definedName>
    <definedName name="solver_est" localSheetId="19" hidden="1">1</definedName>
    <definedName name="solver_itr" localSheetId="5" hidden="1">100</definedName>
    <definedName name="solver_itr" localSheetId="19" hidden="1">100</definedName>
    <definedName name="solver_lin" localSheetId="5" hidden="1">2</definedName>
    <definedName name="solver_lin" localSheetId="19" hidden="1">2</definedName>
    <definedName name="solver_mip" localSheetId="5" hidden="1">2147483647</definedName>
    <definedName name="solver_mip" localSheetId="19" hidden="1">2147483647</definedName>
    <definedName name="solver_mni" localSheetId="5" hidden="1">30</definedName>
    <definedName name="solver_mni" localSheetId="19" hidden="1">30</definedName>
    <definedName name="solver_mrt" localSheetId="5" hidden="1">0.075</definedName>
    <definedName name="solver_mrt" localSheetId="19" hidden="1">0.075</definedName>
    <definedName name="solver_msl" localSheetId="5" hidden="1">2</definedName>
    <definedName name="solver_msl" localSheetId="19" hidden="1">2</definedName>
    <definedName name="solver_neg" localSheetId="5" hidden="1">2</definedName>
    <definedName name="solver_neg" localSheetId="19" hidden="1">2</definedName>
    <definedName name="solver_nod" localSheetId="5" hidden="1">2147483647</definedName>
    <definedName name="solver_nod" localSheetId="19" hidden="1">2147483647</definedName>
    <definedName name="solver_num" localSheetId="5" hidden="1">0</definedName>
    <definedName name="solver_num" localSheetId="19" hidden="1">0</definedName>
    <definedName name="solver_nwt" localSheetId="5" hidden="1">1</definedName>
    <definedName name="solver_nwt" localSheetId="19" hidden="1">1</definedName>
    <definedName name="solver_opt" localSheetId="5" hidden="1">Calib_2017!$N$120</definedName>
    <definedName name="solver_opt" localSheetId="19" hidden="1">Calib_old!$N$120</definedName>
    <definedName name="solver_pre" localSheetId="5" hidden="1">0.000001</definedName>
    <definedName name="solver_pre" localSheetId="19" hidden="1">0.000001</definedName>
    <definedName name="solver_rbv" localSheetId="5" hidden="1">1</definedName>
    <definedName name="solver_rbv" localSheetId="19" hidden="1">1</definedName>
    <definedName name="solver_rlx" localSheetId="5" hidden="1">1</definedName>
    <definedName name="solver_rlx" localSheetId="19" hidden="1">1</definedName>
    <definedName name="solver_rsd" localSheetId="5" hidden="1">0</definedName>
    <definedName name="solver_rsd" localSheetId="19" hidden="1">0</definedName>
    <definedName name="solver_scl" localSheetId="5" hidden="1">2</definedName>
    <definedName name="solver_scl" localSheetId="19" hidden="1">2</definedName>
    <definedName name="solver_sho" localSheetId="5" hidden="1">2</definedName>
    <definedName name="solver_sho" localSheetId="19" hidden="1">2</definedName>
    <definedName name="solver_ssz" localSheetId="5" hidden="1">100</definedName>
    <definedName name="solver_ssz" localSheetId="19" hidden="1">100</definedName>
    <definedName name="solver_tim" localSheetId="5" hidden="1">100</definedName>
    <definedName name="solver_tim" localSheetId="19" hidden="1">100</definedName>
    <definedName name="solver_tol" localSheetId="5" hidden="1">0.05</definedName>
    <definedName name="solver_tol" localSheetId="19" hidden="1">0.05</definedName>
    <definedName name="solver_typ" localSheetId="5" hidden="1">2</definedName>
    <definedName name="solver_typ" localSheetId="19" hidden="1">2</definedName>
    <definedName name="solver_val" localSheetId="5" hidden="1">0</definedName>
    <definedName name="solver_val" localSheetId="19" hidden="1">0</definedName>
    <definedName name="solver_ver" localSheetId="5" hidden="1">3</definedName>
    <definedName name="solver_ver" localSheetId="19" hidden="1">3</definedName>
    <definedName name="TRA.freight.capex">[1]Scenarios!$B$18</definedName>
    <definedName name="XLSIMSIM" localSheetId="16"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8"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6" i="22" l="1"/>
  <c r="AC27" i="8"/>
  <c r="AD27" i="8" s="1"/>
  <c r="AD20" i="8"/>
  <c r="AD22" i="8"/>
  <c r="AD30" i="8"/>
  <c r="AD31" i="8"/>
  <c r="AD34" i="8"/>
  <c r="AD35" i="8"/>
  <c r="AD36" i="8"/>
  <c r="AD37" i="8"/>
  <c r="AD38" i="8"/>
  <c r="AD39" i="8"/>
  <c r="AD40" i="8"/>
  <c r="AD41" i="8"/>
  <c r="AD42" i="8"/>
  <c r="AD43" i="8"/>
  <c r="AD44" i="8"/>
  <c r="AD45" i="8"/>
  <c r="AD46" i="8"/>
  <c r="AD47" i="8"/>
  <c r="AD48" i="8"/>
  <c r="AD49" i="8"/>
  <c r="AD50" i="8"/>
  <c r="AD51" i="8"/>
  <c r="AD52" i="8"/>
  <c r="AD53" i="8"/>
  <c r="AD54" i="8"/>
  <c r="AD55" i="8"/>
  <c r="AD56" i="8"/>
  <c r="AD57" i="8"/>
  <c r="AD58" i="8"/>
  <c r="AD59" i="8"/>
  <c r="AD60" i="8"/>
  <c r="AD61" i="8"/>
  <c r="AD62" i="8"/>
  <c r="AD63" i="8"/>
  <c r="AD64" i="8"/>
  <c r="AD65" i="8"/>
  <c r="AD66" i="8"/>
  <c r="AD67" i="8"/>
  <c r="AD68" i="8"/>
  <c r="AD69" i="8"/>
  <c r="AD70" i="8"/>
  <c r="AD71" i="8"/>
  <c r="AD72" i="8"/>
  <c r="AD73" i="8"/>
  <c r="AD74" i="8"/>
  <c r="AD75" i="8"/>
  <c r="AD76" i="8"/>
  <c r="AD77" i="8"/>
  <c r="AD78" i="8"/>
  <c r="AD80" i="8"/>
  <c r="AD81" i="8"/>
  <c r="AD82" i="8"/>
  <c r="AD83" i="8"/>
  <c r="AD87" i="8"/>
  <c r="AD88" i="8"/>
  <c r="AD90" i="8"/>
  <c r="AD91" i="8"/>
  <c r="AD92" i="8"/>
  <c r="AD93" i="8"/>
  <c r="AD97" i="8"/>
  <c r="AD98" i="8"/>
  <c r="AD100" i="8" s="1"/>
  <c r="AD101" i="8"/>
  <c r="AD102" i="8"/>
  <c r="AD103" i="8"/>
  <c r="AD108" i="8"/>
  <c r="AD110" i="8"/>
  <c r="K4" i="6"/>
  <c r="L4" i="6"/>
  <c r="M4" i="6"/>
  <c r="N4" i="6"/>
  <c r="O4" i="6"/>
  <c r="P4" i="6"/>
  <c r="Q4" i="6"/>
  <c r="R4" i="6"/>
  <c r="E6" i="6"/>
  <c r="G6" i="6"/>
  <c r="I6" i="6"/>
  <c r="E7" i="6"/>
  <c r="G7" i="6"/>
  <c r="I7" i="6"/>
  <c r="Y7" i="6" s="1"/>
  <c r="E8" i="6"/>
  <c r="G8" i="6"/>
  <c r="I8" i="6"/>
  <c r="E9" i="6"/>
  <c r="G9" i="6"/>
  <c r="I9" i="6"/>
  <c r="E10" i="6"/>
  <c r="G10" i="6"/>
  <c r="I10" i="6"/>
  <c r="E11" i="6"/>
  <c r="G11" i="6"/>
  <c r="I11" i="6"/>
  <c r="E12" i="6"/>
  <c r="G12" i="6"/>
  <c r="I12" i="6"/>
  <c r="E13" i="6"/>
  <c r="U13" i="6" s="1"/>
  <c r="G13" i="6"/>
  <c r="I13" i="6"/>
  <c r="E14" i="6"/>
  <c r="G14" i="6"/>
  <c r="I14" i="6"/>
  <c r="E15" i="6"/>
  <c r="G15" i="6"/>
  <c r="I15" i="6"/>
  <c r="Y15" i="6" s="1"/>
  <c r="E16" i="6"/>
  <c r="G16" i="6"/>
  <c r="I16" i="6"/>
  <c r="E17" i="6"/>
  <c r="G17" i="6"/>
  <c r="I17" i="6"/>
  <c r="E18" i="6"/>
  <c r="G18" i="6"/>
  <c r="I18" i="6"/>
  <c r="K19" i="6"/>
  <c r="L19" i="6"/>
  <c r="M19" i="6"/>
  <c r="N19" i="6"/>
  <c r="O19" i="6"/>
  <c r="P19" i="6"/>
  <c r="Q19" i="6"/>
  <c r="R19" i="6"/>
  <c r="K20" i="6"/>
  <c r="L20" i="6"/>
  <c r="M20" i="6"/>
  <c r="N20" i="6"/>
  <c r="O20" i="6"/>
  <c r="P20" i="6"/>
  <c r="Q20" i="6"/>
  <c r="R20" i="6"/>
  <c r="K21" i="6"/>
  <c r="L21" i="6"/>
  <c r="M21" i="6"/>
  <c r="N21" i="6"/>
  <c r="O21" i="6"/>
  <c r="P21" i="6"/>
  <c r="Q21" i="6"/>
  <c r="R21" i="6"/>
  <c r="E23" i="6"/>
  <c r="G23" i="6"/>
  <c r="I23" i="6"/>
  <c r="E24" i="6"/>
  <c r="G24" i="6"/>
  <c r="I24" i="6"/>
  <c r="E25" i="6"/>
  <c r="U25" i="6" s="1"/>
  <c r="G25" i="6"/>
  <c r="I25" i="6"/>
  <c r="E26" i="6"/>
  <c r="G26" i="6"/>
  <c r="I26" i="6"/>
  <c r="K27" i="6"/>
  <c r="L27" i="6"/>
  <c r="M27" i="6"/>
  <c r="N27" i="6"/>
  <c r="O27" i="6"/>
  <c r="P27" i="6"/>
  <c r="Q27" i="6"/>
  <c r="R27" i="6"/>
  <c r="K28" i="6"/>
  <c r="L28" i="6"/>
  <c r="M28" i="6"/>
  <c r="N28" i="6"/>
  <c r="O28" i="6"/>
  <c r="P28" i="6"/>
  <c r="Q28" i="6"/>
  <c r="R28" i="6"/>
  <c r="K29" i="6"/>
  <c r="L29" i="6"/>
  <c r="M29" i="6"/>
  <c r="N29" i="6"/>
  <c r="O29" i="6"/>
  <c r="P29" i="6"/>
  <c r="Q29" i="6"/>
  <c r="R29" i="6"/>
  <c r="E31" i="6"/>
  <c r="G31" i="6"/>
  <c r="I31" i="6"/>
  <c r="Y31" i="6" s="1"/>
  <c r="E32" i="6"/>
  <c r="G32" i="6"/>
  <c r="I32" i="6"/>
  <c r="E33" i="6"/>
  <c r="G33" i="6"/>
  <c r="I33" i="6"/>
  <c r="E34" i="6"/>
  <c r="G34" i="6"/>
  <c r="W34" i="6" s="1"/>
  <c r="I34" i="6"/>
  <c r="E35" i="6"/>
  <c r="G35" i="6"/>
  <c r="I35" i="6"/>
  <c r="E36" i="6"/>
  <c r="G36" i="6"/>
  <c r="I36" i="6"/>
  <c r="E37" i="6"/>
  <c r="G37" i="6"/>
  <c r="I37" i="6"/>
  <c r="E38" i="6"/>
  <c r="G38" i="6"/>
  <c r="I38" i="6"/>
  <c r="E39" i="6"/>
  <c r="G39" i="6"/>
  <c r="I39" i="6"/>
  <c r="Y39" i="6" s="1"/>
  <c r="E40" i="6"/>
  <c r="G40" i="6"/>
  <c r="I40" i="6"/>
  <c r="E41" i="6"/>
  <c r="G41" i="6"/>
  <c r="I41" i="6"/>
  <c r="E42" i="6"/>
  <c r="G42" i="6"/>
  <c r="W42" i="6" s="1"/>
  <c r="I42" i="6"/>
  <c r="E43" i="6"/>
  <c r="G43" i="6"/>
  <c r="I43" i="6"/>
  <c r="K44" i="6"/>
  <c r="L44" i="6"/>
  <c r="M44" i="6"/>
  <c r="N44" i="6"/>
  <c r="O44" i="6"/>
  <c r="P44" i="6"/>
  <c r="Q44" i="6"/>
  <c r="R44" i="6"/>
  <c r="K45" i="6"/>
  <c r="L45" i="6"/>
  <c r="M45" i="6"/>
  <c r="N45" i="6"/>
  <c r="O45" i="6"/>
  <c r="P45" i="6"/>
  <c r="Q45" i="6"/>
  <c r="R45" i="6"/>
  <c r="K46" i="6"/>
  <c r="L46" i="6"/>
  <c r="M46" i="6"/>
  <c r="N46" i="6"/>
  <c r="O46" i="6"/>
  <c r="P46" i="6"/>
  <c r="Q46" i="6"/>
  <c r="R46" i="6"/>
  <c r="E48" i="6"/>
  <c r="G48" i="6"/>
  <c r="I48" i="6"/>
  <c r="C49" i="6"/>
  <c r="D49" i="6"/>
  <c r="E49" i="6"/>
  <c r="F49" i="6"/>
  <c r="G49" i="6"/>
  <c r="H49" i="6"/>
  <c r="I49" i="6"/>
  <c r="J49" i="6"/>
  <c r="E50" i="6"/>
  <c r="G50" i="6"/>
  <c r="I50" i="6"/>
  <c r="E51" i="6"/>
  <c r="G51" i="6"/>
  <c r="I51" i="6"/>
  <c r="E52" i="6"/>
  <c r="G52" i="6"/>
  <c r="I52" i="6"/>
  <c r="Y52" i="6" s="1"/>
  <c r="E53" i="6"/>
  <c r="G53" i="6"/>
  <c r="I53" i="6"/>
  <c r="E54" i="6"/>
  <c r="G54" i="6"/>
  <c r="I54" i="6"/>
  <c r="E55" i="6"/>
  <c r="G55" i="6"/>
  <c r="I55" i="6"/>
  <c r="E56" i="6"/>
  <c r="G56" i="6"/>
  <c r="I56" i="6"/>
  <c r="K57" i="6"/>
  <c r="L57" i="6"/>
  <c r="M57" i="6"/>
  <c r="N57" i="6"/>
  <c r="O57" i="6"/>
  <c r="P57" i="6"/>
  <c r="Q57" i="6"/>
  <c r="R57" i="6"/>
  <c r="K58" i="6"/>
  <c r="L58" i="6"/>
  <c r="M58" i="6"/>
  <c r="N58" i="6"/>
  <c r="O58" i="6"/>
  <c r="P58" i="6"/>
  <c r="Q58" i="6"/>
  <c r="R58" i="6"/>
  <c r="K59" i="6"/>
  <c r="L59" i="6"/>
  <c r="M59" i="6"/>
  <c r="N59" i="6"/>
  <c r="O59" i="6"/>
  <c r="P59" i="6"/>
  <c r="Q59" i="6"/>
  <c r="R59" i="6"/>
  <c r="E61" i="6"/>
  <c r="G61" i="6"/>
  <c r="I61" i="6"/>
  <c r="E62" i="6"/>
  <c r="U62" i="6" s="1"/>
  <c r="G62" i="6"/>
  <c r="I62" i="6"/>
  <c r="E63" i="6"/>
  <c r="G63" i="6"/>
  <c r="I63" i="6"/>
  <c r="E64" i="6"/>
  <c r="G64" i="6"/>
  <c r="I64" i="6"/>
  <c r="Y64" i="6" s="1"/>
  <c r="E66" i="6"/>
  <c r="G66" i="6"/>
  <c r="I66" i="6"/>
  <c r="E67" i="6"/>
  <c r="G67" i="6"/>
  <c r="I67" i="6"/>
  <c r="E68" i="6"/>
  <c r="G68" i="6"/>
  <c r="W68" i="6" s="1"/>
  <c r="I68" i="6"/>
  <c r="K69" i="6"/>
  <c r="L69" i="6"/>
  <c r="M69" i="6"/>
  <c r="N69" i="6"/>
  <c r="O69" i="6"/>
  <c r="P69" i="6"/>
  <c r="Q69" i="6"/>
  <c r="R69" i="6"/>
  <c r="K70" i="6"/>
  <c r="L70" i="6"/>
  <c r="M70" i="6"/>
  <c r="N70" i="6"/>
  <c r="O70" i="6"/>
  <c r="P70" i="6"/>
  <c r="Q70" i="6"/>
  <c r="R70" i="6"/>
  <c r="K71" i="6"/>
  <c r="L71" i="6"/>
  <c r="M71" i="6"/>
  <c r="N71" i="6"/>
  <c r="O71" i="6"/>
  <c r="P71" i="6"/>
  <c r="Q71" i="6"/>
  <c r="R71" i="6"/>
  <c r="E73" i="6"/>
  <c r="G73" i="6"/>
  <c r="I73" i="6"/>
  <c r="E74" i="6"/>
  <c r="G74" i="6"/>
  <c r="I74" i="6"/>
  <c r="E75" i="6"/>
  <c r="U75" i="6" s="1"/>
  <c r="G75" i="6"/>
  <c r="I75" i="6"/>
  <c r="E76" i="6"/>
  <c r="G76" i="6"/>
  <c r="I76" i="6"/>
  <c r="E78" i="6"/>
  <c r="G78" i="6"/>
  <c r="I78" i="6"/>
  <c r="E79" i="6"/>
  <c r="G79" i="6"/>
  <c r="I79" i="6"/>
  <c r="E80" i="6"/>
  <c r="G80" i="6"/>
  <c r="I80" i="6"/>
  <c r="K81" i="6"/>
  <c r="L81" i="6"/>
  <c r="M81" i="6"/>
  <c r="N81" i="6"/>
  <c r="O81" i="6"/>
  <c r="P81" i="6"/>
  <c r="Q81" i="6"/>
  <c r="R81" i="6"/>
  <c r="K82" i="6"/>
  <c r="L82" i="6"/>
  <c r="M82" i="6"/>
  <c r="N82" i="6"/>
  <c r="O82" i="6"/>
  <c r="P82" i="6"/>
  <c r="Q82" i="6"/>
  <c r="R82" i="6"/>
  <c r="K83" i="6"/>
  <c r="L83" i="6"/>
  <c r="M83" i="6"/>
  <c r="N83" i="6"/>
  <c r="O83" i="6"/>
  <c r="P83" i="6"/>
  <c r="Q83" i="6"/>
  <c r="R83" i="6"/>
  <c r="E85" i="6"/>
  <c r="G85" i="6"/>
  <c r="W86" i="6" s="1"/>
  <c r="I85" i="6"/>
  <c r="E86" i="6"/>
  <c r="G86" i="6"/>
  <c r="I86" i="6"/>
  <c r="E87" i="6"/>
  <c r="G87" i="6"/>
  <c r="I87" i="6"/>
  <c r="E88" i="6"/>
  <c r="G88" i="6"/>
  <c r="I88" i="6"/>
  <c r="E90" i="6"/>
  <c r="G90" i="6"/>
  <c r="I90" i="6"/>
  <c r="E91" i="6"/>
  <c r="G91" i="6"/>
  <c r="I91" i="6"/>
  <c r="E92" i="6"/>
  <c r="G92" i="6"/>
  <c r="I92" i="6"/>
  <c r="K93" i="6"/>
  <c r="L93" i="6"/>
  <c r="M93" i="6"/>
  <c r="N93" i="6"/>
  <c r="O93" i="6"/>
  <c r="P93" i="6"/>
  <c r="Q93" i="6"/>
  <c r="R93" i="6"/>
  <c r="K94" i="6"/>
  <c r="L94" i="6"/>
  <c r="M94" i="6"/>
  <c r="N94" i="6"/>
  <c r="O94" i="6"/>
  <c r="P94" i="6"/>
  <c r="Q94" i="6"/>
  <c r="R94" i="6"/>
  <c r="K95" i="6"/>
  <c r="L95" i="6"/>
  <c r="M95" i="6"/>
  <c r="N95" i="6"/>
  <c r="O95" i="6"/>
  <c r="P95" i="6"/>
  <c r="Q95" i="6"/>
  <c r="R95" i="6"/>
  <c r="E97" i="6"/>
  <c r="G97" i="6"/>
  <c r="I97" i="6"/>
  <c r="E98" i="6"/>
  <c r="G98" i="6"/>
  <c r="W98" i="6" s="1"/>
  <c r="I98" i="6"/>
  <c r="E99" i="6"/>
  <c r="G99" i="6"/>
  <c r="I99" i="6"/>
  <c r="E100" i="6"/>
  <c r="G100" i="6"/>
  <c r="I100" i="6"/>
  <c r="E101" i="6"/>
  <c r="G101" i="6"/>
  <c r="I101" i="6"/>
  <c r="E102" i="6"/>
  <c r="G102" i="6"/>
  <c r="I102" i="6"/>
  <c r="E103" i="6"/>
  <c r="G103" i="6"/>
  <c r="I103" i="6"/>
  <c r="Y103" i="6" s="1"/>
  <c r="E104" i="6"/>
  <c r="G104" i="6"/>
  <c r="I104" i="6"/>
  <c r="S4" i="6"/>
  <c r="T4" i="6"/>
  <c r="U4" i="6"/>
  <c r="V4" i="6"/>
  <c r="W4" i="6"/>
  <c r="X4" i="6"/>
  <c r="Y4" i="6"/>
  <c r="Z4" i="6"/>
  <c r="U6" i="6"/>
  <c r="S6" i="6"/>
  <c r="T6" i="6"/>
  <c r="V6" i="6"/>
  <c r="W6" i="6"/>
  <c r="X6" i="6"/>
  <c r="Y6" i="6"/>
  <c r="Z6" i="6"/>
  <c r="S7" i="6"/>
  <c r="T7" i="6"/>
  <c r="U7" i="6"/>
  <c r="V7" i="6"/>
  <c r="W7" i="6"/>
  <c r="X7" i="6"/>
  <c r="Z7" i="6"/>
  <c r="U8" i="6"/>
  <c r="W8" i="6"/>
  <c r="S8" i="6"/>
  <c r="T8" i="6"/>
  <c r="V8" i="6"/>
  <c r="X8" i="6"/>
  <c r="Y8" i="6"/>
  <c r="Z8" i="6"/>
  <c r="S9" i="6"/>
  <c r="T9" i="6"/>
  <c r="U9" i="6"/>
  <c r="V9" i="6"/>
  <c r="W9" i="6"/>
  <c r="X9" i="6"/>
  <c r="Y9" i="6"/>
  <c r="Z9" i="6"/>
  <c r="S10" i="6"/>
  <c r="T10" i="6"/>
  <c r="U10" i="6"/>
  <c r="V10" i="6"/>
  <c r="W10" i="6"/>
  <c r="X10" i="6"/>
  <c r="Y10" i="6"/>
  <c r="Z10" i="6"/>
  <c r="U11" i="6"/>
  <c r="S11" i="6"/>
  <c r="T11" i="6"/>
  <c r="V11" i="6"/>
  <c r="W11" i="6"/>
  <c r="X11" i="6"/>
  <c r="Y11" i="6"/>
  <c r="Z11" i="6"/>
  <c r="S12" i="6"/>
  <c r="T12" i="6"/>
  <c r="U12" i="6"/>
  <c r="V12" i="6"/>
  <c r="W12" i="6"/>
  <c r="X12" i="6"/>
  <c r="Y12" i="6"/>
  <c r="Z12" i="6"/>
  <c r="Y13" i="6"/>
  <c r="S13" i="6"/>
  <c r="T13" i="6"/>
  <c r="V13" i="6"/>
  <c r="W13" i="6"/>
  <c r="X13" i="6"/>
  <c r="Z13" i="6"/>
  <c r="S14" i="6"/>
  <c r="T14" i="6"/>
  <c r="U14" i="6"/>
  <c r="V14" i="6"/>
  <c r="W14" i="6"/>
  <c r="X14" i="6"/>
  <c r="Y14" i="6"/>
  <c r="Z14" i="6"/>
  <c r="U15" i="6"/>
  <c r="S15" i="6"/>
  <c r="T15" i="6"/>
  <c r="V15" i="6"/>
  <c r="W15" i="6"/>
  <c r="X15" i="6"/>
  <c r="Z15" i="6"/>
  <c r="W16" i="6"/>
  <c r="S16" i="6"/>
  <c r="T16" i="6"/>
  <c r="U16" i="6"/>
  <c r="V16" i="6"/>
  <c r="X16" i="6"/>
  <c r="Y16" i="6"/>
  <c r="Z16" i="6"/>
  <c r="S17" i="6"/>
  <c r="T17" i="6"/>
  <c r="U17" i="6"/>
  <c r="V17" i="6"/>
  <c r="W17" i="6"/>
  <c r="X17" i="6"/>
  <c r="Y17" i="6"/>
  <c r="Z17" i="6"/>
  <c r="S18" i="6"/>
  <c r="T18" i="6"/>
  <c r="U18" i="6"/>
  <c r="V18" i="6"/>
  <c r="W18" i="6"/>
  <c r="X18" i="6"/>
  <c r="Y18" i="6"/>
  <c r="Z18" i="6"/>
  <c r="S23" i="6"/>
  <c r="T23" i="6"/>
  <c r="V23" i="6"/>
  <c r="W23" i="6"/>
  <c r="X23" i="6"/>
  <c r="Y23" i="6"/>
  <c r="Z23" i="6"/>
  <c r="S24" i="6"/>
  <c r="T24" i="6"/>
  <c r="V24" i="6"/>
  <c r="W24" i="6"/>
  <c r="X24" i="6"/>
  <c r="Y24" i="6"/>
  <c r="Z24" i="6"/>
  <c r="Y25" i="6"/>
  <c r="S25" i="6"/>
  <c r="T25" i="6"/>
  <c r="V25" i="6"/>
  <c r="W25" i="6"/>
  <c r="X25" i="6"/>
  <c r="Z25" i="6"/>
  <c r="S26" i="6"/>
  <c r="T26" i="6"/>
  <c r="V26" i="6"/>
  <c r="W26" i="6"/>
  <c r="X26" i="6"/>
  <c r="Y26" i="6"/>
  <c r="Z26" i="6"/>
  <c r="S29" i="6"/>
  <c r="T29" i="6"/>
  <c r="T46" i="6" s="1"/>
  <c r="V29" i="6"/>
  <c r="V46" i="6" s="1"/>
  <c r="X29" i="6"/>
  <c r="Z29" i="6"/>
  <c r="Z46" i="6" s="1"/>
  <c r="S31" i="6"/>
  <c r="T31" i="6"/>
  <c r="U31" i="6"/>
  <c r="V31" i="6"/>
  <c r="W31" i="6"/>
  <c r="X31" i="6"/>
  <c r="Z31" i="6"/>
  <c r="W32" i="6"/>
  <c r="S32" i="6"/>
  <c r="T32" i="6"/>
  <c r="U32" i="6"/>
  <c r="V32" i="6"/>
  <c r="X32" i="6"/>
  <c r="Z32" i="6"/>
  <c r="W33" i="6"/>
  <c r="S33" i="6"/>
  <c r="T33" i="6"/>
  <c r="U33" i="6"/>
  <c r="V33" i="6"/>
  <c r="X33" i="6"/>
  <c r="Z33" i="6"/>
  <c r="S34" i="6"/>
  <c r="T34" i="6"/>
  <c r="U34" i="6"/>
  <c r="V34" i="6"/>
  <c r="X34" i="6"/>
  <c r="Z34" i="6"/>
  <c r="S35" i="6"/>
  <c r="T35" i="6"/>
  <c r="U35" i="6"/>
  <c r="V35" i="6"/>
  <c r="W35" i="6"/>
  <c r="X35" i="6"/>
  <c r="Z35" i="6"/>
  <c r="U36" i="6"/>
  <c r="S36" i="6"/>
  <c r="T36" i="6"/>
  <c r="V36" i="6"/>
  <c r="W36" i="6"/>
  <c r="X36" i="6"/>
  <c r="Z36" i="6"/>
  <c r="S37" i="6"/>
  <c r="T37" i="6"/>
  <c r="U37" i="6"/>
  <c r="V37" i="6"/>
  <c r="W37" i="6"/>
  <c r="X37" i="6"/>
  <c r="Z37" i="6"/>
  <c r="U38" i="6"/>
  <c r="S38" i="6"/>
  <c r="T38" i="6"/>
  <c r="V38" i="6"/>
  <c r="W38" i="6"/>
  <c r="X38" i="6"/>
  <c r="Z38" i="6"/>
  <c r="S39" i="6"/>
  <c r="T39" i="6"/>
  <c r="U39" i="6"/>
  <c r="V39" i="6"/>
  <c r="W39" i="6"/>
  <c r="X39" i="6"/>
  <c r="Z39" i="6"/>
  <c r="W40" i="6"/>
  <c r="S40" i="6"/>
  <c r="T40" i="6"/>
  <c r="U40" i="6"/>
  <c r="V40" i="6"/>
  <c r="X40" i="6"/>
  <c r="Z40" i="6"/>
  <c r="W41" i="6"/>
  <c r="S41" i="6"/>
  <c r="T41" i="6"/>
  <c r="U41" i="6"/>
  <c r="V41" i="6"/>
  <c r="X41" i="6"/>
  <c r="Z41" i="6"/>
  <c r="U42" i="6"/>
  <c r="S42" i="6"/>
  <c r="T42" i="6"/>
  <c r="V42" i="6"/>
  <c r="X42" i="6"/>
  <c r="Z42" i="6"/>
  <c r="S43" i="6"/>
  <c r="T43" i="6"/>
  <c r="U43" i="6"/>
  <c r="V43" i="6"/>
  <c r="W43" i="6"/>
  <c r="X43" i="6"/>
  <c r="Z43" i="6"/>
  <c r="S46" i="6"/>
  <c r="X46" i="6"/>
  <c r="S48" i="6"/>
  <c r="T48" i="6"/>
  <c r="U48" i="6"/>
  <c r="V48" i="6"/>
  <c r="W48" i="6"/>
  <c r="X48" i="6"/>
  <c r="Y48" i="6"/>
  <c r="Z48" i="6"/>
  <c r="S49" i="6"/>
  <c r="T49" i="6"/>
  <c r="U49" i="6"/>
  <c r="V49" i="6"/>
  <c r="W49" i="6"/>
  <c r="X49" i="6"/>
  <c r="Y49" i="6"/>
  <c r="Z49" i="6"/>
  <c r="U50" i="6"/>
  <c r="W50" i="6"/>
  <c r="S50" i="6"/>
  <c r="T50" i="6"/>
  <c r="V50" i="6"/>
  <c r="X50" i="6"/>
  <c r="Y50" i="6"/>
  <c r="Z50" i="6"/>
  <c r="S51" i="6"/>
  <c r="T51" i="6"/>
  <c r="U51" i="6"/>
  <c r="V51" i="6"/>
  <c r="W51" i="6"/>
  <c r="X51" i="6"/>
  <c r="Y51" i="6"/>
  <c r="Z51" i="6"/>
  <c r="U52" i="6"/>
  <c r="S52" i="6"/>
  <c r="T52" i="6"/>
  <c r="V52" i="6"/>
  <c r="W52" i="6"/>
  <c r="X52" i="6"/>
  <c r="Z52" i="6"/>
  <c r="S53" i="6"/>
  <c r="T53" i="6"/>
  <c r="U53" i="6"/>
  <c r="V53" i="6"/>
  <c r="W53" i="6"/>
  <c r="X53" i="6"/>
  <c r="Y53" i="6"/>
  <c r="Z53" i="6"/>
  <c r="W54" i="6"/>
  <c r="S54" i="6"/>
  <c r="T54" i="6"/>
  <c r="U54" i="6"/>
  <c r="V54" i="6"/>
  <c r="X54" i="6"/>
  <c r="Y54" i="6"/>
  <c r="Z54" i="6"/>
  <c r="W55" i="6"/>
  <c r="S55" i="6"/>
  <c r="T55" i="6"/>
  <c r="U55" i="6"/>
  <c r="V55" i="6"/>
  <c r="X55" i="6"/>
  <c r="Y55" i="6"/>
  <c r="Z55" i="6"/>
  <c r="U56" i="6"/>
  <c r="Y56" i="6"/>
  <c r="S56" i="6"/>
  <c r="T56" i="6"/>
  <c r="V56" i="6"/>
  <c r="W56" i="6"/>
  <c r="X56" i="6"/>
  <c r="Z56" i="6"/>
  <c r="S59" i="6"/>
  <c r="T59" i="6"/>
  <c r="V59" i="6"/>
  <c r="X59" i="6"/>
  <c r="Z59" i="6"/>
  <c r="U61" i="6"/>
  <c r="Y61" i="6"/>
  <c r="S61" i="6"/>
  <c r="T61" i="6"/>
  <c r="V61" i="6"/>
  <c r="W61" i="6"/>
  <c r="X61" i="6"/>
  <c r="Z61" i="6"/>
  <c r="S62" i="6"/>
  <c r="T62" i="6"/>
  <c r="V62" i="6"/>
  <c r="W62" i="6"/>
  <c r="X62" i="6"/>
  <c r="Y62" i="6"/>
  <c r="Z62" i="6"/>
  <c r="U63" i="6"/>
  <c r="W63" i="6"/>
  <c r="S63" i="6"/>
  <c r="T63" i="6"/>
  <c r="V63" i="6"/>
  <c r="X63" i="6"/>
  <c r="Y63" i="6"/>
  <c r="Z63" i="6"/>
  <c r="S64" i="6"/>
  <c r="T64" i="6"/>
  <c r="U64" i="6"/>
  <c r="V64" i="6"/>
  <c r="W64" i="6"/>
  <c r="X64" i="6"/>
  <c r="Z64" i="6"/>
  <c r="S65" i="6"/>
  <c r="T65" i="6"/>
  <c r="U65" i="6"/>
  <c r="V65" i="6"/>
  <c r="W65" i="6"/>
  <c r="X65" i="6"/>
  <c r="Y65" i="6"/>
  <c r="Z65" i="6"/>
  <c r="U66" i="6"/>
  <c r="Y66" i="6"/>
  <c r="S66" i="6"/>
  <c r="T66" i="6"/>
  <c r="V66" i="6"/>
  <c r="W66" i="6"/>
  <c r="X66" i="6"/>
  <c r="Z66" i="6"/>
  <c r="S67" i="6"/>
  <c r="T67" i="6"/>
  <c r="U67" i="6"/>
  <c r="V67" i="6"/>
  <c r="W67" i="6"/>
  <c r="X67" i="6"/>
  <c r="Y67" i="6"/>
  <c r="Z67" i="6"/>
  <c r="S68" i="6"/>
  <c r="T68" i="6"/>
  <c r="U68" i="6"/>
  <c r="V68" i="6"/>
  <c r="X68" i="6"/>
  <c r="Y68" i="6"/>
  <c r="Z68" i="6"/>
  <c r="S71" i="6"/>
  <c r="T71" i="6"/>
  <c r="V71" i="6"/>
  <c r="X71" i="6"/>
  <c r="Z71" i="6"/>
  <c r="W73" i="6"/>
  <c r="S73" i="6"/>
  <c r="T73" i="6"/>
  <c r="U73" i="6"/>
  <c r="V73" i="6"/>
  <c r="X73" i="6"/>
  <c r="Y73" i="6"/>
  <c r="Z73" i="6"/>
  <c r="W74" i="6"/>
  <c r="S74" i="6"/>
  <c r="T74" i="6"/>
  <c r="U74" i="6"/>
  <c r="V74" i="6"/>
  <c r="X74" i="6"/>
  <c r="Y74" i="6"/>
  <c r="Z74" i="6"/>
  <c r="Y75" i="6"/>
  <c r="S75" i="6"/>
  <c r="T75" i="6"/>
  <c r="V75" i="6"/>
  <c r="W75" i="6"/>
  <c r="X75" i="6"/>
  <c r="Z75" i="6"/>
  <c r="U76" i="6"/>
  <c r="S76" i="6"/>
  <c r="T76" i="6"/>
  <c r="V76" i="6"/>
  <c r="W76" i="6"/>
  <c r="X76" i="6"/>
  <c r="Y76" i="6"/>
  <c r="Z76" i="6"/>
  <c r="S77" i="6"/>
  <c r="T77" i="6"/>
  <c r="U77" i="6"/>
  <c r="V77" i="6"/>
  <c r="W77" i="6"/>
  <c r="X77" i="6"/>
  <c r="Y77" i="6"/>
  <c r="Z77" i="6"/>
  <c r="U78" i="6"/>
  <c r="W78" i="6"/>
  <c r="S78" i="6"/>
  <c r="T78" i="6"/>
  <c r="V78" i="6"/>
  <c r="X78" i="6"/>
  <c r="Y78" i="6"/>
  <c r="Z78" i="6"/>
  <c r="S79" i="6"/>
  <c r="T79" i="6"/>
  <c r="U79" i="6"/>
  <c r="V79" i="6"/>
  <c r="W79" i="6"/>
  <c r="X79" i="6"/>
  <c r="Y79" i="6"/>
  <c r="Z79" i="6"/>
  <c r="U80" i="6"/>
  <c r="Y80" i="6"/>
  <c r="S80" i="6"/>
  <c r="T80" i="6"/>
  <c r="V80" i="6"/>
  <c r="W80" i="6"/>
  <c r="X80" i="6"/>
  <c r="Z80" i="6"/>
  <c r="S83" i="6"/>
  <c r="T83" i="6"/>
  <c r="V83" i="6"/>
  <c r="X83" i="6"/>
  <c r="Z83" i="6"/>
  <c r="U85" i="6"/>
  <c r="Y92" i="6"/>
  <c r="S85" i="6"/>
  <c r="T85" i="6"/>
  <c r="V85" i="6"/>
  <c r="X85" i="6"/>
  <c r="Z85" i="6"/>
  <c r="S86" i="6"/>
  <c r="T86" i="6"/>
  <c r="U86" i="6"/>
  <c r="V86" i="6"/>
  <c r="X86" i="6"/>
  <c r="Z86" i="6"/>
  <c r="S87" i="6"/>
  <c r="T87" i="6"/>
  <c r="U87" i="6"/>
  <c r="V87" i="6"/>
  <c r="X87" i="6"/>
  <c r="Z87" i="6"/>
  <c r="S88" i="6"/>
  <c r="T88" i="6"/>
  <c r="U88" i="6"/>
  <c r="V88" i="6"/>
  <c r="X88" i="6"/>
  <c r="Y88" i="6"/>
  <c r="Z88" i="6"/>
  <c r="S89" i="6"/>
  <c r="T89" i="6"/>
  <c r="U89" i="6"/>
  <c r="V89" i="6"/>
  <c r="X89" i="6"/>
  <c r="Y89" i="6"/>
  <c r="Z89" i="6"/>
  <c r="U90" i="6"/>
  <c r="Y90" i="6"/>
  <c r="S90" i="6"/>
  <c r="T90" i="6"/>
  <c r="V90" i="6"/>
  <c r="X90" i="6"/>
  <c r="Z90" i="6"/>
  <c r="U91" i="6"/>
  <c r="S91" i="6"/>
  <c r="T91" i="6"/>
  <c r="V91" i="6"/>
  <c r="X91" i="6"/>
  <c r="Z91" i="6"/>
  <c r="U92" i="6"/>
  <c r="S92" i="6"/>
  <c r="T92" i="6"/>
  <c r="V92" i="6"/>
  <c r="X92" i="6"/>
  <c r="Z92" i="6"/>
  <c r="S95" i="6"/>
  <c r="T95" i="6"/>
  <c r="V95" i="6"/>
  <c r="X95" i="6"/>
  <c r="Z95" i="6"/>
  <c r="U101" i="6"/>
  <c r="W97" i="6"/>
  <c r="S97" i="6"/>
  <c r="T97" i="6"/>
  <c r="V97" i="6"/>
  <c r="X97" i="6"/>
  <c r="Y97" i="6"/>
  <c r="Z97" i="6"/>
  <c r="S98" i="6"/>
  <c r="T98" i="6"/>
  <c r="U98" i="6"/>
  <c r="V98" i="6"/>
  <c r="X98" i="6"/>
  <c r="Y98" i="6"/>
  <c r="Z98" i="6"/>
  <c r="U99" i="6"/>
  <c r="Y99" i="6"/>
  <c r="S99" i="6"/>
  <c r="T99" i="6"/>
  <c r="V99" i="6"/>
  <c r="W99" i="6"/>
  <c r="X99" i="6"/>
  <c r="Z99" i="6"/>
  <c r="U100" i="6"/>
  <c r="S100" i="6"/>
  <c r="T100" i="6"/>
  <c r="V100" i="6"/>
  <c r="W100" i="6"/>
  <c r="X100" i="6"/>
  <c r="Y100" i="6"/>
  <c r="Z100" i="6"/>
  <c r="W101" i="6"/>
  <c r="S101" i="6"/>
  <c r="T101" i="6"/>
  <c r="V101" i="6"/>
  <c r="X101" i="6"/>
  <c r="Y101" i="6"/>
  <c r="Z101" i="6"/>
  <c r="W102" i="6"/>
  <c r="S102" i="6"/>
  <c r="T102" i="6"/>
  <c r="V102" i="6"/>
  <c r="X102" i="6"/>
  <c r="Y102" i="6"/>
  <c r="Z102" i="6"/>
  <c r="U103" i="6"/>
  <c r="S103" i="6"/>
  <c r="T103" i="6"/>
  <c r="V103" i="6"/>
  <c r="W103" i="6"/>
  <c r="X103" i="6"/>
  <c r="Z103" i="6"/>
  <c r="U104" i="6"/>
  <c r="S104" i="6"/>
  <c r="T104" i="6"/>
  <c r="V104" i="6"/>
  <c r="W104" i="6"/>
  <c r="X104" i="6"/>
  <c r="Y104" i="6"/>
  <c r="Z104" i="6"/>
  <c r="N32" i="21" a="1"/>
  <c r="N32" i="21" s="1"/>
  <c r="I32" i="21"/>
  <c r="J32" i="21" s="1"/>
  <c r="G32" i="21"/>
  <c r="AQ19" i="23"/>
  <c r="AI19" i="23"/>
  <c r="AA19" i="23"/>
  <c r="F19" i="23"/>
  <c r="I19" i="23" s="1"/>
  <c r="E19" i="23"/>
  <c r="AX19" i="23" s="1"/>
  <c r="D19" i="23"/>
  <c r="Z19" i="23" s="1"/>
  <c r="AQ18" i="23"/>
  <c r="AI18" i="23"/>
  <c r="AA18" i="23"/>
  <c r="F18" i="23"/>
  <c r="I18" i="23" s="1"/>
  <c r="E18" i="23"/>
  <c r="AX18" i="23" s="1"/>
  <c r="D18" i="23"/>
  <c r="Z18" i="23" s="1"/>
  <c r="AQ17" i="23"/>
  <c r="AI17" i="23"/>
  <c r="AA17" i="23"/>
  <c r="F17" i="23"/>
  <c r="I17" i="23" s="1"/>
  <c r="E17" i="23"/>
  <c r="AX17" i="23" s="1"/>
  <c r="D17" i="23"/>
  <c r="Z17" i="23" s="1"/>
  <c r="AD13" i="23"/>
  <c r="Y13" i="23"/>
  <c r="H13" i="23"/>
  <c r="F13" i="23"/>
  <c r="AT13" i="23" s="1"/>
  <c r="E13" i="23"/>
  <c r="AS13" i="23" s="1"/>
  <c r="D13" i="23"/>
  <c r="AC13" i="23" s="1"/>
  <c r="AT12" i="23"/>
  <c r="AD12" i="23"/>
  <c r="Y12" i="23"/>
  <c r="X12" i="23"/>
  <c r="H12" i="23"/>
  <c r="F12" i="23"/>
  <c r="E12" i="23"/>
  <c r="D12" i="23"/>
  <c r="AC12" i="23" s="1"/>
  <c r="AD11" i="23"/>
  <c r="Y11" i="23"/>
  <c r="X11" i="23"/>
  <c r="V11" i="23"/>
  <c r="N11" i="23"/>
  <c r="H11" i="23"/>
  <c r="F11" i="23"/>
  <c r="AL11" i="23" s="1"/>
  <c r="E11" i="23"/>
  <c r="D11" i="23"/>
  <c r="AC11" i="23" s="1"/>
  <c r="C9" i="23"/>
  <c r="C12" i="23" s="1"/>
  <c r="C8" i="23"/>
  <c r="C11" i="23" s="1"/>
  <c r="C5" i="23"/>
  <c r="C14" i="23" s="1"/>
  <c r="B5" i="23"/>
  <c r="A5" i="23"/>
  <c r="C4" i="23"/>
  <c r="B4" i="23"/>
  <c r="A4" i="23"/>
  <c r="D118" i="22"/>
  <c r="D130" i="22" s="1"/>
  <c r="T85" i="22" s="1"/>
  <c r="D106" i="22"/>
  <c r="D103" i="22"/>
  <c r="D115" i="22" s="1"/>
  <c r="D102" i="22"/>
  <c r="D114" i="22" s="1"/>
  <c r="D101" i="22"/>
  <c r="D113" i="22" s="1"/>
  <c r="D77" i="22"/>
  <c r="D73" i="22"/>
  <c r="D72" i="22"/>
  <c r="T69" i="22"/>
  <c r="T66" i="22"/>
  <c r="D66" i="22"/>
  <c r="T38" i="22" s="1"/>
  <c r="T65" i="22"/>
  <c r="T64" i="22"/>
  <c r="D63" i="22"/>
  <c r="T35" i="22" s="1"/>
  <c r="T61" i="22"/>
  <c r="D61" i="22"/>
  <c r="D65" i="22" s="1"/>
  <c r="T58" i="22"/>
  <c r="T57" i="22"/>
  <c r="D57" i="22"/>
  <c r="T31" i="22" s="1"/>
  <c r="T56" i="22"/>
  <c r="D55" i="22"/>
  <c r="T53" i="22"/>
  <c r="T50" i="22"/>
  <c r="T49" i="22"/>
  <c r="T48" i="22"/>
  <c r="T45" i="22"/>
  <c r="T44" i="22"/>
  <c r="T43" i="22"/>
  <c r="T40" i="22"/>
  <c r="T39" i="22"/>
  <c r="T37" i="22"/>
  <c r="T34" i="22"/>
  <c r="T33" i="22"/>
  <c r="T32" i="22"/>
  <c r="D32" i="22"/>
  <c r="D33" i="22" s="1"/>
  <c r="T30" i="22"/>
  <c r="T29" i="22"/>
  <c r="D29" i="22"/>
  <c r="D41" i="22" s="1"/>
  <c r="T23" i="22" s="1"/>
  <c r="T27" i="22"/>
  <c r="T26" i="22"/>
  <c r="D25" i="22"/>
  <c r="D24" i="22"/>
  <c r="D23" i="22"/>
  <c r="T22" i="22"/>
  <c r="D22" i="22"/>
  <c r="D21" i="22"/>
  <c r="T20" i="22"/>
  <c r="C18" i="22"/>
  <c r="T17" i="22"/>
  <c r="T16" i="22"/>
  <c r="P6" i="22"/>
  <c r="O6" i="22"/>
  <c r="N6" i="22"/>
  <c r="M6" i="22"/>
  <c r="L6" i="22"/>
  <c r="K6" i="22"/>
  <c r="J6" i="22"/>
  <c r="I6" i="22"/>
  <c r="H6" i="22"/>
  <c r="G6" i="22"/>
  <c r="F6" i="22"/>
  <c r="E6" i="22"/>
  <c r="E7" i="22" s="1"/>
  <c r="P5" i="22"/>
  <c r="O5" i="22"/>
  <c r="N5" i="22"/>
  <c r="M5" i="22"/>
  <c r="L5" i="22"/>
  <c r="K5" i="22"/>
  <c r="J5" i="22"/>
  <c r="I5" i="22"/>
  <c r="H5" i="22"/>
  <c r="G5" i="22"/>
  <c r="F5" i="22"/>
  <c r="E5" i="22"/>
  <c r="I93" i="21"/>
  <c r="G93" i="21"/>
  <c r="I92" i="21"/>
  <c r="K92" i="21" s="1"/>
  <c r="I91" i="21"/>
  <c r="J91" i="21" s="1"/>
  <c r="G91" i="21"/>
  <c r="I90" i="21"/>
  <c r="G90" i="21"/>
  <c r="I89" i="21"/>
  <c r="G89" i="21"/>
  <c r="I88" i="21"/>
  <c r="J88" i="21" s="1"/>
  <c r="I87" i="21"/>
  <c r="K87" i="21" s="1"/>
  <c r="G87" i="21"/>
  <c r="I86" i="21"/>
  <c r="G86" i="21"/>
  <c r="I85" i="21"/>
  <c r="G85" i="21"/>
  <c r="I84" i="21"/>
  <c r="K84" i="21" s="1"/>
  <c r="I83" i="21"/>
  <c r="K83" i="21" s="1"/>
  <c r="G83" i="21"/>
  <c r="K82" i="21"/>
  <c r="I82" i="21"/>
  <c r="J82" i="21" s="1"/>
  <c r="M82" i="21" s="1"/>
  <c r="G82" i="21"/>
  <c r="I81" i="21"/>
  <c r="G81" i="21"/>
  <c r="I80" i="21"/>
  <c r="I79" i="21"/>
  <c r="K79" i="21" s="1"/>
  <c r="G79" i="21"/>
  <c r="I78" i="21"/>
  <c r="G78" i="21"/>
  <c r="I77" i="21"/>
  <c r="K77" i="21" s="1"/>
  <c r="G77" i="21"/>
  <c r="I76" i="21"/>
  <c r="I75" i="21"/>
  <c r="K75" i="21" s="1"/>
  <c r="G75" i="21"/>
  <c r="I74" i="21"/>
  <c r="G74" i="21"/>
  <c r="I73" i="21"/>
  <c r="G73" i="21"/>
  <c r="I72" i="21"/>
  <c r="J72" i="21" s="1"/>
  <c r="I71" i="21"/>
  <c r="J71" i="21" s="1"/>
  <c r="G71" i="21"/>
  <c r="I70" i="21"/>
  <c r="J70" i="21" s="1"/>
  <c r="G70" i="21"/>
  <c r="J69" i="21"/>
  <c r="I69" i="21"/>
  <c r="G69" i="21"/>
  <c r="I68" i="21"/>
  <c r="K68" i="21" s="1"/>
  <c r="I67" i="21"/>
  <c r="J67" i="21" s="1"/>
  <c r="G67" i="21"/>
  <c r="I66" i="21"/>
  <c r="K66" i="21" s="1"/>
  <c r="G66" i="21"/>
  <c r="I65" i="21"/>
  <c r="K65" i="21" s="1"/>
  <c r="G65" i="21"/>
  <c r="I64" i="21"/>
  <c r="I63" i="21"/>
  <c r="K63" i="21" s="1"/>
  <c r="G63" i="21"/>
  <c r="I62" i="21"/>
  <c r="J62" i="21" s="1"/>
  <c r="G62" i="21"/>
  <c r="I61" i="21"/>
  <c r="G61" i="21"/>
  <c r="I60" i="21"/>
  <c r="K60" i="21" s="1"/>
  <c r="I59" i="21"/>
  <c r="K59" i="21" s="1"/>
  <c r="G59" i="21"/>
  <c r="I58" i="21"/>
  <c r="G58" i="21"/>
  <c r="I57" i="21"/>
  <c r="K57" i="21" s="1"/>
  <c r="G57" i="21"/>
  <c r="N56" i="21" a="1"/>
  <c r="N56" i="21" s="1"/>
  <c r="Y56" i="21" s="1"/>
  <c r="I56" i="21"/>
  <c r="G56" i="21"/>
  <c r="I55" i="21"/>
  <c r="J55" i="21" s="1"/>
  <c r="G55" i="21"/>
  <c r="I54" i="21"/>
  <c r="K54" i="21" s="1"/>
  <c r="G54" i="21"/>
  <c r="J53" i="21"/>
  <c r="I53" i="21"/>
  <c r="K53" i="21" s="1"/>
  <c r="G53" i="21"/>
  <c r="N52" i="21" a="1"/>
  <c r="N52" i="21" s="1"/>
  <c r="Y52" i="21" s="1"/>
  <c r="I52" i="21"/>
  <c r="K52" i="21" s="1"/>
  <c r="G52" i="21"/>
  <c r="N51" i="21" a="1"/>
  <c r="N51" i="21" s="1"/>
  <c r="I51" i="21"/>
  <c r="K51" i="21" s="1"/>
  <c r="G51" i="21"/>
  <c r="N50" i="21" a="1"/>
  <c r="N50" i="21" s="1"/>
  <c r="I50" i="21"/>
  <c r="G50" i="21"/>
  <c r="I49" i="21"/>
  <c r="G49" i="21"/>
  <c r="I48" i="21"/>
  <c r="G48" i="21"/>
  <c r="I47" i="21"/>
  <c r="G47" i="21"/>
  <c r="I46" i="21"/>
  <c r="G46" i="21"/>
  <c r="I45" i="21"/>
  <c r="K45" i="21" s="1"/>
  <c r="G45" i="21"/>
  <c r="I44" i="21"/>
  <c r="K44" i="21" s="1"/>
  <c r="G44" i="21"/>
  <c r="I43" i="21"/>
  <c r="K43" i="21" s="1"/>
  <c r="G43" i="21"/>
  <c r="I42" i="21"/>
  <c r="G42" i="21"/>
  <c r="I41" i="21"/>
  <c r="K41" i="21" s="1"/>
  <c r="G41" i="21"/>
  <c r="I40" i="21"/>
  <c r="G40" i="21"/>
  <c r="N39" i="21" a="1"/>
  <c r="N39" i="21" s="1"/>
  <c r="I39" i="21"/>
  <c r="J39" i="21" s="1"/>
  <c r="G39" i="21"/>
  <c r="N38" i="21" a="1"/>
  <c r="N38" i="21" s="1"/>
  <c r="I38" i="21"/>
  <c r="K38" i="21" s="1"/>
  <c r="G38" i="21"/>
  <c r="N37" i="21" a="1"/>
  <c r="N37" i="21" s="1"/>
  <c r="Y37" i="21" s="1"/>
  <c r="I37" i="21"/>
  <c r="J37" i="21" s="1"/>
  <c r="G37" i="21"/>
  <c r="N36" i="21" a="1"/>
  <c r="N36" i="21" s="1"/>
  <c r="I36" i="21"/>
  <c r="G36" i="21"/>
  <c r="N35" i="21" a="1"/>
  <c r="N35" i="21" s="1"/>
  <c r="Y35" i="21" s="1"/>
  <c r="I35" i="21"/>
  <c r="G35" i="21"/>
  <c r="I34" i="21"/>
  <c r="K34" i="21" s="1"/>
  <c r="G34" i="21"/>
  <c r="I33" i="21"/>
  <c r="G33" i="21"/>
  <c r="N31" i="21" a="1"/>
  <c r="N31" i="21" s="1"/>
  <c r="Y31" i="21" s="1"/>
  <c r="I31" i="21"/>
  <c r="G31" i="21"/>
  <c r="N30" i="21" a="1"/>
  <c r="N30" i="21" s="1"/>
  <c r="I30" i="21"/>
  <c r="K30" i="21" s="1"/>
  <c r="G30" i="21"/>
  <c r="N29" i="21" a="1"/>
  <c r="N29" i="21" s="1"/>
  <c r="Y29" i="21" s="1"/>
  <c r="I29" i="21"/>
  <c r="K29" i="21" s="1"/>
  <c r="G29" i="21"/>
  <c r="N28" i="21" a="1"/>
  <c r="N28" i="21" s="1"/>
  <c r="I28" i="21"/>
  <c r="K28" i="21" s="1"/>
  <c r="G28" i="21"/>
  <c r="I27" i="21"/>
  <c r="G27" i="21"/>
  <c r="I26" i="21"/>
  <c r="K26" i="21" s="1"/>
  <c r="G26" i="21"/>
  <c r="I25" i="21"/>
  <c r="K25" i="21" s="1"/>
  <c r="G25" i="21"/>
  <c r="N24" i="21" a="1"/>
  <c r="N24" i="21" s="1"/>
  <c r="I24" i="21"/>
  <c r="G24" i="21"/>
  <c r="N23" i="21" a="1"/>
  <c r="N23" i="21" s="1"/>
  <c r="Y23" i="21" s="1"/>
  <c r="I23" i="21"/>
  <c r="J23" i="21" s="1"/>
  <c r="G23" i="21"/>
  <c r="N22" i="21" a="1"/>
  <c r="N22" i="21" s="1"/>
  <c r="I22" i="21"/>
  <c r="J22" i="21" s="1"/>
  <c r="G22" i="21"/>
  <c r="N21" i="21" a="1"/>
  <c r="N21" i="21" s="1"/>
  <c r="Y21" i="21" s="1"/>
  <c r="K21" i="21"/>
  <c r="I21" i="21"/>
  <c r="J21" i="21" s="1"/>
  <c r="G21" i="21"/>
  <c r="I20" i="21"/>
  <c r="J20" i="21" s="1"/>
  <c r="G20" i="21"/>
  <c r="I19" i="21"/>
  <c r="G19" i="21"/>
  <c r="I18" i="21"/>
  <c r="K18" i="21" s="1"/>
  <c r="G18" i="21"/>
  <c r="I17" i="21"/>
  <c r="K17" i="21" s="1"/>
  <c r="G17" i="21"/>
  <c r="N16" i="21" a="1"/>
  <c r="N16" i="21" s="1"/>
  <c r="Y16" i="21" s="1"/>
  <c r="I16" i="21"/>
  <c r="G16" i="21"/>
  <c r="I15" i="21"/>
  <c r="G15" i="21"/>
  <c r="I14" i="21"/>
  <c r="J14" i="21" s="1"/>
  <c r="G14" i="21"/>
  <c r="N13" i="21" a="1"/>
  <c r="N13" i="21" s="1"/>
  <c r="Y13" i="21" s="1"/>
  <c r="K13" i="21"/>
  <c r="I13" i="21"/>
  <c r="J13" i="21" s="1"/>
  <c r="G13" i="21"/>
  <c r="N12" i="21" a="1"/>
  <c r="N12" i="21" s="1"/>
  <c r="I12" i="21"/>
  <c r="K12" i="21" s="1"/>
  <c r="G12" i="21"/>
  <c r="N11" i="21" a="1"/>
  <c r="N11" i="21" s="1"/>
  <c r="I11" i="21"/>
  <c r="G11" i="21"/>
  <c r="AH10" i="21"/>
  <c r="AG10" i="21"/>
  <c r="AF10" i="21"/>
  <c r="AE10" i="21"/>
  <c r="AD10" i="21"/>
  <c r="AC10" i="21"/>
  <c r="AB10" i="21"/>
  <c r="AA10" i="21"/>
  <c r="Z10" i="21"/>
  <c r="Y10" i="21"/>
  <c r="T4" i="21" a="1"/>
  <c r="T4" i="21" s="1"/>
  <c r="U3" i="21"/>
  <c r="W2" i="21"/>
  <c r="W4" i="21" s="1" a="1"/>
  <c r="W4" i="21" s="1"/>
  <c r="V2" i="21"/>
  <c r="U2" i="21"/>
  <c r="T2" i="21"/>
  <c r="S2" i="21"/>
  <c r="R2" i="21"/>
  <c r="R5" i="21" s="1" a="1"/>
  <c r="R5" i="21" s="1"/>
  <c r="R6" i="21" s="1"/>
  <c r="Q2" i="21"/>
  <c r="P2" i="21"/>
  <c r="O2" i="21"/>
  <c r="O3" i="21" s="1"/>
  <c r="N2" i="21"/>
  <c r="D131" i="18"/>
  <c r="D130" i="18"/>
  <c r="D126" i="18"/>
  <c r="D125" i="18"/>
  <c r="D119" i="18"/>
  <c r="D114" i="18"/>
  <c r="D113" i="18"/>
  <c r="D107" i="18"/>
  <c r="D102" i="18"/>
  <c r="D101" i="18"/>
  <c r="D85" i="18"/>
  <c r="D84" i="18"/>
  <c r="D73" i="18"/>
  <c r="D72" i="18"/>
  <c r="D71" i="18"/>
  <c r="D68" i="18"/>
  <c r="D67" i="18"/>
  <c r="D66" i="18"/>
  <c r="D65" i="18"/>
  <c r="D64" i="18"/>
  <c r="D48" i="18"/>
  <c r="D47" i="18"/>
  <c r="D41" i="18"/>
  <c r="D40" i="18"/>
  <c r="D38" i="18"/>
  <c r="D37" i="18"/>
  <c r="D35" i="18"/>
  <c r="D29" i="18"/>
  <c r="D50" i="18" s="1"/>
  <c r="AB18" i="13"/>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B81" i="13" s="1"/>
  <c r="AB82" i="13" s="1"/>
  <c r="AB83" i="13" s="1"/>
  <c r="AB84" i="13" s="1"/>
  <c r="AB85" i="13" s="1"/>
  <c r="AB86" i="13" s="1"/>
  <c r="AB87" i="13" s="1"/>
  <c r="AB88" i="13" s="1"/>
  <c r="AB89" i="13" s="1"/>
  <c r="AB90" i="13" s="1"/>
  <c r="AB91" i="13" s="1"/>
  <c r="AB92" i="13" s="1"/>
  <c r="AB93" i="13" s="1"/>
  <c r="AB94" i="13" s="1"/>
  <c r="AB95" i="13" s="1"/>
  <c r="AB96" i="13" s="1"/>
  <c r="AB97" i="13" s="1"/>
  <c r="AB98" i="13" s="1"/>
  <c r="AB99" i="13" s="1"/>
  <c r="AB100" i="13" s="1"/>
  <c r="AB101" i="13" s="1"/>
  <c r="AB102" i="13" s="1"/>
  <c r="AB103" i="13" s="1"/>
  <c r="AB104" i="13" s="1"/>
  <c r="AB105" i="13" s="1"/>
  <c r="AB106" i="13" s="1"/>
  <c r="AB107" i="13" s="1"/>
  <c r="AB108" i="13" s="1"/>
  <c r="AB109" i="13" s="1"/>
  <c r="AB110" i="13" s="1"/>
  <c r="AB111" i="13" s="1"/>
  <c r="AB112" i="13" s="1"/>
  <c r="AB113" i="13" s="1"/>
  <c r="AB114" i="13" s="1"/>
  <c r="AB115" i="13" s="1"/>
  <c r="AB116" i="13" s="1"/>
  <c r="AB117" i="13" s="1"/>
  <c r="AB118" i="13" s="1"/>
  <c r="AB119" i="13" s="1"/>
  <c r="AB120" i="13" s="1"/>
  <c r="AB121" i="13" s="1"/>
  <c r="AB122" i="13" s="1"/>
  <c r="AB123" i="13" s="1"/>
  <c r="AB124" i="13" s="1"/>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Q114" i="8"/>
  <c r="Q114" i="8"/>
  <c r="AC114" i="8" s="1"/>
  <c r="AQ109" i="8"/>
  <c r="Q109" i="8"/>
  <c r="AC109" i="8" s="1"/>
  <c r="AQ104" i="8"/>
  <c r="Q104" i="8"/>
  <c r="AC104" i="8" s="1"/>
  <c r="AQ99" i="8"/>
  <c r="Q99" i="8"/>
  <c r="AC99" i="8" s="1"/>
  <c r="AQ94" i="8"/>
  <c r="Q94" i="8"/>
  <c r="AC94" i="8" s="1"/>
  <c r="AQ89" i="8"/>
  <c r="Q89" i="8"/>
  <c r="AC89" i="8" s="1"/>
  <c r="D82" i="22" l="1"/>
  <c r="T51" i="22" s="1"/>
  <c r="D46" i="22"/>
  <c r="D69" i="22"/>
  <c r="T41" i="22" s="1"/>
  <c r="D44" i="22"/>
  <c r="T24" i="22" s="1"/>
  <c r="N18" i="21" s="1" a="1"/>
  <c r="N18" i="21" s="1"/>
  <c r="F7" i="22"/>
  <c r="F8" i="22" s="1"/>
  <c r="G7" i="22"/>
  <c r="G8" i="22" s="1"/>
  <c r="H7" i="22"/>
  <c r="J7" i="22"/>
  <c r="J8" i="22" s="1"/>
  <c r="K7" i="22"/>
  <c r="K8" i="22" s="1"/>
  <c r="L7" i="22"/>
  <c r="L8" i="22" s="1"/>
  <c r="M7" i="22"/>
  <c r="M8" i="22" s="1"/>
  <c r="N7" i="22"/>
  <c r="N8" i="22" s="1"/>
  <c r="O7" i="22"/>
  <c r="O8" i="22" s="1"/>
  <c r="P7" i="22"/>
  <c r="O29" i="21"/>
  <c r="Z29" i="21" s="1"/>
  <c r="K20" i="21"/>
  <c r="J45" i="21"/>
  <c r="L45" i="21" s="1"/>
  <c r="J52" i="21"/>
  <c r="K23" i="21"/>
  <c r="K37" i="21"/>
  <c r="L37" i="21" s="1"/>
  <c r="J43" i="21"/>
  <c r="M43" i="21" s="1"/>
  <c r="K62" i="21"/>
  <c r="M62" i="21" s="1"/>
  <c r="J63" i="21"/>
  <c r="M63" i="21" s="1"/>
  <c r="J30" i="21"/>
  <c r="L30" i="21" s="1"/>
  <c r="J44" i="21"/>
  <c r="M21" i="21"/>
  <c r="M37" i="21"/>
  <c r="J79" i="21"/>
  <c r="M79" i="21" s="1"/>
  <c r="AD28" i="8"/>
  <c r="AD21" i="8"/>
  <c r="AD29" i="8"/>
  <c r="AD26" i="8"/>
  <c r="AD107" i="8"/>
  <c r="AD95" i="8"/>
  <c r="AD96" i="8"/>
  <c r="AD106" i="8"/>
  <c r="AD105" i="8"/>
  <c r="AD84" i="8"/>
  <c r="AD86" i="8"/>
  <c r="AD85" i="8"/>
  <c r="AD33" i="8"/>
  <c r="AD25" i="8"/>
  <c r="AD32" i="8"/>
  <c r="AD24" i="8"/>
  <c r="AD79" i="8"/>
  <c r="AD23" i="8"/>
  <c r="W90" i="6"/>
  <c r="W91" i="6"/>
  <c r="W89" i="6"/>
  <c r="Y42" i="6"/>
  <c r="Y38" i="6"/>
  <c r="W87" i="6"/>
  <c r="Y34" i="6"/>
  <c r="W92" i="6"/>
  <c r="W88" i="6"/>
  <c r="W85" i="6"/>
  <c r="Y43" i="6"/>
  <c r="Y41" i="6"/>
  <c r="Y40" i="6"/>
  <c r="Y37" i="6"/>
  <c r="Y36" i="6"/>
  <c r="Y35" i="6"/>
  <c r="Y33" i="6"/>
  <c r="Y32" i="6"/>
  <c r="Y85" i="6"/>
  <c r="Y91" i="6"/>
  <c r="U26" i="6"/>
  <c r="U97" i="6"/>
  <c r="Y87" i="6"/>
  <c r="U23" i="6"/>
  <c r="U102" i="6"/>
  <c r="U24" i="6"/>
  <c r="Y86" i="6"/>
  <c r="M23" i="21"/>
  <c r="L23" i="21"/>
  <c r="Y32" i="21"/>
  <c r="W32" i="21"/>
  <c r="AH32" i="21" s="1"/>
  <c r="T32" i="21"/>
  <c r="AE32" i="21" s="1"/>
  <c r="U11" i="21"/>
  <c r="AF11" i="21" s="1"/>
  <c r="J29" i="21"/>
  <c r="M29" i="21" s="1"/>
  <c r="L65" i="21"/>
  <c r="K91" i="21"/>
  <c r="M91" i="21" s="1"/>
  <c r="K32" i="21"/>
  <c r="M32" i="21" s="1"/>
  <c r="M13" i="21"/>
  <c r="J38" i="21"/>
  <c r="L38" i="21" s="1"/>
  <c r="J51" i="21"/>
  <c r="M51" i="21" s="1"/>
  <c r="J54" i="21"/>
  <c r="J65" i="21"/>
  <c r="M65" i="21" s="1"/>
  <c r="K67" i="21"/>
  <c r="L67" i="21" s="1"/>
  <c r="J28" i="21"/>
  <c r="L28" i="21" s="1"/>
  <c r="M45" i="21"/>
  <c r="J15" i="21"/>
  <c r="J12" i="21"/>
  <c r="L12" i="21" s="1"/>
  <c r="K15" i="21"/>
  <c r="K31" i="21"/>
  <c r="J59" i="21"/>
  <c r="M59" i="21" s="1"/>
  <c r="J66" i="21"/>
  <c r="J68" i="21"/>
  <c r="K70" i="21"/>
  <c r="L70" i="21" s="1"/>
  <c r="J83" i="21"/>
  <c r="M83" i="21" s="1"/>
  <c r="J31" i="21"/>
  <c r="M31" i="21" s="1"/>
  <c r="M30" i="21"/>
  <c r="L20" i="21"/>
  <c r="L29" i="21"/>
  <c r="P3" i="21"/>
  <c r="O21" i="21"/>
  <c r="Z21" i="21" s="1"/>
  <c r="U24" i="21"/>
  <c r="AF24" i="21" s="1"/>
  <c r="T24" i="21"/>
  <c r="AE24" i="21" s="1"/>
  <c r="W24" i="21"/>
  <c r="AH24" i="21" s="1"/>
  <c r="O24" i="21"/>
  <c r="Z24" i="21" s="1"/>
  <c r="T3" i="21"/>
  <c r="T12" i="21" s="1"/>
  <c r="AE12" i="21" s="1"/>
  <c r="R3" i="21"/>
  <c r="R35" i="21" s="1"/>
  <c r="AC35" i="21" s="1"/>
  <c r="V4" i="21" a="1"/>
  <c r="V4" i="21" s="1"/>
  <c r="V22" i="21" s="1"/>
  <c r="AG22" i="21" s="1"/>
  <c r="V3" i="21"/>
  <c r="Y12" i="21"/>
  <c r="P12" i="21"/>
  <c r="AA12" i="21" s="1"/>
  <c r="O12" i="21"/>
  <c r="Z12" i="21" s="1"/>
  <c r="U12" i="21"/>
  <c r="AF12" i="21" s="1"/>
  <c r="V12" i="21"/>
  <c r="AG12" i="21" s="1"/>
  <c r="T16" i="21"/>
  <c r="AE16" i="21" s="1"/>
  <c r="W16" i="21"/>
  <c r="AH16" i="21" s="1"/>
  <c r="R21" i="21"/>
  <c r="AC21" i="21" s="1"/>
  <c r="P21" i="21"/>
  <c r="AA21" i="21" s="1"/>
  <c r="V24" i="21"/>
  <c r="AG24" i="21" s="1"/>
  <c r="U36" i="21"/>
  <c r="AF36" i="21" s="1"/>
  <c r="Y22" i="21"/>
  <c r="W22" i="21"/>
  <c r="AH22" i="21" s="1"/>
  <c r="Y28" i="21"/>
  <c r="P28" i="21"/>
  <c r="AA28" i="21" s="1"/>
  <c r="O28" i="21"/>
  <c r="Z28" i="21" s="1"/>
  <c r="V28" i="21"/>
  <c r="AG28" i="21" s="1"/>
  <c r="U28" i="21"/>
  <c r="AF28" i="21" s="1"/>
  <c r="R12" i="21"/>
  <c r="AC12" i="21" s="1"/>
  <c r="L21" i="21"/>
  <c r="Y24" i="21"/>
  <c r="M28" i="21"/>
  <c r="S30" i="21"/>
  <c r="AD30" i="21" s="1"/>
  <c r="R30" i="21"/>
  <c r="AC30" i="21" s="1"/>
  <c r="Y30" i="21"/>
  <c r="P30" i="21"/>
  <c r="AA30" i="21" s="1"/>
  <c r="O30" i="21"/>
  <c r="Z30" i="21" s="1"/>
  <c r="U30" i="21"/>
  <c r="AF30" i="21" s="1"/>
  <c r="J49" i="21"/>
  <c r="M49" i="21" s="1"/>
  <c r="K49" i="21"/>
  <c r="W3" i="21"/>
  <c r="W36" i="21" s="1"/>
  <c r="AH36" i="21" s="1"/>
  <c r="Y18" i="21"/>
  <c r="K24" i="21"/>
  <c r="J24" i="21"/>
  <c r="T28" i="21"/>
  <c r="AE28" i="21" s="1"/>
  <c r="V29" i="21"/>
  <c r="AG29" i="21" s="1"/>
  <c r="J35" i="21"/>
  <c r="T37" i="21"/>
  <c r="AE37" i="21" s="1"/>
  <c r="V52" i="21"/>
  <c r="AG52" i="21" s="1"/>
  <c r="V13" i="21"/>
  <c r="AG13" i="21" s="1"/>
  <c r="T30" i="21"/>
  <c r="AE30" i="21" s="1"/>
  <c r="O13" i="21"/>
  <c r="Z13" i="21" s="1"/>
  <c r="R18" i="21"/>
  <c r="AC18" i="21" s="1"/>
  <c r="M20" i="21"/>
  <c r="T22" i="21"/>
  <c r="AE22" i="21" s="1"/>
  <c r="R28" i="21"/>
  <c r="AC28" i="21" s="1"/>
  <c r="V30" i="21"/>
  <c r="AG30" i="21" s="1"/>
  <c r="K33" i="21"/>
  <c r="J33" i="21"/>
  <c r="M33" i="21" s="1"/>
  <c r="M38" i="21"/>
  <c r="S3" i="21"/>
  <c r="S12" i="21" s="1"/>
  <c r="AD12" i="21" s="1"/>
  <c r="T11" i="21"/>
  <c r="AE11" i="21" s="1"/>
  <c r="P11" i="21"/>
  <c r="AA11" i="21" s="1"/>
  <c r="S11" i="21"/>
  <c r="AD11" i="21" s="1"/>
  <c r="R11" i="21"/>
  <c r="AC11" i="21" s="1"/>
  <c r="Y11" i="21"/>
  <c r="V11" i="21"/>
  <c r="AG11" i="21" s="1"/>
  <c r="T13" i="21"/>
  <c r="AE13" i="21" s="1"/>
  <c r="S13" i="21"/>
  <c r="AD13" i="21" s="1"/>
  <c r="R13" i="21"/>
  <c r="AC13" i="21" s="1"/>
  <c r="P13" i="21"/>
  <c r="AA13" i="21" s="1"/>
  <c r="W13" i="21"/>
  <c r="AH13" i="21" s="1"/>
  <c r="V21" i="21"/>
  <c r="AG21" i="21" s="1"/>
  <c r="J26" i="21"/>
  <c r="M26" i="21" s="1"/>
  <c r="K35" i="21"/>
  <c r="T51" i="21"/>
  <c r="P56" i="21"/>
  <c r="AA56" i="21" s="1"/>
  <c r="K16" i="21"/>
  <c r="J16" i="21"/>
  <c r="S31" i="21"/>
  <c r="AD31" i="21" s="1"/>
  <c r="W35" i="21"/>
  <c r="AH35" i="21" s="1"/>
  <c r="O35" i="21"/>
  <c r="Z35" i="21" s="1"/>
  <c r="V35" i="21"/>
  <c r="AG35" i="21" s="1"/>
  <c r="U35" i="21"/>
  <c r="AF35" i="21" s="1"/>
  <c r="T35" i="21"/>
  <c r="AE35" i="21" s="1"/>
  <c r="S35" i="21"/>
  <c r="AD35" i="21" s="1"/>
  <c r="T36" i="21"/>
  <c r="AE36" i="21" s="1"/>
  <c r="S36" i="21"/>
  <c r="AD36" i="21" s="1"/>
  <c r="R36" i="21"/>
  <c r="AC36" i="21" s="1"/>
  <c r="Q36" i="21"/>
  <c r="AB36" i="21" s="1"/>
  <c r="Y36" i="21"/>
  <c r="P36" i="21"/>
  <c r="AA36" i="21" s="1"/>
  <c r="V36" i="21"/>
  <c r="AG36" i="21" s="1"/>
  <c r="R39" i="21"/>
  <c r="AC39" i="21" s="1"/>
  <c r="Y39" i="21"/>
  <c r="O11" i="21"/>
  <c r="Z11" i="21" s="1"/>
  <c r="U4" i="21" a="1"/>
  <c r="U4" i="21" s="1"/>
  <c r="U16" i="21" s="1"/>
  <c r="AF16" i="21" s="1"/>
  <c r="J18" i="21"/>
  <c r="L18" i="21" s="1"/>
  <c r="S23" i="21"/>
  <c r="AD23" i="21" s="1"/>
  <c r="P24" i="21"/>
  <c r="AA24" i="21" s="1"/>
  <c r="T29" i="21"/>
  <c r="AE29" i="21" s="1"/>
  <c r="R29" i="21"/>
  <c r="AC29" i="21" s="1"/>
  <c r="P29" i="21"/>
  <c r="AA29" i="21" s="1"/>
  <c r="W29" i="21"/>
  <c r="AH29" i="21" s="1"/>
  <c r="P35" i="21"/>
  <c r="AA35" i="21" s="1"/>
  <c r="O36" i="21"/>
  <c r="Z36" i="21" s="1"/>
  <c r="J42" i="21"/>
  <c r="K42" i="21"/>
  <c r="O52" i="21"/>
  <c r="Z52" i="21" s="1"/>
  <c r="K74" i="21"/>
  <c r="J74" i="21"/>
  <c r="R23" i="21"/>
  <c r="AC23" i="21" s="1"/>
  <c r="R31" i="21"/>
  <c r="AC31" i="21" s="1"/>
  <c r="L43" i="21"/>
  <c r="S56" i="21"/>
  <c r="T23" i="21"/>
  <c r="AE23" i="21" s="1"/>
  <c r="T31" i="21"/>
  <c r="AE31" i="21" s="1"/>
  <c r="T50" i="21"/>
  <c r="S50" i="21"/>
  <c r="R50" i="21"/>
  <c r="Y50" i="21"/>
  <c r="P50" i="21"/>
  <c r="AA50" i="21" s="1"/>
  <c r="V50" i="21"/>
  <c r="AG50" i="21" s="1"/>
  <c r="Q3" i="21"/>
  <c r="Q23" i="21" s="1"/>
  <c r="AB23" i="21" s="1"/>
  <c r="J11" i="21"/>
  <c r="L13" i="21"/>
  <c r="J19" i="21"/>
  <c r="L19" i="21" s="1"/>
  <c r="U23" i="21"/>
  <c r="AF23" i="21" s="1"/>
  <c r="J27" i="21"/>
  <c r="S29" i="21"/>
  <c r="AD29" i="21" s="1"/>
  <c r="U31" i="21"/>
  <c r="AF31" i="21" s="1"/>
  <c r="J36" i="21"/>
  <c r="W37" i="21"/>
  <c r="AH37" i="21" s="1"/>
  <c r="R38" i="21"/>
  <c r="AC38" i="21" s="1"/>
  <c r="Y38" i="21"/>
  <c r="K39" i="21"/>
  <c r="M39" i="21" s="1"/>
  <c r="L44" i="21"/>
  <c r="K47" i="21"/>
  <c r="J47" i="21"/>
  <c r="O50" i="21"/>
  <c r="Z50" i="21" s="1"/>
  <c r="S5" i="21" a="1"/>
  <c r="S5" i="21" s="1"/>
  <c r="S6" i="21" s="1"/>
  <c r="K19" i="21"/>
  <c r="V23" i="21"/>
  <c r="AG23" i="21" s="1"/>
  <c r="K27" i="21"/>
  <c r="L27" i="21" s="1"/>
  <c r="V31" i="21"/>
  <c r="AG31" i="21" s="1"/>
  <c r="K36" i="21"/>
  <c r="K46" i="21"/>
  <c r="U50" i="21"/>
  <c r="M52" i="21"/>
  <c r="L52" i="21"/>
  <c r="K11" i="21"/>
  <c r="U13" i="21"/>
  <c r="AF13" i="21" s="1"/>
  <c r="K14" i="21"/>
  <c r="M14" i="21" s="1"/>
  <c r="J17" i="21"/>
  <c r="L17" i="21" s="1"/>
  <c r="U21" i="21"/>
  <c r="AF21" i="21" s="1"/>
  <c r="K22" i="21"/>
  <c r="M22" i="21" s="1"/>
  <c r="O23" i="21"/>
  <c r="Z23" i="21" s="1"/>
  <c r="W23" i="21"/>
  <c r="AH23" i="21" s="1"/>
  <c r="J25" i="21"/>
  <c r="L25" i="21" s="1"/>
  <c r="U29" i="21"/>
  <c r="AF29" i="21" s="1"/>
  <c r="O31" i="21"/>
  <c r="Z31" i="21" s="1"/>
  <c r="W31" i="21"/>
  <c r="AH31" i="21" s="1"/>
  <c r="J34" i="21"/>
  <c r="L34" i="21" s="1"/>
  <c r="L39" i="21"/>
  <c r="J40" i="21"/>
  <c r="M44" i="21"/>
  <c r="J46" i="21"/>
  <c r="W50" i="21"/>
  <c r="Y51" i="21"/>
  <c r="W51" i="21"/>
  <c r="J61" i="21"/>
  <c r="K61" i="21"/>
  <c r="P23" i="21"/>
  <c r="AA23" i="21" s="1"/>
  <c r="P31" i="21"/>
  <c r="AA31" i="21" s="1"/>
  <c r="K40" i="21"/>
  <c r="M40" i="21" s="1"/>
  <c r="J41" i="21"/>
  <c r="L41" i="21" s="1"/>
  <c r="K48" i="21"/>
  <c r="J48" i="21"/>
  <c r="M53" i="21"/>
  <c r="L53" i="21"/>
  <c r="P52" i="21"/>
  <c r="AA52" i="21" s="1"/>
  <c r="K55" i="21"/>
  <c r="L55" i="21" s="1"/>
  <c r="M55" i="21"/>
  <c r="R56" i="21"/>
  <c r="R52" i="21"/>
  <c r="J56" i="21"/>
  <c r="U56" i="21"/>
  <c r="L63" i="21"/>
  <c r="J50" i="21"/>
  <c r="M50" i="21" s="1"/>
  <c r="S52" i="21"/>
  <c r="K56" i="21"/>
  <c r="V56" i="21"/>
  <c r="AG56" i="21" s="1"/>
  <c r="J57" i="21"/>
  <c r="L57" i="21" s="1"/>
  <c r="M70" i="21"/>
  <c r="K50" i="21"/>
  <c r="T52" i="21"/>
  <c r="J58" i="21"/>
  <c r="J64" i="21"/>
  <c r="J73" i="21"/>
  <c r="K73" i="21"/>
  <c r="J76" i="21"/>
  <c r="K76" i="21"/>
  <c r="K58" i="21"/>
  <c r="L59" i="21"/>
  <c r="K64" i="21"/>
  <c r="L64" i="21" s="1"/>
  <c r="U52" i="21"/>
  <c r="W52" i="21"/>
  <c r="W56" i="21"/>
  <c r="O56" i="21"/>
  <c r="Z56" i="21" s="1"/>
  <c r="T56" i="21"/>
  <c r="Q56" i="21"/>
  <c r="J60" i="21"/>
  <c r="M60" i="21" s="1"/>
  <c r="M64" i="21"/>
  <c r="M71" i="21"/>
  <c r="K71" i="21"/>
  <c r="L71" i="21" s="1"/>
  <c r="J89" i="21"/>
  <c r="K89" i="21"/>
  <c r="M66" i="21"/>
  <c r="K72" i="21"/>
  <c r="L72" i="21" s="1"/>
  <c r="J84" i="21"/>
  <c r="L84" i="21" s="1"/>
  <c r="C15" i="23"/>
  <c r="C17" i="23"/>
  <c r="J78" i="21"/>
  <c r="J85" i="21"/>
  <c r="K85" i="21"/>
  <c r="L66" i="21"/>
  <c r="K69" i="21"/>
  <c r="L69" i="21" s="1"/>
  <c r="M69" i="21"/>
  <c r="K78" i="21"/>
  <c r="L78" i="21" s="1"/>
  <c r="K86" i="21"/>
  <c r="J86" i="21"/>
  <c r="K80" i="21"/>
  <c r="J80" i="21"/>
  <c r="J81" i="21"/>
  <c r="J75" i="21"/>
  <c r="M75" i="21" s="1"/>
  <c r="L75" i="21"/>
  <c r="J77" i="21"/>
  <c r="L77" i="21" s="1"/>
  <c r="L79" i="21"/>
  <c r="K81" i="21"/>
  <c r="L82" i="21"/>
  <c r="AW12" i="23"/>
  <c r="AO12" i="23"/>
  <c r="AG12" i="23"/>
  <c r="I12" i="23"/>
  <c r="AV12" i="23"/>
  <c r="AN12" i="23"/>
  <c r="AF12" i="23"/>
  <c r="AL12" i="23"/>
  <c r="J87" i="21"/>
  <c r="L87" i="21" s="1"/>
  <c r="J92" i="21"/>
  <c r="M92" i="21" s="1"/>
  <c r="D88" i="22"/>
  <c r="T46" i="22"/>
  <c r="D85" i="22"/>
  <c r="T54" i="22" s="1"/>
  <c r="D95" i="22"/>
  <c r="D78" i="22"/>
  <c r="T47" i="22" s="1"/>
  <c r="N58" i="21" s="1" a="1"/>
  <c r="N58" i="21" s="1"/>
  <c r="D93" i="22"/>
  <c r="D83" i="22"/>
  <c r="T52" i="22" s="1"/>
  <c r="AS12" i="23"/>
  <c r="U11" i="23"/>
  <c r="M11" i="23"/>
  <c r="T11" i="23"/>
  <c r="Q5" i="21" s="1" a="1"/>
  <c r="Q5" i="21" s="1"/>
  <c r="L11" i="23"/>
  <c r="S11" i="23"/>
  <c r="K11" i="23"/>
  <c r="R11" i="23"/>
  <c r="J11" i="23"/>
  <c r="O5" i="21" s="1" a="1"/>
  <c r="O5" i="21" s="1"/>
  <c r="Q11" i="23"/>
  <c r="P11" i="23"/>
  <c r="O11" i="23"/>
  <c r="P5" i="21" s="1" a="1"/>
  <c r="P5" i="21" s="1"/>
  <c r="AL13" i="23"/>
  <c r="U12" i="23"/>
  <c r="M12" i="23"/>
  <c r="T12" i="23"/>
  <c r="L12" i="23"/>
  <c r="S12" i="23"/>
  <c r="K12" i="23"/>
  <c r="R12" i="23"/>
  <c r="J12" i="23"/>
  <c r="Q12" i="23"/>
  <c r="P12" i="23"/>
  <c r="O12" i="23"/>
  <c r="G12" i="23"/>
  <c r="N12" i="23"/>
  <c r="K88" i="21"/>
  <c r="M88" i="21" s="1"/>
  <c r="J90" i="21"/>
  <c r="D35" i="22"/>
  <c r="T19" i="22" s="1"/>
  <c r="N15" i="21" s="1" a="1"/>
  <c r="N15" i="21" s="1"/>
  <c r="T18" i="22"/>
  <c r="N14" i="21" s="1" a="1"/>
  <c r="N14" i="21" s="1"/>
  <c r="D125" i="22"/>
  <c r="T80" i="22" s="1"/>
  <c r="T72" i="22"/>
  <c r="V12" i="23"/>
  <c r="AW13" i="23"/>
  <c r="AO13" i="23"/>
  <c r="AG13" i="23"/>
  <c r="I13" i="23"/>
  <c r="K90" i="21"/>
  <c r="M90" i="21" s="1"/>
  <c r="H8" i="22"/>
  <c r="P8" i="22"/>
  <c r="D126" i="22"/>
  <c r="T81" i="22" s="1"/>
  <c r="T73" i="22"/>
  <c r="AS11" i="23"/>
  <c r="V5" i="21" s="1" a="1"/>
  <c r="V5" i="21" s="1"/>
  <c r="E8" i="22"/>
  <c r="D127" i="22"/>
  <c r="T82" i="22" s="1"/>
  <c r="T74" i="22"/>
  <c r="AW11" i="23"/>
  <c r="AO11" i="23"/>
  <c r="AG11" i="23"/>
  <c r="I11" i="23"/>
  <c r="AV11" i="23"/>
  <c r="AN11" i="23"/>
  <c r="U5" i="21" s="1" a="1"/>
  <c r="U5" i="21" s="1"/>
  <c r="U6" i="21" s="1"/>
  <c r="AF11" i="23"/>
  <c r="AT11" i="23"/>
  <c r="D38" i="22"/>
  <c r="T21" i="22" s="1"/>
  <c r="N17" i="21" s="1" a="1"/>
  <c r="N17" i="21" s="1"/>
  <c r="D50" i="22"/>
  <c r="T28" i="22" s="1"/>
  <c r="N20" i="21" s="1" a="1"/>
  <c r="N20" i="21" s="1"/>
  <c r="T77" i="22"/>
  <c r="G11" i="23"/>
  <c r="W11" i="23"/>
  <c r="AE11" i="23"/>
  <c r="AM11" i="23"/>
  <c r="AU11" i="23"/>
  <c r="W12" i="23"/>
  <c r="AE12" i="23"/>
  <c r="AM12" i="23"/>
  <c r="AU12" i="23"/>
  <c r="W13" i="23"/>
  <c r="AE13" i="23"/>
  <c r="AM13" i="23"/>
  <c r="AU13" i="23"/>
  <c r="AB17" i="23"/>
  <c r="AJ17" i="23"/>
  <c r="AR17" i="23"/>
  <c r="AB18" i="23"/>
  <c r="AJ18" i="23"/>
  <c r="AR18" i="23"/>
  <c r="AB19" i="23"/>
  <c r="AJ19" i="23"/>
  <c r="AR19" i="23"/>
  <c r="I7" i="22"/>
  <c r="X13" i="23"/>
  <c r="AF13" i="23"/>
  <c r="AN13" i="23"/>
  <c r="AV13" i="23"/>
  <c r="AC17" i="23"/>
  <c r="AK17" i="23"/>
  <c r="AS17" i="23"/>
  <c r="AC18" i="23"/>
  <c r="AK18" i="23"/>
  <c r="AS18" i="23"/>
  <c r="AC19" i="23"/>
  <c r="AK19" i="23"/>
  <c r="AS19" i="23"/>
  <c r="AD17" i="23"/>
  <c r="S4" i="21" s="1" a="1"/>
  <c r="S4" i="21" s="1"/>
  <c r="S37" i="21" s="1"/>
  <c r="AD37" i="21" s="1"/>
  <c r="AL17" i="23"/>
  <c r="AT17" i="23"/>
  <c r="AD18" i="23"/>
  <c r="AL18" i="23"/>
  <c r="AT18" i="23"/>
  <c r="AD19" i="23"/>
  <c r="AL19" i="23"/>
  <c r="AT19" i="23"/>
  <c r="D64" i="22"/>
  <c r="T36" i="22" s="1"/>
  <c r="C10" i="23"/>
  <c r="C13" i="23" s="1"/>
  <c r="Z11" i="23"/>
  <c r="AH11" i="23"/>
  <c r="AP11" i="23"/>
  <c r="AX11" i="23"/>
  <c r="W5" i="21" s="1" a="1"/>
  <c r="W5" i="21" s="1"/>
  <c r="Z12" i="23"/>
  <c r="AH12" i="23"/>
  <c r="AP12" i="23"/>
  <c r="AX12" i="23"/>
  <c r="Z13" i="23"/>
  <c r="AH13" i="23"/>
  <c r="AP13" i="23"/>
  <c r="AX13" i="23"/>
  <c r="G17" i="23"/>
  <c r="W17" i="23"/>
  <c r="AE17" i="23"/>
  <c r="AM17" i="23"/>
  <c r="AU17" i="23"/>
  <c r="W18" i="23"/>
  <c r="AE18" i="23"/>
  <c r="AM18" i="23"/>
  <c r="AU18" i="23"/>
  <c r="W19" i="23"/>
  <c r="AE19" i="23"/>
  <c r="AM19" i="23"/>
  <c r="AU19" i="23"/>
  <c r="J93" i="21"/>
  <c r="AA11" i="23"/>
  <c r="AI11" i="23"/>
  <c r="T5" i="21" s="1" a="1"/>
  <c r="T5" i="21" s="1"/>
  <c r="T6" i="21" s="1"/>
  <c r="AQ11" i="23"/>
  <c r="AA12" i="23"/>
  <c r="AI12" i="23"/>
  <c r="AQ12" i="23"/>
  <c r="AA13" i="23"/>
  <c r="AI13" i="23"/>
  <c r="AQ13" i="23"/>
  <c r="H17" i="23"/>
  <c r="X17" i="23"/>
  <c r="AF17" i="23"/>
  <c r="AN17" i="23"/>
  <c r="AV17" i="23"/>
  <c r="H18" i="23"/>
  <c r="X18" i="23"/>
  <c r="AF18" i="23"/>
  <c r="AN18" i="23"/>
  <c r="AV18" i="23"/>
  <c r="H19" i="23"/>
  <c r="X19" i="23"/>
  <c r="AF19" i="23"/>
  <c r="AN19" i="23"/>
  <c r="AV19" i="23"/>
  <c r="K93" i="21"/>
  <c r="AB11" i="23"/>
  <c r="AJ11" i="23"/>
  <c r="AR11" i="23"/>
  <c r="AB12" i="23"/>
  <c r="AJ12" i="23"/>
  <c r="AR12" i="23"/>
  <c r="AB13" i="23"/>
  <c r="AJ13" i="23"/>
  <c r="AR13" i="23"/>
  <c r="Y17" i="23"/>
  <c r="R4" i="21" s="1" a="1"/>
  <c r="R4" i="21" s="1"/>
  <c r="R51" i="21" s="1"/>
  <c r="AG17" i="23"/>
  <c r="AO17" i="23"/>
  <c r="AW17" i="23"/>
  <c r="Y18" i="23"/>
  <c r="AG18" i="23"/>
  <c r="AO18" i="23"/>
  <c r="AW18" i="23"/>
  <c r="Y19" i="23"/>
  <c r="AG19" i="23"/>
  <c r="AO19" i="23"/>
  <c r="AW19" i="23"/>
  <c r="AK11" i="23"/>
  <c r="AK12" i="23"/>
  <c r="AK13" i="23"/>
  <c r="AH17" i="23"/>
  <c r="AP17" i="23"/>
  <c r="AH18" i="23"/>
  <c r="AP18" i="23"/>
  <c r="AH19" i="23"/>
  <c r="AP19" i="23"/>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D24" i="18"/>
  <c r="BA64" i="20" a="1"/>
  <c r="BA65" i="20" a="1"/>
  <c r="N54" i="21" l="1" a="1"/>
  <c r="N54" i="21" s="1"/>
  <c r="N33" i="21" a="1"/>
  <c r="N33" i="21" s="1"/>
  <c r="N26" i="21" a="1"/>
  <c r="N26" i="21" s="1"/>
  <c r="D70" i="22"/>
  <c r="T42" i="22" s="1"/>
  <c r="T25" i="22"/>
  <c r="N19" i="21" s="1" a="1"/>
  <c r="N19" i="21" s="1"/>
  <c r="N67" i="21" a="1"/>
  <c r="N67" i="21" s="1"/>
  <c r="N63" i="21" a="1"/>
  <c r="N63" i="21" s="1"/>
  <c r="N59" i="21" a="1"/>
  <c r="N59" i="21" s="1"/>
  <c r="I8" i="22"/>
  <c r="E10" i="22"/>
  <c r="L58" i="21"/>
  <c r="L42" i="21"/>
  <c r="L46" i="21"/>
  <c r="L36" i="21"/>
  <c r="L73" i="21"/>
  <c r="L62" i="21"/>
  <c r="M61" i="21"/>
  <c r="L85" i="21"/>
  <c r="L50" i="21"/>
  <c r="L11" i="21"/>
  <c r="M34" i="21"/>
  <c r="L26" i="21"/>
  <c r="L81" i="21"/>
  <c r="M86" i="21"/>
  <c r="L89" i="21"/>
  <c r="L49" i="21"/>
  <c r="L83" i="21"/>
  <c r="M35" i="21"/>
  <c r="L93" i="21"/>
  <c r="L90" i="21"/>
  <c r="M12" i="21"/>
  <c r="M84" i="21"/>
  <c r="M48" i="21"/>
  <c r="M24" i="21"/>
  <c r="AD94" i="8"/>
  <c r="AD89" i="8"/>
  <c r="AD99" i="8"/>
  <c r="AD104" i="8"/>
  <c r="AD109" i="8"/>
  <c r="U32" i="21"/>
  <c r="AF32" i="21" s="1"/>
  <c r="V37" i="21"/>
  <c r="AG37" i="21" s="1"/>
  <c r="AH56" i="21"/>
  <c r="AD50" i="21"/>
  <c r="AH52" i="21"/>
  <c r="AH51" i="21"/>
  <c r="AE50" i="21"/>
  <c r="AF52" i="21"/>
  <c r="AC52" i="21"/>
  <c r="AF50" i="21"/>
  <c r="V32" i="21"/>
  <c r="AG32" i="21" s="1"/>
  <c r="AB56" i="21"/>
  <c r="AD56" i="21"/>
  <c r="AC56" i="21"/>
  <c r="AE56" i="21"/>
  <c r="AE52" i="21"/>
  <c r="AH50" i="21"/>
  <c r="AE51" i="21"/>
  <c r="AD52" i="21"/>
  <c r="AC51" i="21"/>
  <c r="AF56" i="21"/>
  <c r="AC50" i="21"/>
  <c r="L32" i="21"/>
  <c r="M57" i="21"/>
  <c r="M76" i="21"/>
  <c r="M11" i="21"/>
  <c r="S51" i="21"/>
  <c r="M80" i="21"/>
  <c r="M67" i="21"/>
  <c r="L61" i="21"/>
  <c r="M46" i="21"/>
  <c r="L47" i="21"/>
  <c r="M36" i="21"/>
  <c r="M74" i="21"/>
  <c r="S32" i="21"/>
  <c r="AD32" i="21" s="1"/>
  <c r="M87" i="21"/>
  <c r="M85" i="21"/>
  <c r="M27" i="21"/>
  <c r="W28" i="21"/>
  <c r="AH28" i="21" s="1"/>
  <c r="L51" i="21"/>
  <c r="L86" i="21"/>
  <c r="Q50" i="21"/>
  <c r="T21" i="21"/>
  <c r="AE21" i="21" s="1"/>
  <c r="M54" i="21"/>
  <c r="L54" i="21"/>
  <c r="L88" i="21"/>
  <c r="L91" i="21"/>
  <c r="M19" i="21"/>
  <c r="M68" i="21"/>
  <c r="L68" i="21"/>
  <c r="L31" i="21"/>
  <c r="Q27" i="13"/>
  <c r="P27" i="13"/>
  <c r="L35" i="21"/>
  <c r="M89" i="21"/>
  <c r="M16" i="21"/>
  <c r="M15" i="21"/>
  <c r="R32" i="21"/>
  <c r="AC32" i="21" s="1"/>
  <c r="L15" i="21"/>
  <c r="V6" i="21"/>
  <c r="V18" i="21"/>
  <c r="AG18" i="21" s="1"/>
  <c r="V26" i="21"/>
  <c r="AG26" i="21" s="1"/>
  <c r="V33" i="21"/>
  <c r="AG33" i="21" s="1"/>
  <c r="V63" i="21"/>
  <c r="AG63" i="21" s="1"/>
  <c r="V54" i="21"/>
  <c r="AG54" i="21" s="1"/>
  <c r="V59" i="21"/>
  <c r="AG59" i="21" s="1"/>
  <c r="V38" i="21"/>
  <c r="AG38" i="21" s="1"/>
  <c r="V67" i="21"/>
  <c r="AG67" i="21" s="1"/>
  <c r="P6" i="21"/>
  <c r="P26" i="21"/>
  <c r="AA26" i="21" s="1"/>
  <c r="P59" i="21"/>
  <c r="AA59" i="21" s="1"/>
  <c r="P38" i="21"/>
  <c r="AA38" i="21" s="1"/>
  <c r="P33" i="21"/>
  <c r="AA33" i="21" s="1"/>
  <c r="P67" i="21"/>
  <c r="AA67" i="21" s="1"/>
  <c r="P54" i="21"/>
  <c r="AA54" i="21" s="1"/>
  <c r="P63" i="21"/>
  <c r="AA63" i="21" s="1"/>
  <c r="P18" i="21"/>
  <c r="AA18" i="21" s="1"/>
  <c r="W6" i="21"/>
  <c r="W38" i="21"/>
  <c r="AH38" i="21" s="1"/>
  <c r="W59" i="21"/>
  <c r="W63" i="21"/>
  <c r="W54" i="21"/>
  <c r="W33" i="21"/>
  <c r="AH33" i="21" s="1"/>
  <c r="W26" i="21"/>
  <c r="AH26" i="21" s="1"/>
  <c r="W67" i="21"/>
  <c r="W18" i="21"/>
  <c r="AH18" i="21" s="1"/>
  <c r="O6" i="21"/>
  <c r="O33" i="21"/>
  <c r="Z33" i="21" s="1"/>
  <c r="O26" i="21"/>
  <c r="Z26" i="21" s="1"/>
  <c r="O67" i="21"/>
  <c r="Z67" i="21" s="1"/>
  <c r="O54" i="21"/>
  <c r="Z54" i="21" s="1"/>
  <c r="O18" i="21"/>
  <c r="Z18" i="21" s="1"/>
  <c r="O59" i="21"/>
  <c r="Z59" i="21" s="1"/>
  <c r="O63" i="21"/>
  <c r="Z63" i="21" s="1"/>
  <c r="O38" i="21"/>
  <c r="Z38" i="21" s="1"/>
  <c r="Q6" i="21"/>
  <c r="Q63" i="21"/>
  <c r="Q54" i="21"/>
  <c r="Q59" i="21"/>
  <c r="Q18" i="21"/>
  <c r="AB18" i="21" s="1"/>
  <c r="Q38" i="21"/>
  <c r="AB38" i="21" s="1"/>
  <c r="Q26" i="21"/>
  <c r="AB26" i="21" s="1"/>
  <c r="Q33" i="21"/>
  <c r="AB33" i="21" s="1"/>
  <c r="Q67" i="21"/>
  <c r="D100" i="22"/>
  <c r="D92" i="22"/>
  <c r="T59" i="22" s="1"/>
  <c r="T55" i="22"/>
  <c r="L80" i="21"/>
  <c r="M81" i="21"/>
  <c r="M73" i="21"/>
  <c r="M41" i="21"/>
  <c r="S67" i="21"/>
  <c r="U51" i="21"/>
  <c r="L74" i="21"/>
  <c r="L22" i="21"/>
  <c r="Q11" i="21"/>
  <c r="AB11" i="21" s="1"/>
  <c r="U28" i="13" s="1"/>
  <c r="R37" i="21"/>
  <c r="AC37" i="21" s="1"/>
  <c r="L60" i="21"/>
  <c r="S19" i="21"/>
  <c r="AD19" i="21" s="1"/>
  <c r="W21" i="21"/>
  <c r="AH21" i="21" s="1"/>
  <c r="Q24" i="21"/>
  <c r="AB24" i="21" s="1"/>
  <c r="V16" i="21"/>
  <c r="AG16" i="21" s="1"/>
  <c r="S14" i="21"/>
  <c r="AD14" i="21" s="1"/>
  <c r="W14" i="21"/>
  <c r="AH14" i="21" s="1"/>
  <c r="R14" i="21"/>
  <c r="AC14" i="21" s="1"/>
  <c r="Y14" i="21"/>
  <c r="U14" i="21"/>
  <c r="AF14" i="21" s="1"/>
  <c r="V14" i="21"/>
  <c r="AG14" i="21" s="1"/>
  <c r="T14" i="21"/>
  <c r="AE14" i="21" s="1"/>
  <c r="M72" i="21"/>
  <c r="L56" i="21"/>
  <c r="S63" i="21"/>
  <c r="V51" i="21"/>
  <c r="AG51" i="21" s="1"/>
  <c r="S59" i="21"/>
  <c r="M25" i="21"/>
  <c r="U19" i="21"/>
  <c r="AF19" i="21" s="1"/>
  <c r="Q13" i="21"/>
  <c r="AB13" i="21" s="1"/>
  <c r="T19" i="21"/>
  <c r="AE19" i="21" s="1"/>
  <c r="R22" i="21"/>
  <c r="AC22" i="21" s="1"/>
  <c r="R16" i="21"/>
  <c r="AC16" i="21" s="1"/>
  <c r="W12" i="21"/>
  <c r="AH12" i="21" s="1"/>
  <c r="R24" i="21"/>
  <c r="AC24" i="21" s="1"/>
  <c r="U13" i="23"/>
  <c r="M13" i="23"/>
  <c r="T13" i="23"/>
  <c r="L13" i="23"/>
  <c r="S13" i="23"/>
  <c r="K13" i="23"/>
  <c r="R13" i="23"/>
  <c r="J13" i="23"/>
  <c r="Q13" i="23"/>
  <c r="P13" i="23"/>
  <c r="O13" i="23"/>
  <c r="G13" i="23"/>
  <c r="N13" i="23"/>
  <c r="V13" i="23"/>
  <c r="Q20" i="21"/>
  <c r="AB20" i="21" s="1"/>
  <c r="Y20" i="21"/>
  <c r="P20" i="21"/>
  <c r="AA20" i="21" s="1"/>
  <c r="W20" i="21"/>
  <c r="AH20" i="21" s="1"/>
  <c r="O20" i="21"/>
  <c r="Z20" i="21" s="1"/>
  <c r="V20" i="21"/>
  <c r="AG20" i="21" s="1"/>
  <c r="U20" i="21"/>
  <c r="AF20" i="21" s="1"/>
  <c r="S20" i="21"/>
  <c r="AD20" i="21" s="1"/>
  <c r="T20" i="21"/>
  <c r="AE20" i="21" s="1"/>
  <c r="R20" i="21"/>
  <c r="AC20" i="21" s="1"/>
  <c r="Y15" i="21"/>
  <c r="W15" i="21"/>
  <c r="AH15" i="21" s="1"/>
  <c r="V15" i="21"/>
  <c r="AG15" i="21" s="1"/>
  <c r="T15" i="21"/>
  <c r="AE15" i="21" s="1"/>
  <c r="U15" i="21"/>
  <c r="AF15" i="21" s="1"/>
  <c r="R15" i="21"/>
  <c r="AC15" i="21" s="1"/>
  <c r="S15" i="21"/>
  <c r="AD15" i="21" s="1"/>
  <c r="N68" i="21" a="1"/>
  <c r="N68" i="21" s="1"/>
  <c r="N64" i="21" a="1"/>
  <c r="N64" i="21" s="1"/>
  <c r="N60" i="21" a="1"/>
  <c r="N60" i="21" s="1"/>
  <c r="L92" i="21"/>
  <c r="M77" i="21"/>
  <c r="S54" i="21"/>
  <c r="M56" i="21"/>
  <c r="U38" i="21"/>
  <c r="AF38" i="21" s="1"/>
  <c r="S26" i="21"/>
  <c r="AD26" i="21" s="1"/>
  <c r="Q21" i="21"/>
  <c r="AB21" i="21" s="1"/>
  <c r="T39" i="21"/>
  <c r="AE39" i="21" s="1"/>
  <c r="Q52" i="21"/>
  <c r="S33" i="21"/>
  <c r="AD33" i="21" s="1"/>
  <c r="W30" i="21"/>
  <c r="AH30" i="21" s="1"/>
  <c r="Q28" i="21"/>
  <c r="AB28" i="21" s="1"/>
  <c r="S22" i="21"/>
  <c r="AD22" i="21" s="1"/>
  <c r="S16" i="21"/>
  <c r="AD16" i="21" s="1"/>
  <c r="S24" i="21"/>
  <c r="AD24" i="21" s="1"/>
  <c r="N53" i="21" a="1"/>
  <c r="N53" i="21" s="1"/>
  <c r="N25" i="21" a="1"/>
  <c r="N25" i="21" s="1"/>
  <c r="R17" i="21"/>
  <c r="AC17" i="21" s="1"/>
  <c r="Y17" i="21"/>
  <c r="W17" i="21"/>
  <c r="AH17" i="21" s="1"/>
  <c r="V17" i="21"/>
  <c r="AG17" i="21" s="1"/>
  <c r="T17" i="21"/>
  <c r="AE17" i="21" s="1"/>
  <c r="U17" i="21"/>
  <c r="AF17" i="21" s="1"/>
  <c r="S17" i="21"/>
  <c r="AD17" i="21" s="1"/>
  <c r="T60" i="22"/>
  <c r="D105" i="22"/>
  <c r="M78" i="21"/>
  <c r="T63" i="21"/>
  <c r="L40" i="21"/>
  <c r="M17" i="21"/>
  <c r="T26" i="21"/>
  <c r="AE26" i="21" s="1"/>
  <c r="S39" i="21"/>
  <c r="AD39" i="21" s="1"/>
  <c r="S38" i="21"/>
  <c r="AD38" i="21" s="1"/>
  <c r="Q35" i="21"/>
  <c r="AB35" i="21" s="1"/>
  <c r="T33" i="21"/>
  <c r="AE33" i="21" s="1"/>
  <c r="L33" i="21"/>
  <c r="L14" i="21"/>
  <c r="S18" i="21"/>
  <c r="AD18" i="21" s="1"/>
  <c r="S28" i="21"/>
  <c r="AD28" i="21" s="1"/>
  <c r="U22" i="21"/>
  <c r="AF22" i="21" s="1"/>
  <c r="S21" i="21"/>
  <c r="AD21" i="21" s="1"/>
  <c r="N57" i="21" a="1"/>
  <c r="N57" i="21" s="1"/>
  <c r="N62" i="21" a="1"/>
  <c r="N62" i="21" s="1"/>
  <c r="N66" i="21" a="1"/>
  <c r="N66" i="21" s="1"/>
  <c r="Q58" i="21"/>
  <c r="V58" i="21"/>
  <c r="AG58" i="21" s="1"/>
  <c r="S58" i="21"/>
  <c r="Y58" i="21"/>
  <c r="W58" i="21"/>
  <c r="U58" i="21"/>
  <c r="T58" i="21"/>
  <c r="R58" i="21"/>
  <c r="O58" i="21"/>
  <c r="Z58" i="21" s="1"/>
  <c r="P58" i="21"/>
  <c r="AA58" i="21" s="1"/>
  <c r="R17" i="23"/>
  <c r="J17" i="23"/>
  <c r="O4" i="21" s="1" a="1"/>
  <c r="O4" i="21" s="1"/>
  <c r="Q17" i="23"/>
  <c r="P17" i="23"/>
  <c r="O17" i="23"/>
  <c r="P4" i="21" s="1" a="1"/>
  <c r="P4" i="21" s="1"/>
  <c r="V17" i="23"/>
  <c r="N17" i="23"/>
  <c r="U17" i="23"/>
  <c r="M17" i="23"/>
  <c r="T17" i="23"/>
  <c r="Q4" i="21" s="1" a="1"/>
  <c r="Q4" i="21" s="1"/>
  <c r="Q32" i="21" s="1"/>
  <c r="AB32" i="21" s="1"/>
  <c r="L17" i="23"/>
  <c r="K17" i="23"/>
  <c r="S17" i="23"/>
  <c r="L48" i="21"/>
  <c r="T67" i="21"/>
  <c r="M47" i="21"/>
  <c r="U37" i="21"/>
  <c r="AF37" i="21" s="1"/>
  <c r="U26" i="21"/>
  <c r="AF26" i="21" s="1"/>
  <c r="M18" i="21"/>
  <c r="U39" i="21"/>
  <c r="AF39" i="21" s="1"/>
  <c r="U33" i="21"/>
  <c r="AF33" i="21" s="1"/>
  <c r="L24" i="21"/>
  <c r="T18" i="21"/>
  <c r="AE18" i="21" s="1"/>
  <c r="Q12" i="21"/>
  <c r="AB12" i="21" s="1"/>
  <c r="U34" i="13" s="1"/>
  <c r="Q29" i="21"/>
  <c r="AB29" i="21" s="1"/>
  <c r="D107" i="22"/>
  <c r="T62" i="22"/>
  <c r="C16" i="23"/>
  <c r="C19" i="23" s="1"/>
  <c r="C18" i="23"/>
  <c r="M58" i="21"/>
  <c r="L76" i="21"/>
  <c r="U67" i="21"/>
  <c r="T59" i="21"/>
  <c r="T38" i="21"/>
  <c r="AE38" i="21" s="1"/>
  <c r="L16" i="21"/>
  <c r="Q31" i="21"/>
  <c r="AB31" i="21" s="1"/>
  <c r="Q30" i="21"/>
  <c r="AB30" i="21" s="1"/>
  <c r="U18" i="21"/>
  <c r="AF18" i="21" s="1"/>
  <c r="W11" i="21"/>
  <c r="AH11" i="21" s="1"/>
  <c r="X28" i="13" s="1"/>
  <c r="M93" i="21"/>
  <c r="E9" i="22"/>
  <c r="E11" i="22" s="1"/>
  <c r="N69" i="21" a="1"/>
  <c r="N69" i="21" s="1"/>
  <c r="N65" i="21" a="1"/>
  <c r="N65" i="21" s="1"/>
  <c r="N61" i="21" a="1"/>
  <c r="N61" i="21" s="1"/>
  <c r="U54" i="21"/>
  <c r="U63" i="21"/>
  <c r="U59" i="21"/>
  <c r="T54" i="21"/>
  <c r="M42" i="21"/>
  <c r="BA65" i="20"/>
  <c r="BA64" i="20"/>
  <c r="AH1" i="20"/>
  <c r="AG1" i="20"/>
  <c r="AF1" i="20"/>
  <c r="AE1" i="20"/>
  <c r="AD1" i="20"/>
  <c r="AH2" i="20"/>
  <c r="AG2" i="20"/>
  <c r="AE2" i="20"/>
  <c r="AD2" i="20"/>
  <c r="AF8" i="20"/>
  <c r="AF7" i="20"/>
  <c r="AE12" i="20"/>
  <c r="AF11" i="20"/>
  <c r="W18" i="20"/>
  <c r="C82" i="20"/>
  <c r="C83" i="20" s="1"/>
  <c r="C84" i="20"/>
  <c r="D84" i="20" s="1"/>
  <c r="C85" i="20"/>
  <c r="D85" i="20" s="1"/>
  <c r="C86" i="20"/>
  <c r="D86" i="20" s="1"/>
  <c r="C87" i="20"/>
  <c r="D87" i="20" s="1"/>
  <c r="C88" i="20"/>
  <c r="D88" i="20" s="1"/>
  <c r="C89" i="20"/>
  <c r="D89" i="20" s="1"/>
  <c r="C90" i="20"/>
  <c r="D90" i="20" s="1"/>
  <c r="K271" i="20"/>
  <c r="J271" i="20"/>
  <c r="I271" i="20"/>
  <c r="C271" i="20"/>
  <c r="AR27" i="20" a="1"/>
  <c r="Y59" i="21" l="1"/>
  <c r="R59" i="21"/>
  <c r="AC59" i="21" s="1"/>
  <c r="Y63" i="21"/>
  <c r="R63" i="21"/>
  <c r="AC63" i="21" s="1"/>
  <c r="Y67" i="21"/>
  <c r="R67" i="21"/>
  <c r="AC67" i="21" s="1"/>
  <c r="R19" i="21"/>
  <c r="AC19" i="21" s="1"/>
  <c r="Y19" i="21"/>
  <c r="N55" i="21" a="1"/>
  <c r="N55" i="21" s="1"/>
  <c r="N34" i="21" a="1"/>
  <c r="N34" i="21" s="1"/>
  <c r="N27" i="21" a="1"/>
  <c r="N27" i="21" s="1"/>
  <c r="R26" i="21"/>
  <c r="AC26" i="21" s="1"/>
  <c r="Y26" i="21"/>
  <c r="Y33" i="21"/>
  <c r="R33" i="21"/>
  <c r="AC33" i="21" s="1"/>
  <c r="Y54" i="21"/>
  <c r="R54" i="21"/>
  <c r="AC54" i="21" s="1"/>
  <c r="V46" i="13"/>
  <c r="U50" i="13"/>
  <c r="V21" i="13"/>
  <c r="W36" i="13"/>
  <c r="V48" i="13"/>
  <c r="X30" i="13"/>
  <c r="W37" i="13"/>
  <c r="P91" i="13"/>
  <c r="R68" i="13"/>
  <c r="P69" i="13"/>
  <c r="O69" i="13"/>
  <c r="W65" i="13"/>
  <c r="X65" i="13"/>
  <c r="W45" i="13"/>
  <c r="X48" i="13"/>
  <c r="U45" i="13"/>
  <c r="W51" i="13"/>
  <c r="U22" i="13"/>
  <c r="V29" i="13"/>
  <c r="U32" i="13"/>
  <c r="X34" i="13"/>
  <c r="U51" i="13"/>
  <c r="X37" i="13"/>
  <c r="R28" i="13"/>
  <c r="V47" i="13"/>
  <c r="U69" i="13"/>
  <c r="R67" i="13"/>
  <c r="Q67" i="13"/>
  <c r="U24" i="13"/>
  <c r="W28" i="13"/>
  <c r="P36" i="13"/>
  <c r="X31" i="13"/>
  <c r="S69" i="13"/>
  <c r="V37" i="13"/>
  <c r="V51" i="13"/>
  <c r="W29" i="13"/>
  <c r="W32" i="13"/>
  <c r="V30" i="13"/>
  <c r="U37" i="13"/>
  <c r="T27" i="13"/>
  <c r="S28" i="13"/>
  <c r="W69" i="13"/>
  <c r="X67" i="13"/>
  <c r="S67" i="13"/>
  <c r="T68" i="13"/>
  <c r="T69" i="13"/>
  <c r="W18" i="13"/>
  <c r="W24" i="13"/>
  <c r="X47" i="13"/>
  <c r="X24" i="13"/>
  <c r="U48" i="13"/>
  <c r="U25" i="13"/>
  <c r="P93" i="13"/>
  <c r="V67" i="13"/>
  <c r="V50" i="13"/>
  <c r="V19" i="13"/>
  <c r="W25" i="13"/>
  <c r="U47" i="13"/>
  <c r="W21" i="13"/>
  <c r="U31" i="13"/>
  <c r="X25" i="13"/>
  <c r="R34" i="13"/>
  <c r="R27" i="13"/>
  <c r="P68" i="13"/>
  <c r="R65" i="13"/>
  <c r="Q69" i="13"/>
  <c r="W67" i="13"/>
  <c r="X68" i="13"/>
  <c r="X69" i="13"/>
  <c r="W27" i="13"/>
  <c r="W50" i="13"/>
  <c r="V28" i="13"/>
  <c r="X36" i="13"/>
  <c r="V32" i="13"/>
  <c r="T67" i="13"/>
  <c r="W46" i="13"/>
  <c r="U46" i="13"/>
  <c r="V22" i="13"/>
  <c r="U27" i="13"/>
  <c r="U18" i="13"/>
  <c r="X51" i="13"/>
  <c r="S34" i="13"/>
  <c r="P34" i="13"/>
  <c r="X22" i="13"/>
  <c r="V69" i="13"/>
  <c r="P65" i="13"/>
  <c r="P70" i="13"/>
  <c r="W34" i="13"/>
  <c r="X21" i="13"/>
  <c r="U36" i="13"/>
  <c r="X46" i="13"/>
  <c r="X27" i="13"/>
  <c r="W22" i="13"/>
  <c r="V31" i="13"/>
  <c r="V18" i="13"/>
  <c r="U19" i="13"/>
  <c r="X29" i="13"/>
  <c r="X32" i="13"/>
  <c r="W33" i="13"/>
  <c r="X19" i="13"/>
  <c r="Q28" i="13"/>
  <c r="S27" i="13"/>
  <c r="P67" i="13"/>
  <c r="Q65" i="13"/>
  <c r="R69" i="13"/>
  <c r="P92" i="13"/>
  <c r="W47" i="13"/>
  <c r="V34" i="13"/>
  <c r="W19" i="13"/>
  <c r="W48" i="13"/>
  <c r="X18" i="13"/>
  <c r="X50" i="13"/>
  <c r="W31" i="13"/>
  <c r="V25" i="13"/>
  <c r="W30" i="13"/>
  <c r="V33" i="13"/>
  <c r="P28" i="13"/>
  <c r="Q34" i="13"/>
  <c r="V65" i="13"/>
  <c r="S65" i="13"/>
  <c r="T65" i="13"/>
  <c r="V36" i="13"/>
  <c r="V27" i="13"/>
  <c r="X45" i="13"/>
  <c r="V24" i="13"/>
  <c r="V45" i="13"/>
  <c r="Q14" i="21"/>
  <c r="AB14" i="21" s="1"/>
  <c r="U30" i="13" s="1"/>
  <c r="AE63" i="21"/>
  <c r="R92" i="13"/>
  <c r="AH59" i="21"/>
  <c r="X91" i="13" s="1"/>
  <c r="T91" i="13"/>
  <c r="AD63" i="21"/>
  <c r="V92" i="13" s="1"/>
  <c r="Q92" i="13"/>
  <c r="AE59" i="21"/>
  <c r="R91" i="13"/>
  <c r="AB52" i="21"/>
  <c r="U65" i="13" s="1"/>
  <c r="O65" i="13"/>
  <c r="AH67" i="21"/>
  <c r="X93" i="13" s="1"/>
  <c r="T93" i="13"/>
  <c r="AB50" i="21"/>
  <c r="U67" i="13" s="1"/>
  <c r="O67" i="13"/>
  <c r="AD51" i="21"/>
  <c r="V68" i="13" s="1"/>
  <c r="Q68" i="13"/>
  <c r="AF67" i="21"/>
  <c r="W93" i="13" s="1"/>
  <c r="S93" i="13"/>
  <c r="R30" i="13"/>
  <c r="AB67" i="21"/>
  <c r="U93" i="13" s="1"/>
  <c r="O93" i="13"/>
  <c r="AD54" i="21"/>
  <c r="V70" i="13" s="1"/>
  <c r="Q70" i="13"/>
  <c r="AE54" i="21"/>
  <c r="R70" i="13"/>
  <c r="AB59" i="21"/>
  <c r="U91" i="13" s="1"/>
  <c r="O91" i="13"/>
  <c r="AE58" i="21"/>
  <c r="R73" i="13"/>
  <c r="AH58" i="21"/>
  <c r="X73" i="13" s="1"/>
  <c r="T73" i="13"/>
  <c r="AD58" i="21"/>
  <c r="V73" i="13" s="1"/>
  <c r="Q73" i="13"/>
  <c r="AF59" i="21"/>
  <c r="W91" i="13" s="1"/>
  <c r="S91" i="13"/>
  <c r="AF63" i="21"/>
  <c r="W92" i="13" s="1"/>
  <c r="S92" i="13"/>
  <c r="AE67" i="21"/>
  <c r="R93" i="13"/>
  <c r="AB58" i="21"/>
  <c r="U73" i="13" s="1"/>
  <c r="O73" i="13"/>
  <c r="AF51" i="21"/>
  <c r="W68" i="13" s="1"/>
  <c r="S68" i="13"/>
  <c r="AB54" i="21"/>
  <c r="U70" i="13" s="1"/>
  <c r="O70" i="13"/>
  <c r="AH54" i="21"/>
  <c r="X70" i="13" s="1"/>
  <c r="T70" i="13"/>
  <c r="AF58" i="21"/>
  <c r="W73" i="13" s="1"/>
  <c r="S73" i="13"/>
  <c r="AF54" i="21"/>
  <c r="W70" i="13" s="1"/>
  <c r="S70" i="13"/>
  <c r="AC58" i="21"/>
  <c r="P73" i="13"/>
  <c r="AD59" i="21"/>
  <c r="V91" i="13" s="1"/>
  <c r="Q91" i="13"/>
  <c r="AD67" i="21"/>
  <c r="V93" i="13" s="1"/>
  <c r="Q93" i="13"/>
  <c r="AB63" i="21"/>
  <c r="U92" i="13" s="1"/>
  <c r="O92" i="13"/>
  <c r="AH63" i="21"/>
  <c r="X92" i="13" s="1"/>
  <c r="T92" i="13"/>
  <c r="O27" i="13"/>
  <c r="R45" i="13"/>
  <c r="Q48" i="13"/>
  <c r="Q51" i="13"/>
  <c r="P50" i="13"/>
  <c r="P33" i="13"/>
  <c r="O37" i="13"/>
  <c r="R51" i="13"/>
  <c r="R29" i="13"/>
  <c r="T22" i="13"/>
  <c r="P48" i="13"/>
  <c r="T30" i="13"/>
  <c r="S25" i="13"/>
  <c r="O51" i="13"/>
  <c r="O18" i="13"/>
  <c r="S29" i="13"/>
  <c r="S32" i="13"/>
  <c r="Q46" i="13"/>
  <c r="T21" i="13"/>
  <c r="P25" i="13"/>
  <c r="T37" i="13"/>
  <c r="R50" i="13"/>
  <c r="S18" i="13"/>
  <c r="Q30" i="13"/>
  <c r="T24" i="13"/>
  <c r="O15" i="21"/>
  <c r="Z15" i="21" s="1"/>
  <c r="O32" i="21"/>
  <c r="Z32" i="21" s="1"/>
  <c r="R21" i="13"/>
  <c r="Q24" i="13"/>
  <c r="O45" i="13"/>
  <c r="T34" i="13"/>
  <c r="P24" i="13"/>
  <c r="T36" i="13"/>
  <c r="O28" i="13"/>
  <c r="Q19" i="13"/>
  <c r="O31" i="13"/>
  <c r="P18" i="13"/>
  <c r="T29" i="13"/>
  <c r="Q22" i="13"/>
  <c r="O34" i="13"/>
  <c r="S47" i="13"/>
  <c r="P32" i="13"/>
  <c r="T51" i="13"/>
  <c r="S31" i="13"/>
  <c r="Q45" i="13"/>
  <c r="R37" i="13"/>
  <c r="R25" i="13"/>
  <c r="T50" i="13"/>
  <c r="Q29" i="13"/>
  <c r="Q32" i="13"/>
  <c r="O46" i="13"/>
  <c r="R19" i="13"/>
  <c r="P31" i="13"/>
  <c r="Q36" i="13"/>
  <c r="R48" i="13"/>
  <c r="T28" i="13"/>
  <c r="Q21" i="13"/>
  <c r="S46" i="13"/>
  <c r="T31" i="13"/>
  <c r="Q18" i="13"/>
  <c r="T46" i="13"/>
  <c r="S19" i="13"/>
  <c r="R36" i="13"/>
  <c r="T45" i="13"/>
  <c r="O19" i="13"/>
  <c r="S30" i="13"/>
  <c r="O22" i="13"/>
  <c r="S33" i="13"/>
  <c r="Q47" i="13"/>
  <c r="P19" i="13"/>
  <c r="R32" i="13"/>
  <c r="P46" i="13"/>
  <c r="O25" i="13"/>
  <c r="S37" i="13"/>
  <c r="Q50" i="13"/>
  <c r="R18" i="13"/>
  <c r="P30" i="13"/>
  <c r="S22" i="13"/>
  <c r="O48" i="13"/>
  <c r="P47" i="13"/>
  <c r="Q31" i="13"/>
  <c r="P15" i="21"/>
  <c r="AA15" i="21" s="1"/>
  <c r="P32" i="21"/>
  <c r="AA32" i="21" s="1"/>
  <c r="O17" i="21"/>
  <c r="Z17" i="21" s="1"/>
  <c r="P29" i="13"/>
  <c r="O32" i="13"/>
  <c r="S45" i="13"/>
  <c r="O36" i="13"/>
  <c r="S48" i="13"/>
  <c r="P22" i="13"/>
  <c r="R47" i="13"/>
  <c r="S51" i="13"/>
  <c r="T19" i="13"/>
  <c r="R31" i="13"/>
  <c r="P45" i="13"/>
  <c r="O24" i="13"/>
  <c r="S36" i="13"/>
  <c r="T18" i="13"/>
  <c r="S21" i="13"/>
  <c r="Q33" i="13"/>
  <c r="O47" i="13"/>
  <c r="T25" i="13"/>
  <c r="S24" i="13"/>
  <c r="Q37" i="13"/>
  <c r="O50" i="13"/>
  <c r="P37" i="13"/>
  <c r="T48" i="13"/>
  <c r="P51" i="13"/>
  <c r="P21" i="13"/>
  <c r="T32" i="13"/>
  <c r="R46" i="13"/>
  <c r="R24" i="13"/>
  <c r="Q25" i="13"/>
  <c r="S50" i="13"/>
  <c r="O30" i="13"/>
  <c r="R22" i="13"/>
  <c r="T47" i="13"/>
  <c r="R33" i="13"/>
  <c r="O14" i="21"/>
  <c r="Z14" i="21" s="1"/>
  <c r="N79" i="21" a="1"/>
  <c r="N79" i="21" s="1"/>
  <c r="N75" i="21" a="1"/>
  <c r="N75" i="21" s="1"/>
  <c r="T66" i="21"/>
  <c r="Y66" i="21"/>
  <c r="O66" i="21"/>
  <c r="Z66" i="21" s="1"/>
  <c r="U66" i="21"/>
  <c r="S66" i="21"/>
  <c r="Q66" i="21"/>
  <c r="R66" i="21"/>
  <c r="P66" i="21"/>
  <c r="AA66" i="21" s="1"/>
  <c r="W66" i="21"/>
  <c r="V66" i="21"/>
  <c r="AG66" i="21" s="1"/>
  <c r="R25" i="21"/>
  <c r="AC25" i="21" s="1"/>
  <c r="Q25" i="21"/>
  <c r="AB25" i="21" s="1"/>
  <c r="U20" i="13" s="1"/>
  <c r="Y25" i="21"/>
  <c r="P25" i="21"/>
  <c r="AA25" i="21" s="1"/>
  <c r="W25" i="21"/>
  <c r="AH25" i="21" s="1"/>
  <c r="X20" i="13" s="1"/>
  <c r="O25" i="21"/>
  <c r="Z25" i="21" s="1"/>
  <c r="V25" i="21"/>
  <c r="AG25" i="21" s="1"/>
  <c r="T25" i="21"/>
  <c r="AE25" i="21" s="1"/>
  <c r="U25" i="21"/>
  <c r="AF25" i="21" s="1"/>
  <c r="W20" i="13" s="1"/>
  <c r="S25" i="21"/>
  <c r="AD25" i="21" s="1"/>
  <c r="V20" i="13" s="1"/>
  <c r="P14" i="21"/>
  <c r="AA14" i="21" s="1"/>
  <c r="D104" i="22"/>
  <c r="T67" i="22" s="1"/>
  <c r="D112" i="22"/>
  <c r="T63" i="22"/>
  <c r="U53" i="21"/>
  <c r="R53" i="21"/>
  <c r="P53" i="21"/>
  <c r="AA53" i="21" s="1"/>
  <c r="O53" i="21"/>
  <c r="Z53" i="21" s="1"/>
  <c r="Y53" i="21"/>
  <c r="W53" i="21"/>
  <c r="V53" i="21"/>
  <c r="AG53" i="21" s="1"/>
  <c r="S53" i="21"/>
  <c r="T53" i="21"/>
  <c r="Q53" i="21"/>
  <c r="Q61" i="21"/>
  <c r="V61" i="21"/>
  <c r="AG61" i="21" s="1"/>
  <c r="S61" i="21"/>
  <c r="T61" i="21"/>
  <c r="R61" i="21"/>
  <c r="P61" i="21"/>
  <c r="AA61" i="21" s="1"/>
  <c r="O61" i="21"/>
  <c r="Z61" i="21" s="1"/>
  <c r="W61" i="21"/>
  <c r="Y61" i="21"/>
  <c r="U61" i="21"/>
  <c r="R19" i="23"/>
  <c r="J19" i="23"/>
  <c r="Q19" i="23"/>
  <c r="P19" i="23"/>
  <c r="O19" i="23"/>
  <c r="V19" i="23"/>
  <c r="N19" i="23"/>
  <c r="U19" i="23"/>
  <c r="M19" i="23"/>
  <c r="T19" i="23"/>
  <c r="L19" i="23"/>
  <c r="S19" i="23"/>
  <c r="K19" i="23"/>
  <c r="G19" i="23"/>
  <c r="Q19" i="21"/>
  <c r="AB19" i="21" s="1"/>
  <c r="U33" i="13" s="1"/>
  <c r="Q27" i="21"/>
  <c r="AB27" i="21" s="1"/>
  <c r="U23" i="13" s="1"/>
  <c r="Q55" i="21"/>
  <c r="AB55" i="21" s="1"/>
  <c r="Q34" i="21"/>
  <c r="AB34" i="21" s="1"/>
  <c r="U49" i="13" s="1"/>
  <c r="Q39" i="21"/>
  <c r="AB39" i="21" s="1"/>
  <c r="W65" i="21"/>
  <c r="O65" i="21"/>
  <c r="Z65" i="21" s="1"/>
  <c r="Y65" i="21"/>
  <c r="T65" i="21"/>
  <c r="S65" i="21"/>
  <c r="Q65" i="21"/>
  <c r="V65" i="21"/>
  <c r="AG65" i="21" s="1"/>
  <c r="R65" i="21"/>
  <c r="U65" i="21"/>
  <c r="P65" i="21"/>
  <c r="AA65" i="21" s="1"/>
  <c r="N81" i="21" a="1"/>
  <c r="N81" i="21" s="1"/>
  <c r="N77" i="21" a="1"/>
  <c r="N77" i="21" s="1"/>
  <c r="T57" i="21"/>
  <c r="Q57" i="21"/>
  <c r="V57" i="21"/>
  <c r="AG57" i="21" s="1"/>
  <c r="Y57" i="21"/>
  <c r="W57" i="21"/>
  <c r="U57" i="21"/>
  <c r="S57" i="21"/>
  <c r="P57" i="21"/>
  <c r="AA57" i="21" s="1"/>
  <c r="O57" i="21"/>
  <c r="Z57" i="21" s="1"/>
  <c r="R57" i="21"/>
  <c r="Q64" i="21"/>
  <c r="V64" i="21"/>
  <c r="AG64" i="21" s="1"/>
  <c r="U64" i="21"/>
  <c r="S64" i="21"/>
  <c r="Y64" i="21"/>
  <c r="W64" i="21"/>
  <c r="T64" i="21"/>
  <c r="P64" i="21"/>
  <c r="AA64" i="21" s="1"/>
  <c r="R64" i="21"/>
  <c r="O64" i="21"/>
  <c r="Z64" i="21" s="1"/>
  <c r="O19" i="21"/>
  <c r="Z19" i="21" s="1"/>
  <c r="O27" i="21"/>
  <c r="Z27" i="21" s="1"/>
  <c r="O34" i="21"/>
  <c r="Z34" i="21" s="1"/>
  <c r="O39" i="21"/>
  <c r="Z39" i="21" s="1"/>
  <c r="O55" i="21"/>
  <c r="Z55" i="21" s="1"/>
  <c r="R18" i="23"/>
  <c r="J18" i="23"/>
  <c r="Q18" i="23"/>
  <c r="P18" i="23"/>
  <c r="O18" i="23"/>
  <c r="V18" i="23"/>
  <c r="N18" i="23"/>
  <c r="U18" i="23"/>
  <c r="M18" i="23"/>
  <c r="T18" i="23"/>
  <c r="L18" i="23"/>
  <c r="S18" i="23"/>
  <c r="K18" i="23"/>
  <c r="G18" i="23"/>
  <c r="V62" i="21"/>
  <c r="AG62" i="21" s="1"/>
  <c r="S62" i="21"/>
  <c r="Y62" i="21"/>
  <c r="P62" i="21"/>
  <c r="AA62" i="21" s="1"/>
  <c r="Q62" i="21"/>
  <c r="O62" i="21"/>
  <c r="Z62" i="21" s="1"/>
  <c r="W62" i="21"/>
  <c r="T62" i="21"/>
  <c r="U62" i="21"/>
  <c r="R62" i="21"/>
  <c r="R69" i="21"/>
  <c r="T69" i="21"/>
  <c r="W69" i="21"/>
  <c r="S69" i="21"/>
  <c r="Q69" i="21"/>
  <c r="O69" i="21"/>
  <c r="Z69" i="21" s="1"/>
  <c r="Y69" i="21"/>
  <c r="V69" i="21"/>
  <c r="AG69" i="21" s="1"/>
  <c r="U69" i="21"/>
  <c r="P69" i="21"/>
  <c r="AA69" i="21" s="1"/>
  <c r="T70" i="22"/>
  <c r="D119" i="22"/>
  <c r="T68" i="22"/>
  <c r="D117" i="22"/>
  <c r="P17" i="21"/>
  <c r="AA17" i="21" s="1"/>
  <c r="U68" i="21"/>
  <c r="W68" i="21"/>
  <c r="O68" i="21"/>
  <c r="Z68" i="21" s="1"/>
  <c r="R68" i="21"/>
  <c r="Y68" i="21"/>
  <c r="T68" i="21"/>
  <c r="P68" i="21"/>
  <c r="AA68" i="21" s="1"/>
  <c r="S68" i="21"/>
  <c r="V68" i="21"/>
  <c r="AG68" i="21" s="1"/>
  <c r="Q68" i="21"/>
  <c r="W34" i="21"/>
  <c r="AH34" i="21" s="1"/>
  <c r="X49" i="13" s="1"/>
  <c r="W19" i="21"/>
  <c r="AH19" i="21" s="1"/>
  <c r="X33" i="13" s="1"/>
  <c r="W55" i="21"/>
  <c r="AH55" i="21" s="1"/>
  <c r="W27" i="21"/>
  <c r="AH27" i="21" s="1"/>
  <c r="X23" i="13" s="1"/>
  <c r="W39" i="21"/>
  <c r="AH39" i="21" s="1"/>
  <c r="T60" i="21"/>
  <c r="AE60" i="21" s="1"/>
  <c r="Q60" i="21"/>
  <c r="AB60" i="21" s="1"/>
  <c r="V60" i="21"/>
  <c r="AG60" i="21" s="1"/>
  <c r="U60" i="21"/>
  <c r="AF60" i="21" s="1"/>
  <c r="S60" i="21"/>
  <c r="AD60" i="21" s="1"/>
  <c r="R60" i="21"/>
  <c r="AC60" i="21" s="1"/>
  <c r="P60" i="21"/>
  <c r="AA60" i="21" s="1"/>
  <c r="O60" i="21"/>
  <c r="Z60" i="21" s="1"/>
  <c r="Y60" i="21"/>
  <c r="W60" i="21"/>
  <c r="AH60" i="21" s="1"/>
  <c r="Q51" i="21"/>
  <c r="Q37" i="21"/>
  <c r="AB37" i="21" s="1"/>
  <c r="Q16" i="21"/>
  <c r="AB16" i="21" s="1"/>
  <c r="Q22" i="21"/>
  <c r="AB22" i="21" s="1"/>
  <c r="U21" i="13" s="1"/>
  <c r="O16" i="21"/>
  <c r="Z16" i="21" s="1"/>
  <c r="O22" i="21"/>
  <c r="Z22" i="21" s="1"/>
  <c r="O51" i="21"/>
  <c r="Z51" i="21" s="1"/>
  <c r="O37" i="21"/>
  <c r="Z37" i="21" s="1"/>
  <c r="N76" i="21" a="1"/>
  <c r="N76" i="21" s="1"/>
  <c r="N80" i="21" a="1"/>
  <c r="N80" i="21" s="1"/>
  <c r="Q15" i="21"/>
  <c r="P34" i="21"/>
  <c r="AA34" i="21" s="1"/>
  <c r="P19" i="21"/>
  <c r="AA19" i="21" s="1"/>
  <c r="P27" i="21"/>
  <c r="AA27" i="21" s="1"/>
  <c r="P39" i="21"/>
  <c r="AA39" i="21" s="1"/>
  <c r="P55" i="21"/>
  <c r="AA55" i="21" s="1"/>
  <c r="P22" i="21"/>
  <c r="AA22" i="21" s="1"/>
  <c r="P37" i="21"/>
  <c r="AA37" i="21" s="1"/>
  <c r="P51" i="21"/>
  <c r="AA51" i="21" s="1"/>
  <c r="P16" i="21"/>
  <c r="AA16" i="21" s="1"/>
  <c r="Q17" i="21"/>
  <c r="AB17" i="21" s="1"/>
  <c r="N78" i="21" a="1"/>
  <c r="N78" i="21" s="1"/>
  <c r="N74" i="21" a="1"/>
  <c r="N74" i="21" s="1"/>
  <c r="V39" i="21"/>
  <c r="AG39" i="21" s="1"/>
  <c r="V55" i="21"/>
  <c r="AG55" i="21" s="1"/>
  <c r="V19" i="21"/>
  <c r="AG19" i="21" s="1"/>
  <c r="V34" i="21"/>
  <c r="AG34" i="21" s="1"/>
  <c r="V27" i="21"/>
  <c r="AG27" i="21" s="1"/>
  <c r="AR27" i="20"/>
  <c r="C91" i="20"/>
  <c r="D83" i="20"/>
  <c r="D91" i="20" s="1"/>
  <c r="D82" i="20" s="1"/>
  <c r="X18" i="20"/>
  <c r="AF12" i="20"/>
  <c r="AF2" i="20"/>
  <c r="AE27" i="20" a="1"/>
  <c r="AE27" i="20" s="1"/>
  <c r="R27" i="21" l="1"/>
  <c r="Y27" i="21"/>
  <c r="U27" i="21"/>
  <c r="S27" i="21"/>
  <c r="T27" i="21"/>
  <c r="R34" i="21"/>
  <c r="Y34" i="21"/>
  <c r="T34" i="21"/>
  <c r="S34" i="21"/>
  <c r="U34" i="21"/>
  <c r="Y55" i="21"/>
  <c r="R55" i="21"/>
  <c r="AC55" i="21" s="1"/>
  <c r="T55" i="21"/>
  <c r="AE55" i="21" s="1"/>
  <c r="U55" i="21"/>
  <c r="AF55" i="21" s="1"/>
  <c r="S55" i="21"/>
  <c r="AD55" i="21" s="1"/>
  <c r="AH57" i="21"/>
  <c r="X72" i="13" s="1"/>
  <c r="T72" i="13"/>
  <c r="AD53" i="21"/>
  <c r="V66" i="13" s="1"/>
  <c r="Q66" i="13"/>
  <c r="AH53" i="21"/>
  <c r="X66" i="13" s="1"/>
  <c r="T66" i="13"/>
  <c r="O49" i="13"/>
  <c r="AB51" i="21"/>
  <c r="U68" i="13" s="1"/>
  <c r="O68" i="13"/>
  <c r="AB68" i="21"/>
  <c r="U101" i="13" s="1"/>
  <c r="O101" i="13"/>
  <c r="AH68" i="21"/>
  <c r="X101" i="13" s="1"/>
  <c r="T101" i="13"/>
  <c r="AF69" i="21"/>
  <c r="W84" i="13" s="1"/>
  <c r="S84" i="13"/>
  <c r="AC69" i="21"/>
  <c r="P84" i="13"/>
  <c r="AC57" i="21"/>
  <c r="P72" i="13"/>
  <c r="AB57" i="21"/>
  <c r="U72" i="13" s="1"/>
  <c r="O72" i="13"/>
  <c r="AB65" i="21"/>
  <c r="U83" i="13" s="1"/>
  <c r="O83" i="13"/>
  <c r="AD61" i="21"/>
  <c r="V82" i="13" s="1"/>
  <c r="Q82" i="13"/>
  <c r="AD66" i="21"/>
  <c r="V75" i="13" s="1"/>
  <c r="Q75" i="13"/>
  <c r="AD69" i="21"/>
  <c r="V84" i="13" s="1"/>
  <c r="Q84" i="13"/>
  <c r="AF64" i="21"/>
  <c r="W100" i="13" s="1"/>
  <c r="S100" i="13"/>
  <c r="AE61" i="21"/>
  <c r="R82" i="13"/>
  <c r="AE57" i="21"/>
  <c r="R72" i="13"/>
  <c r="AF61" i="21"/>
  <c r="W82" i="13" s="1"/>
  <c r="S82" i="13"/>
  <c r="AF66" i="21"/>
  <c r="W75" i="13" s="1"/>
  <c r="S75" i="13"/>
  <c r="AD68" i="21"/>
  <c r="V101" i="13" s="1"/>
  <c r="Q101" i="13"/>
  <c r="AF62" i="21"/>
  <c r="W74" i="13" s="1"/>
  <c r="S74" i="13"/>
  <c r="AH64" i="21"/>
  <c r="X100" i="13" s="1"/>
  <c r="T100" i="13"/>
  <c r="AE65" i="21"/>
  <c r="R83" i="13"/>
  <c r="AB61" i="21"/>
  <c r="U82" i="13" s="1"/>
  <c r="O82" i="13"/>
  <c r="AH65" i="21"/>
  <c r="X83" i="13" s="1"/>
  <c r="T83" i="13"/>
  <c r="AC68" i="21"/>
  <c r="P101" i="13"/>
  <c r="AC65" i="21"/>
  <c r="P83" i="13"/>
  <c r="AC61" i="21"/>
  <c r="P82" i="13"/>
  <c r="AC66" i="21"/>
  <c r="P75" i="13"/>
  <c r="AC64" i="21"/>
  <c r="P100" i="13"/>
  <c r="AB66" i="21"/>
  <c r="U75" i="13" s="1"/>
  <c r="O75" i="13"/>
  <c r="AC62" i="21"/>
  <c r="P74" i="13"/>
  <c r="AE62" i="21"/>
  <c r="R74" i="13"/>
  <c r="AD57" i="21"/>
  <c r="V72" i="13" s="1"/>
  <c r="Q72" i="13"/>
  <c r="AH61" i="21"/>
  <c r="X82" i="13" s="1"/>
  <c r="T82" i="13"/>
  <c r="AB53" i="21"/>
  <c r="U66" i="13" s="1"/>
  <c r="O66" i="13"/>
  <c r="AC53" i="21"/>
  <c r="P66" i="13"/>
  <c r="AF65" i="21"/>
  <c r="W83" i="13" s="1"/>
  <c r="S83" i="13"/>
  <c r="AH69" i="21"/>
  <c r="X84" i="13" s="1"/>
  <c r="T84" i="13"/>
  <c r="AB62" i="21"/>
  <c r="U74" i="13" s="1"/>
  <c r="O74" i="13"/>
  <c r="AE69" i="21"/>
  <c r="R84" i="13"/>
  <c r="AB64" i="21"/>
  <c r="U100" i="13" s="1"/>
  <c r="O100" i="13"/>
  <c r="T33" i="13"/>
  <c r="AF68" i="21"/>
  <c r="W101" i="13" s="1"/>
  <c r="S101" i="13"/>
  <c r="AD62" i="21"/>
  <c r="V74" i="13" s="1"/>
  <c r="Q74" i="13"/>
  <c r="AE64" i="21"/>
  <c r="R100" i="13"/>
  <c r="AD65" i="21"/>
  <c r="V83" i="13" s="1"/>
  <c r="Q83" i="13"/>
  <c r="AE68" i="21"/>
  <c r="R101" i="13"/>
  <c r="AB69" i="21"/>
  <c r="U84" i="13" s="1"/>
  <c r="O84" i="13"/>
  <c r="AH62" i="21"/>
  <c r="X74" i="13" s="1"/>
  <c r="T74" i="13"/>
  <c r="AD64" i="21"/>
  <c r="V100" i="13" s="1"/>
  <c r="Q100" i="13"/>
  <c r="AF57" i="21"/>
  <c r="W72" i="13" s="1"/>
  <c r="S72" i="13"/>
  <c r="AE53" i="21"/>
  <c r="R66" i="13"/>
  <c r="AF53" i="21"/>
  <c r="W66" i="13" s="1"/>
  <c r="S66" i="13"/>
  <c r="AH66" i="21"/>
  <c r="X75" i="13" s="1"/>
  <c r="T75" i="13"/>
  <c r="AE66" i="21"/>
  <c r="R75" i="13"/>
  <c r="AB15" i="21"/>
  <c r="U29" i="13" s="1"/>
  <c r="O29" i="13"/>
  <c r="O23" i="13"/>
  <c r="R20" i="13"/>
  <c r="T20" i="13"/>
  <c r="T49" i="13"/>
  <c r="P20" i="13"/>
  <c r="O20" i="13"/>
  <c r="T23" i="13"/>
  <c r="O33" i="13"/>
  <c r="S20" i="13"/>
  <c r="Q20" i="13"/>
  <c r="O21" i="13"/>
  <c r="W76" i="21"/>
  <c r="O76" i="21"/>
  <c r="Z76" i="21" s="1"/>
  <c r="Q76" i="21"/>
  <c r="Y76" i="21"/>
  <c r="V76" i="21"/>
  <c r="AG76" i="21" s="1"/>
  <c r="U76" i="21"/>
  <c r="T76" i="21"/>
  <c r="R76" i="21"/>
  <c r="S76" i="21"/>
  <c r="P76" i="21"/>
  <c r="AA76" i="21" s="1"/>
  <c r="T74" i="21"/>
  <c r="V74" i="21"/>
  <c r="AG74" i="21" s="1"/>
  <c r="O74" i="21"/>
  <c r="Z74" i="21" s="1"/>
  <c r="Y74" i="21"/>
  <c r="W74" i="21"/>
  <c r="U74" i="21"/>
  <c r="S74" i="21"/>
  <c r="Q74" i="21"/>
  <c r="R74" i="21"/>
  <c r="P74" i="21"/>
  <c r="AA74" i="21" s="1"/>
  <c r="T77" i="21"/>
  <c r="V77" i="21"/>
  <c r="AG77" i="21" s="1"/>
  <c r="S77" i="21"/>
  <c r="R77" i="21"/>
  <c r="Q77" i="21"/>
  <c r="P77" i="21"/>
  <c r="AA77" i="21" s="1"/>
  <c r="O77" i="21"/>
  <c r="Z77" i="21" s="1"/>
  <c r="W77" i="21"/>
  <c r="Y77" i="21"/>
  <c r="U77" i="21"/>
  <c r="Q78" i="21"/>
  <c r="W78" i="21"/>
  <c r="O78" i="21"/>
  <c r="Z78" i="21" s="1"/>
  <c r="S78" i="21"/>
  <c r="Y78" i="21"/>
  <c r="V78" i="21"/>
  <c r="AG78" i="21" s="1"/>
  <c r="U78" i="21"/>
  <c r="R78" i="21"/>
  <c r="T78" i="21"/>
  <c r="P78" i="21"/>
  <c r="AA78" i="21" s="1"/>
  <c r="T76" i="22"/>
  <c r="N72" i="21" s="1" a="1"/>
  <c r="N72" i="21" s="1"/>
  <c r="D129" i="22"/>
  <c r="T84" i="22" s="1"/>
  <c r="Q81" i="21"/>
  <c r="W81" i="21"/>
  <c r="O81" i="21"/>
  <c r="Z81" i="21" s="1"/>
  <c r="U81" i="21"/>
  <c r="S81" i="21"/>
  <c r="Y81" i="21"/>
  <c r="V81" i="21"/>
  <c r="AG81" i="21" s="1"/>
  <c r="T81" i="21"/>
  <c r="R81" i="21"/>
  <c r="P81" i="21"/>
  <c r="AA81" i="21" s="1"/>
  <c r="N92" i="21" a="1"/>
  <c r="N92" i="21" s="1"/>
  <c r="N88" i="21" a="1"/>
  <c r="N88" i="21" s="1"/>
  <c r="N84" i="21" a="1"/>
  <c r="N84" i="21" s="1"/>
  <c r="D131" i="22"/>
  <c r="T86" i="22" s="1"/>
  <c r="T78" i="22"/>
  <c r="N73" i="21" s="1" a="1"/>
  <c r="N73" i="21" s="1"/>
  <c r="N82" i="21" a="1"/>
  <c r="N82" i="21" s="1"/>
  <c r="N86" i="21" a="1"/>
  <c r="N86" i="21" s="1"/>
  <c r="N90" i="21" a="1"/>
  <c r="N90" i="21" s="1"/>
  <c r="Q75" i="21"/>
  <c r="S75" i="21"/>
  <c r="T75" i="21"/>
  <c r="R75" i="21"/>
  <c r="P75" i="21"/>
  <c r="AA75" i="21" s="1"/>
  <c r="O75" i="21"/>
  <c r="Z75" i="21" s="1"/>
  <c r="Y75" i="21"/>
  <c r="V75" i="21"/>
  <c r="AG75" i="21" s="1"/>
  <c r="W75" i="21"/>
  <c r="U75" i="21"/>
  <c r="N93" i="21" a="1"/>
  <c r="N93" i="21" s="1"/>
  <c r="N89" i="21" a="1"/>
  <c r="N89" i="21" s="1"/>
  <c r="N85" i="21" a="1"/>
  <c r="N85" i="21" s="1"/>
  <c r="D116" i="22"/>
  <c r="D124" i="22"/>
  <c r="T79" i="22" s="1"/>
  <c r="T71" i="22"/>
  <c r="N70" i="21" s="1" a="1"/>
  <c r="N70" i="21" s="1"/>
  <c r="V79" i="21"/>
  <c r="AG79" i="21" s="1"/>
  <c r="T79" i="21"/>
  <c r="Y79" i="21"/>
  <c r="P79" i="21"/>
  <c r="AA79" i="21" s="1"/>
  <c r="W79" i="21"/>
  <c r="U79" i="21"/>
  <c r="S79" i="21"/>
  <c r="R79" i="21"/>
  <c r="O79" i="21"/>
  <c r="Z79" i="21" s="1"/>
  <c r="Q79" i="21"/>
  <c r="T80" i="21"/>
  <c r="R80" i="21"/>
  <c r="V80" i="21"/>
  <c r="AG80" i="21" s="1"/>
  <c r="Y80" i="21"/>
  <c r="W80" i="21"/>
  <c r="U80" i="21"/>
  <c r="S80" i="21"/>
  <c r="Q80" i="21"/>
  <c r="O80" i="21"/>
  <c r="Z80" i="21" s="1"/>
  <c r="P80" i="21"/>
  <c r="AA80" i="21" s="1"/>
  <c r="N91" i="21" a="1"/>
  <c r="N91" i="21" s="1"/>
  <c r="N83" i="21" a="1"/>
  <c r="N83" i="21" s="1"/>
  <c r="N87" i="21" a="1"/>
  <c r="N87" i="21" s="1"/>
  <c r="AF27" i="20" a="1"/>
  <c r="AF27" i="20" s="1"/>
  <c r="AJ27" i="20"/>
  <c r="Y18" i="20"/>
  <c r="AS27" i="20" a="1"/>
  <c r="AF34" i="21" l="1"/>
  <c r="W49" i="13" s="1"/>
  <c r="S49" i="13"/>
  <c r="AD34" i="21"/>
  <c r="V49" i="13" s="1"/>
  <c r="Q49" i="13"/>
  <c r="AE34" i="21"/>
  <c r="R49" i="13"/>
  <c r="AC34" i="21"/>
  <c r="P49" i="13"/>
  <c r="AE27" i="21"/>
  <c r="R23" i="13"/>
  <c r="AD27" i="21"/>
  <c r="V23" i="13" s="1"/>
  <c r="Q23" i="13"/>
  <c r="AF27" i="21"/>
  <c r="W23" i="13" s="1"/>
  <c r="S23" i="13"/>
  <c r="AC27" i="21"/>
  <c r="P23" i="13"/>
  <c r="AH80" i="21"/>
  <c r="X104" i="13" s="1"/>
  <c r="T104" i="13"/>
  <c r="AC81" i="21"/>
  <c r="P87" i="13"/>
  <c r="AC74" i="21"/>
  <c r="P77" i="13"/>
  <c r="AB76" i="21"/>
  <c r="U103" i="13" s="1"/>
  <c r="O103" i="13"/>
  <c r="AE81" i="21"/>
  <c r="R87" i="13"/>
  <c r="AB74" i="21"/>
  <c r="U77" i="13" s="1"/>
  <c r="O77" i="13"/>
  <c r="AH79" i="21"/>
  <c r="X96" i="13" s="1"/>
  <c r="T96" i="13"/>
  <c r="AD74" i="21"/>
  <c r="V77" i="13" s="1"/>
  <c r="Q77" i="13"/>
  <c r="AH76" i="21"/>
  <c r="X103" i="13" s="1"/>
  <c r="T103" i="13"/>
  <c r="AC80" i="21"/>
  <c r="P104" i="13"/>
  <c r="AC75" i="21"/>
  <c r="P95" i="13"/>
  <c r="AF74" i="21"/>
  <c r="W77" i="13" s="1"/>
  <c r="S77" i="13"/>
  <c r="AE75" i="21"/>
  <c r="R95" i="13"/>
  <c r="AE78" i="21"/>
  <c r="R78" i="13"/>
  <c r="AD77" i="21"/>
  <c r="V86" i="13" s="1"/>
  <c r="Q86" i="13"/>
  <c r="AE76" i="21"/>
  <c r="R103" i="13"/>
  <c r="AD79" i="21"/>
  <c r="V96" i="13" s="1"/>
  <c r="Q96" i="13"/>
  <c r="AB81" i="21"/>
  <c r="U87" i="13" s="1"/>
  <c r="O87" i="13"/>
  <c r="AE74" i="21"/>
  <c r="R77" i="13"/>
  <c r="AF79" i="21"/>
  <c r="W96" i="13" s="1"/>
  <c r="S96" i="13"/>
  <c r="AD78" i="21"/>
  <c r="V78" i="13" s="1"/>
  <c r="Q78" i="13"/>
  <c r="AB77" i="21"/>
  <c r="U86" i="13" s="1"/>
  <c r="O86" i="13"/>
  <c r="AC77" i="21"/>
  <c r="P86" i="13"/>
  <c r="AC76" i="21"/>
  <c r="P103" i="13"/>
  <c r="AE80" i="21"/>
  <c r="R104" i="13"/>
  <c r="AD81" i="21"/>
  <c r="V87" i="13" s="1"/>
  <c r="Q87" i="13"/>
  <c r="AB78" i="21"/>
  <c r="U78" i="13" s="1"/>
  <c r="O78" i="13"/>
  <c r="AH74" i="21"/>
  <c r="X77" i="13" s="1"/>
  <c r="T77" i="13"/>
  <c r="AB80" i="21"/>
  <c r="U104" i="13" s="1"/>
  <c r="O104" i="13"/>
  <c r="AB79" i="21"/>
  <c r="U96" i="13" s="1"/>
  <c r="O96" i="13"/>
  <c r="AE79" i="21"/>
  <c r="R96" i="13"/>
  <c r="AF75" i="21"/>
  <c r="W95" i="13" s="1"/>
  <c r="S95" i="13"/>
  <c r="AD75" i="21"/>
  <c r="V95" i="13" s="1"/>
  <c r="Q95" i="13"/>
  <c r="AF81" i="21"/>
  <c r="W87" i="13" s="1"/>
  <c r="S87" i="13"/>
  <c r="AC78" i="21"/>
  <c r="P78" i="13"/>
  <c r="AF77" i="21"/>
  <c r="W86" i="13" s="1"/>
  <c r="S86" i="13"/>
  <c r="AF76" i="21"/>
  <c r="W103" i="13" s="1"/>
  <c r="S103" i="13"/>
  <c r="AD76" i="21"/>
  <c r="V103" i="13" s="1"/>
  <c r="Q103" i="13"/>
  <c r="AH78" i="21"/>
  <c r="X78" i="13" s="1"/>
  <c r="T78" i="13"/>
  <c r="AD80" i="21"/>
  <c r="V104" i="13" s="1"/>
  <c r="Q104" i="13"/>
  <c r="AH75" i="21"/>
  <c r="X95" i="13" s="1"/>
  <c r="T95" i="13"/>
  <c r="AB75" i="21"/>
  <c r="U95" i="13" s="1"/>
  <c r="O95" i="13"/>
  <c r="AF78" i="21"/>
  <c r="W78" i="13" s="1"/>
  <c r="S78" i="13"/>
  <c r="AE77" i="21"/>
  <c r="R86" i="13"/>
  <c r="AF80" i="21"/>
  <c r="W104" i="13" s="1"/>
  <c r="S104" i="13"/>
  <c r="AC79" i="21"/>
  <c r="P96" i="13"/>
  <c r="AH81" i="21"/>
  <c r="X87" i="13" s="1"/>
  <c r="T87" i="13"/>
  <c r="AH77" i="21"/>
  <c r="X86" i="13" s="1"/>
  <c r="T86" i="13"/>
  <c r="N44" i="21" a="1"/>
  <c r="N44" i="21" s="1"/>
  <c r="N49" i="21" a="1"/>
  <c r="N49" i="21" s="1"/>
  <c r="T84" i="21"/>
  <c r="P84" i="21"/>
  <c r="AA84" i="21" s="1"/>
  <c r="Y84" i="21"/>
  <c r="O84" i="21"/>
  <c r="Z84" i="21" s="1"/>
  <c r="W84" i="21"/>
  <c r="U84" i="21"/>
  <c r="R84" i="21"/>
  <c r="V84" i="21"/>
  <c r="AG84" i="21" s="1"/>
  <c r="S84" i="21"/>
  <c r="Q84" i="21"/>
  <c r="Q88" i="21"/>
  <c r="W88" i="21"/>
  <c r="O88" i="21"/>
  <c r="Z88" i="21" s="1"/>
  <c r="V88" i="21"/>
  <c r="AG88" i="21" s="1"/>
  <c r="U88" i="21"/>
  <c r="T88" i="21"/>
  <c r="S88" i="21"/>
  <c r="R88" i="21"/>
  <c r="Y88" i="21"/>
  <c r="P88" i="21"/>
  <c r="AA88" i="21" s="1"/>
  <c r="V92" i="21"/>
  <c r="AG92" i="21" s="1"/>
  <c r="U92" i="21"/>
  <c r="T92" i="21"/>
  <c r="S92" i="21"/>
  <c r="Q92" i="21"/>
  <c r="Y92" i="21"/>
  <c r="W92" i="21"/>
  <c r="R92" i="21"/>
  <c r="P92" i="21"/>
  <c r="AA92" i="21" s="1"/>
  <c r="O92" i="21"/>
  <c r="Z92" i="21" s="1"/>
  <c r="V89" i="21"/>
  <c r="AG89" i="21" s="1"/>
  <c r="T89" i="21"/>
  <c r="Q89" i="21"/>
  <c r="P89" i="21"/>
  <c r="AA89" i="21" s="1"/>
  <c r="O89" i="21"/>
  <c r="Z89" i="21" s="1"/>
  <c r="Y89" i="21"/>
  <c r="W89" i="21"/>
  <c r="S89" i="21"/>
  <c r="U89" i="21"/>
  <c r="R89" i="21"/>
  <c r="W70" i="21"/>
  <c r="O70" i="21"/>
  <c r="Z70" i="21" s="1"/>
  <c r="Q70" i="21"/>
  <c r="P70" i="21"/>
  <c r="AA70" i="21" s="1"/>
  <c r="V70" i="21"/>
  <c r="AG70" i="21" s="1"/>
  <c r="U70" i="21"/>
  <c r="S70" i="21"/>
  <c r="T70" i="21"/>
  <c r="Y70" i="21"/>
  <c r="R70" i="21"/>
  <c r="S90" i="21"/>
  <c r="Q90" i="21"/>
  <c r="V90" i="21"/>
  <c r="AG90" i="21" s="1"/>
  <c r="U90" i="21"/>
  <c r="T90" i="21"/>
  <c r="R90" i="21"/>
  <c r="P90" i="21"/>
  <c r="AA90" i="21" s="1"/>
  <c r="Y90" i="21"/>
  <c r="O90" i="21"/>
  <c r="Z90" i="21" s="1"/>
  <c r="W90" i="21"/>
  <c r="S87" i="21"/>
  <c r="Q87" i="21"/>
  <c r="P87" i="21"/>
  <c r="AA87" i="21" s="1"/>
  <c r="O87" i="21"/>
  <c r="Z87" i="21" s="1"/>
  <c r="Y87" i="21"/>
  <c r="W87" i="21"/>
  <c r="V87" i="21"/>
  <c r="AG87" i="21" s="1"/>
  <c r="T87" i="21"/>
  <c r="U87" i="21"/>
  <c r="R87" i="21"/>
  <c r="N46" i="21" a="1"/>
  <c r="N46" i="21" s="1"/>
  <c r="N45" i="21" a="1"/>
  <c r="N45" i="21" s="1"/>
  <c r="N40" i="21" a="1"/>
  <c r="N40" i="21" s="1"/>
  <c r="N41" i="21" a="1"/>
  <c r="N41" i="21" s="1"/>
  <c r="V86" i="21"/>
  <c r="AG86" i="21" s="1"/>
  <c r="T86" i="21"/>
  <c r="W86" i="21"/>
  <c r="U86" i="21"/>
  <c r="S86" i="21"/>
  <c r="Q86" i="21"/>
  <c r="O86" i="21"/>
  <c r="Z86" i="21" s="1"/>
  <c r="R86" i="21"/>
  <c r="P86" i="21"/>
  <c r="AA86" i="21" s="1"/>
  <c r="Y86" i="21"/>
  <c r="S93" i="21"/>
  <c r="R93" i="21"/>
  <c r="Q93" i="21"/>
  <c r="Y93" i="21"/>
  <c r="P93" i="21"/>
  <c r="AA93" i="21" s="1"/>
  <c r="V93" i="21"/>
  <c r="AG93" i="21" s="1"/>
  <c r="U93" i="21"/>
  <c r="T93" i="21"/>
  <c r="O93" i="21"/>
  <c r="Z93" i="21" s="1"/>
  <c r="W93" i="21"/>
  <c r="V83" i="21"/>
  <c r="AG83" i="21" s="1"/>
  <c r="Y83" i="21"/>
  <c r="O83" i="21"/>
  <c r="Z83" i="21" s="1"/>
  <c r="W83" i="21"/>
  <c r="U83" i="21"/>
  <c r="S83" i="21"/>
  <c r="Q83" i="21"/>
  <c r="T83" i="21"/>
  <c r="R83" i="21"/>
  <c r="P83" i="21"/>
  <c r="AA83" i="21" s="1"/>
  <c r="T75" i="22"/>
  <c r="N71" i="21" s="1" a="1"/>
  <c r="N71" i="21" s="1"/>
  <c r="G116" i="22"/>
  <c r="D128" i="22" s="1"/>
  <c r="T83" i="22" s="1"/>
  <c r="Q82" i="21"/>
  <c r="W82" i="21"/>
  <c r="V82" i="21"/>
  <c r="AG82" i="21" s="1"/>
  <c r="U82" i="21"/>
  <c r="S82" i="21"/>
  <c r="P82" i="21"/>
  <c r="AA82" i="21" s="1"/>
  <c r="Y82" i="21"/>
  <c r="R82" i="21"/>
  <c r="T82" i="21"/>
  <c r="O82" i="21"/>
  <c r="Z82" i="21" s="1"/>
  <c r="N43" i="21" a="1"/>
  <c r="N43" i="21" s="1"/>
  <c r="N48" i="21" a="1"/>
  <c r="N48" i="21" s="1"/>
  <c r="Y91" i="21"/>
  <c r="P91" i="21"/>
  <c r="AA91" i="21" s="1"/>
  <c r="V91" i="21"/>
  <c r="AG91" i="21" s="1"/>
  <c r="U91" i="21"/>
  <c r="Q91" i="21"/>
  <c r="O91" i="21"/>
  <c r="Z91" i="21" s="1"/>
  <c r="W91" i="21"/>
  <c r="S91" i="21"/>
  <c r="T91" i="21"/>
  <c r="R91" i="21"/>
  <c r="Q85" i="21"/>
  <c r="W85" i="21"/>
  <c r="O85" i="21"/>
  <c r="Z85" i="21" s="1"/>
  <c r="R85" i="21"/>
  <c r="P85" i="21"/>
  <c r="AA85" i="21" s="1"/>
  <c r="V85" i="21"/>
  <c r="AG85" i="21" s="1"/>
  <c r="T85" i="21"/>
  <c r="U85" i="21"/>
  <c r="S85" i="21"/>
  <c r="Y85" i="21"/>
  <c r="W73" i="21"/>
  <c r="O73" i="21"/>
  <c r="Z73" i="21" s="1"/>
  <c r="Q73" i="21"/>
  <c r="T73" i="21"/>
  <c r="P73" i="21"/>
  <c r="AA73" i="21" s="1"/>
  <c r="V73" i="21"/>
  <c r="AG73" i="21" s="1"/>
  <c r="Y73" i="21"/>
  <c r="S73" i="21"/>
  <c r="U73" i="21"/>
  <c r="R73" i="21"/>
  <c r="R72" i="21"/>
  <c r="T72" i="21"/>
  <c r="P72" i="21"/>
  <c r="AA72" i="21" s="1"/>
  <c r="W72" i="21"/>
  <c r="V72" i="21"/>
  <c r="AG72" i="21" s="1"/>
  <c r="S72" i="21"/>
  <c r="U72" i="21"/>
  <c r="Q72" i="21"/>
  <c r="O72" i="21"/>
  <c r="Z72" i="21" s="1"/>
  <c r="Y72" i="21"/>
  <c r="AS27" i="20"/>
  <c r="Z18" i="20"/>
  <c r="AG27" i="20" a="1"/>
  <c r="AG27" i="20" s="1"/>
  <c r="AT27" i="20" a="1"/>
  <c r="AF87" i="21" l="1"/>
  <c r="W98" i="13" s="1"/>
  <c r="S98" i="13"/>
  <c r="AH89" i="21"/>
  <c r="X89" i="13" s="1"/>
  <c r="T89" i="13"/>
  <c r="AH84" i="21"/>
  <c r="X105" i="13" s="1"/>
  <c r="T105" i="13"/>
  <c r="AH90" i="21"/>
  <c r="X81" i="13" s="1"/>
  <c r="T81" i="13"/>
  <c r="AB91" i="21"/>
  <c r="U99" i="13" s="1"/>
  <c r="O99" i="13"/>
  <c r="AB88" i="21"/>
  <c r="U106" i="13" s="1"/>
  <c r="O106" i="13"/>
  <c r="AE73" i="21"/>
  <c r="R85" i="13"/>
  <c r="AE83" i="21"/>
  <c r="R97" i="13"/>
  <c r="AF86" i="21"/>
  <c r="W80" i="13" s="1"/>
  <c r="S80" i="13"/>
  <c r="AF70" i="21"/>
  <c r="W76" i="13" s="1"/>
  <c r="S76" i="13"/>
  <c r="AF92" i="21"/>
  <c r="W107" i="13" s="1"/>
  <c r="S107" i="13"/>
  <c r="AD93" i="21"/>
  <c r="V90" i="13" s="1"/>
  <c r="Q90" i="13"/>
  <c r="AB72" i="21"/>
  <c r="U102" i="13" s="1"/>
  <c r="O102" i="13"/>
  <c r="AD83" i="21"/>
  <c r="V97" i="13" s="1"/>
  <c r="Q97" i="13"/>
  <c r="AE87" i="21"/>
  <c r="R98" i="13"/>
  <c r="AF73" i="21"/>
  <c r="W85" i="13" s="1"/>
  <c r="S85" i="13"/>
  <c r="AH73" i="21"/>
  <c r="X85" i="13" s="1"/>
  <c r="T85" i="13"/>
  <c r="AE82" i="21"/>
  <c r="R79" i="13"/>
  <c r="AB82" i="21"/>
  <c r="U79" i="13" s="1"/>
  <c r="O79" i="13"/>
  <c r="AF83" i="21"/>
  <c r="W97" i="13" s="1"/>
  <c r="S97" i="13"/>
  <c r="AF93" i="21"/>
  <c r="W90" i="13" s="1"/>
  <c r="S90" i="13"/>
  <c r="AD90" i="21"/>
  <c r="V81" i="13" s="1"/>
  <c r="Q81" i="13"/>
  <c r="AB70" i="21"/>
  <c r="U76" i="13" s="1"/>
  <c r="O76" i="13"/>
  <c r="AH92" i="21"/>
  <c r="X107" i="13" s="1"/>
  <c r="T107" i="13"/>
  <c r="AD72" i="21"/>
  <c r="V102" i="13" s="1"/>
  <c r="Q102" i="13"/>
  <c r="AD73" i="21"/>
  <c r="V85" i="13" s="1"/>
  <c r="Q85" i="13"/>
  <c r="AH85" i="21"/>
  <c r="X88" i="13" s="1"/>
  <c r="T88" i="13"/>
  <c r="AF91" i="21"/>
  <c r="W99" i="13" s="1"/>
  <c r="S99" i="13"/>
  <c r="AC82" i="21"/>
  <c r="P79" i="13"/>
  <c r="AH83" i="21"/>
  <c r="X97" i="13" s="1"/>
  <c r="T97" i="13"/>
  <c r="AC86" i="21"/>
  <c r="P80" i="13"/>
  <c r="AH87" i="21"/>
  <c r="X98" i="13" s="1"/>
  <c r="T98" i="13"/>
  <c r="AC70" i="21"/>
  <c r="P76" i="13"/>
  <c r="AC88" i="21"/>
  <c r="P106" i="13"/>
  <c r="AB84" i="21"/>
  <c r="U105" i="13" s="1"/>
  <c r="O105" i="13"/>
  <c r="AB87" i="21"/>
  <c r="U98" i="13" s="1"/>
  <c r="O98" i="13"/>
  <c r="AB73" i="21"/>
  <c r="U85" i="13" s="1"/>
  <c r="O85" i="13"/>
  <c r="AH82" i="21"/>
  <c r="X79" i="13" s="1"/>
  <c r="T79" i="13"/>
  <c r="AD91" i="21"/>
  <c r="V99" i="13" s="1"/>
  <c r="Q99" i="13"/>
  <c r="AH93" i="21"/>
  <c r="X90" i="13" s="1"/>
  <c r="T90" i="13"/>
  <c r="AC87" i="21"/>
  <c r="P98" i="13"/>
  <c r="AD89" i="21"/>
  <c r="V89" i="13" s="1"/>
  <c r="Q89" i="13"/>
  <c r="AC72" i="21"/>
  <c r="P102" i="13"/>
  <c r="AB83" i="21"/>
  <c r="U97" i="13" s="1"/>
  <c r="O97" i="13"/>
  <c r="AH86" i="21"/>
  <c r="X80" i="13" s="1"/>
  <c r="T80" i="13"/>
  <c r="AC73" i="21"/>
  <c r="P85" i="13"/>
  <c r="AE93" i="21"/>
  <c r="R90" i="13"/>
  <c r="AB90" i="21"/>
  <c r="U81" i="13" s="1"/>
  <c r="O81" i="13"/>
  <c r="AC92" i="21"/>
  <c r="P107" i="13"/>
  <c r="AH88" i="21"/>
  <c r="X106" i="13" s="1"/>
  <c r="T106" i="13"/>
  <c r="AF72" i="21"/>
  <c r="W102" i="13" s="1"/>
  <c r="S102" i="13"/>
  <c r="AD85" i="21"/>
  <c r="V88" i="13" s="1"/>
  <c r="Q88" i="13"/>
  <c r="AB89" i="21"/>
  <c r="U89" i="13" s="1"/>
  <c r="O89" i="13"/>
  <c r="AB92" i="21"/>
  <c r="U107" i="13" s="1"/>
  <c r="O107" i="13"/>
  <c r="AD84" i="21"/>
  <c r="V105" i="13" s="1"/>
  <c r="Q105" i="13"/>
  <c r="AE84" i="21"/>
  <c r="R105" i="13"/>
  <c r="AH72" i="21"/>
  <c r="X102" i="13" s="1"/>
  <c r="T102" i="13"/>
  <c r="AF85" i="21"/>
  <c r="W88" i="13" s="1"/>
  <c r="S88" i="13"/>
  <c r="AC91" i="21"/>
  <c r="P99" i="13"/>
  <c r="AB86" i="21"/>
  <c r="U80" i="13" s="1"/>
  <c r="O80" i="13"/>
  <c r="AC90" i="21"/>
  <c r="P81" i="13"/>
  <c r="AE70" i="21"/>
  <c r="R76" i="13"/>
  <c r="AC89" i="21"/>
  <c r="P89" i="13"/>
  <c r="AE89" i="21"/>
  <c r="R89" i="13"/>
  <c r="AD92" i="21"/>
  <c r="V107" i="13" s="1"/>
  <c r="Q107" i="13"/>
  <c r="AE88" i="21"/>
  <c r="R106" i="13"/>
  <c r="AE72" i="21"/>
  <c r="R102" i="13"/>
  <c r="AF82" i="21"/>
  <c r="W79" i="13" s="1"/>
  <c r="S79" i="13"/>
  <c r="AC93" i="21"/>
  <c r="P90" i="13"/>
  <c r="AF90" i="21"/>
  <c r="W81" i="13" s="1"/>
  <c r="S81" i="13"/>
  <c r="AF84" i="21"/>
  <c r="W105" i="13" s="1"/>
  <c r="S105" i="13"/>
  <c r="AH91" i="21"/>
  <c r="X99" i="13" s="1"/>
  <c r="T99" i="13"/>
  <c r="AD87" i="21"/>
  <c r="V98" i="13" s="1"/>
  <c r="Q98" i="13"/>
  <c r="AC85" i="21"/>
  <c r="P88" i="13"/>
  <c r="AE86" i="21"/>
  <c r="R80" i="13"/>
  <c r="AB85" i="21"/>
  <c r="U88" i="13" s="1"/>
  <c r="O88" i="13"/>
  <c r="AH70" i="21"/>
  <c r="X76" i="13" s="1"/>
  <c r="T76" i="13"/>
  <c r="AD88" i="21"/>
  <c r="V106" i="13" s="1"/>
  <c r="Q106" i="13"/>
  <c r="AE85" i="21"/>
  <c r="R88" i="13"/>
  <c r="AE91" i="21"/>
  <c r="R99" i="13"/>
  <c r="AD82" i="21"/>
  <c r="V79" i="13" s="1"/>
  <c r="Q79" i="13"/>
  <c r="AC83" i="21"/>
  <c r="P97" i="13"/>
  <c r="AB93" i="21"/>
  <c r="U90" i="13" s="1"/>
  <c r="O90" i="13"/>
  <c r="AD86" i="21"/>
  <c r="V80" i="13" s="1"/>
  <c r="Q80" i="13"/>
  <c r="AE90" i="21"/>
  <c r="R81" i="13"/>
  <c r="AD70" i="21"/>
  <c r="V76" i="13" s="1"/>
  <c r="Q76" i="13"/>
  <c r="AF89" i="21"/>
  <c r="W89" i="13" s="1"/>
  <c r="S89" i="13"/>
  <c r="AE92" i="21"/>
  <c r="R107" i="13"/>
  <c r="AF88" i="21"/>
  <c r="W106" i="13" s="1"/>
  <c r="S106" i="13"/>
  <c r="AC84" i="21"/>
  <c r="P105" i="13"/>
  <c r="R48" i="21"/>
  <c r="Q48" i="21"/>
  <c r="W48" i="21"/>
  <c r="O48" i="21"/>
  <c r="Z48" i="21" s="1"/>
  <c r="V48" i="21"/>
  <c r="AG48" i="21" s="1"/>
  <c r="T48" i="21"/>
  <c r="Y48" i="21"/>
  <c r="U48" i="21"/>
  <c r="S48" i="21"/>
  <c r="P48" i="21"/>
  <c r="AA48" i="21" s="1"/>
  <c r="Y43" i="21"/>
  <c r="P43" i="21"/>
  <c r="AA43" i="21" s="1"/>
  <c r="V43" i="21"/>
  <c r="AG43" i="21" s="1"/>
  <c r="S43" i="21"/>
  <c r="Q43" i="21"/>
  <c r="O43" i="21"/>
  <c r="Z43" i="21" s="1"/>
  <c r="W43" i="21"/>
  <c r="T43" i="21"/>
  <c r="R43" i="21"/>
  <c r="U43" i="21"/>
  <c r="N47" i="21" a="1"/>
  <c r="N47" i="21" s="1"/>
  <c r="N42" i="21" a="1"/>
  <c r="N42" i="21" s="1"/>
  <c r="V41" i="21"/>
  <c r="AG41" i="21" s="1"/>
  <c r="T41" i="21"/>
  <c r="Q41" i="21"/>
  <c r="U41" i="21"/>
  <c r="S41" i="21"/>
  <c r="R41" i="21"/>
  <c r="P41" i="21"/>
  <c r="AA41" i="21" s="1"/>
  <c r="O41" i="21"/>
  <c r="Z41" i="21" s="1"/>
  <c r="Y41" i="21"/>
  <c r="W41" i="21"/>
  <c r="T71" i="21"/>
  <c r="V71" i="21"/>
  <c r="AG71" i="21" s="1"/>
  <c r="U71" i="21"/>
  <c r="Q71" i="21"/>
  <c r="P71" i="21"/>
  <c r="AA71" i="21" s="1"/>
  <c r="Y71" i="21"/>
  <c r="W71" i="21"/>
  <c r="S71" i="21"/>
  <c r="R71" i="21"/>
  <c r="O71" i="21"/>
  <c r="Z71" i="21" s="1"/>
  <c r="Q40" i="21"/>
  <c r="W40" i="21"/>
  <c r="O40" i="21"/>
  <c r="Z40" i="21" s="1"/>
  <c r="T40" i="21"/>
  <c r="V40" i="21"/>
  <c r="AG40" i="21" s="1"/>
  <c r="U40" i="21"/>
  <c r="S40" i="21"/>
  <c r="R40" i="21"/>
  <c r="P40" i="21"/>
  <c r="AA40" i="21" s="1"/>
  <c r="Y40" i="21"/>
  <c r="R45" i="21"/>
  <c r="Y45" i="21"/>
  <c r="P45" i="21"/>
  <c r="AA45" i="21" s="1"/>
  <c r="W45" i="21"/>
  <c r="U45" i="21"/>
  <c r="V45" i="21"/>
  <c r="AG45" i="21" s="1"/>
  <c r="T45" i="21"/>
  <c r="S45" i="21"/>
  <c r="Q45" i="21"/>
  <c r="O45" i="21"/>
  <c r="Z45" i="21" s="1"/>
  <c r="W49" i="21"/>
  <c r="O49" i="21"/>
  <c r="Z49" i="21" s="1"/>
  <c r="V49" i="21"/>
  <c r="AG49" i="21" s="1"/>
  <c r="U49" i="21"/>
  <c r="T49" i="21"/>
  <c r="S49" i="21"/>
  <c r="Q49" i="21"/>
  <c r="Y49" i="21"/>
  <c r="R49" i="21"/>
  <c r="P49" i="21"/>
  <c r="AA49" i="21" s="1"/>
  <c r="W46" i="21"/>
  <c r="O46" i="21"/>
  <c r="Z46" i="21" s="1"/>
  <c r="U46" i="21"/>
  <c r="T46" i="21"/>
  <c r="R46" i="21"/>
  <c r="Y46" i="21"/>
  <c r="V46" i="21"/>
  <c r="AG46" i="21" s="1"/>
  <c r="S46" i="21"/>
  <c r="P46" i="21"/>
  <c r="AA46" i="21" s="1"/>
  <c r="Q46" i="21"/>
  <c r="U44" i="21"/>
  <c r="S44" i="21"/>
  <c r="Y44" i="21"/>
  <c r="P44" i="21"/>
  <c r="AA44" i="21" s="1"/>
  <c r="W44" i="21"/>
  <c r="V44" i="21"/>
  <c r="AG44" i="21" s="1"/>
  <c r="T44" i="21"/>
  <c r="Q44" i="21"/>
  <c r="R44" i="21"/>
  <c r="O44" i="21"/>
  <c r="Z44" i="21" s="1"/>
  <c r="AT27" i="20"/>
  <c r="AH27" i="20" a="1"/>
  <c r="AH27" i="20" s="1"/>
  <c r="AA18" i="20"/>
  <c r="AU27" i="20" a="1"/>
  <c r="AE71" i="21" l="1"/>
  <c r="R94" i="13"/>
  <c r="AB71" i="21"/>
  <c r="U94" i="13" s="1"/>
  <c r="O94" i="13"/>
  <c r="AD71" i="21"/>
  <c r="V94" i="13" s="1"/>
  <c r="Q94" i="13"/>
  <c r="AC71" i="21"/>
  <c r="P94" i="13"/>
  <c r="AH71" i="21"/>
  <c r="X94" i="13" s="1"/>
  <c r="T94" i="13"/>
  <c r="AF71" i="21"/>
  <c r="W94" i="13" s="1"/>
  <c r="S94" i="13"/>
  <c r="AE48" i="21"/>
  <c r="R56" i="13"/>
  <c r="AD46" i="21"/>
  <c r="V57" i="13" s="1"/>
  <c r="Q57" i="13"/>
  <c r="AH45" i="21"/>
  <c r="X53" i="13" s="1"/>
  <c r="T53" i="13"/>
  <c r="AF40" i="21"/>
  <c r="W39" i="13" s="1"/>
  <c r="S39" i="13"/>
  <c r="AH41" i="21"/>
  <c r="X42" i="13" s="1"/>
  <c r="T42" i="13"/>
  <c r="AE41" i="21"/>
  <c r="R42" i="13"/>
  <c r="AF48" i="21"/>
  <c r="W56" i="13" s="1"/>
  <c r="S56" i="13"/>
  <c r="AH44" i="21"/>
  <c r="X40" i="13" s="1"/>
  <c r="T40" i="13"/>
  <c r="AC49" i="21"/>
  <c r="P54" i="13"/>
  <c r="AH49" i="21"/>
  <c r="X54" i="13" s="1"/>
  <c r="T54" i="13"/>
  <c r="AB43" i="21"/>
  <c r="U41" i="13" s="1"/>
  <c r="O41" i="13"/>
  <c r="AC46" i="21"/>
  <c r="P57" i="13"/>
  <c r="AD44" i="21"/>
  <c r="V40" i="13" s="1"/>
  <c r="Q40" i="13"/>
  <c r="AE46" i="21"/>
  <c r="R57" i="13"/>
  <c r="AD49" i="21"/>
  <c r="V54" i="13" s="1"/>
  <c r="Q54" i="13"/>
  <c r="AD45" i="21"/>
  <c r="V53" i="13" s="1"/>
  <c r="Q53" i="13"/>
  <c r="AH40" i="21"/>
  <c r="X39" i="13" s="1"/>
  <c r="T39" i="13"/>
  <c r="AC41" i="21"/>
  <c r="P42" i="13"/>
  <c r="AF43" i="21"/>
  <c r="W41" i="13" s="1"/>
  <c r="S41" i="13"/>
  <c r="AD43" i="21"/>
  <c r="V41" i="13" s="1"/>
  <c r="Q41" i="13"/>
  <c r="AC45" i="21"/>
  <c r="P53" i="13"/>
  <c r="AC44" i="21"/>
  <c r="P40" i="13"/>
  <c r="AF44" i="21"/>
  <c r="W40" i="13" s="1"/>
  <c r="S40" i="13"/>
  <c r="AF46" i="21"/>
  <c r="W57" i="13" s="1"/>
  <c r="S57" i="13"/>
  <c r="AE49" i="21"/>
  <c r="R54" i="13"/>
  <c r="AE45" i="21"/>
  <c r="R53" i="13"/>
  <c r="AB40" i="21"/>
  <c r="U39" i="13" s="1"/>
  <c r="O39" i="13"/>
  <c r="AD41" i="21"/>
  <c r="V42" i="13" s="1"/>
  <c r="Q42" i="13"/>
  <c r="AC43" i="21"/>
  <c r="P41" i="13"/>
  <c r="AH48" i="21"/>
  <c r="X56" i="13" s="1"/>
  <c r="T56" i="13"/>
  <c r="AE40" i="21"/>
  <c r="R39" i="13"/>
  <c r="AB49" i="21"/>
  <c r="U54" i="13" s="1"/>
  <c r="O54" i="13"/>
  <c r="AB46" i="21"/>
  <c r="U57" i="13" s="1"/>
  <c r="O57" i="13"/>
  <c r="AF49" i="21"/>
  <c r="W54" i="13" s="1"/>
  <c r="S54" i="13"/>
  <c r="AC40" i="21"/>
  <c r="P39" i="13"/>
  <c r="AF41" i="21"/>
  <c r="W42" i="13" s="1"/>
  <c r="S42" i="13"/>
  <c r="AE43" i="21"/>
  <c r="R41" i="13"/>
  <c r="AB48" i="21"/>
  <c r="U56" i="13" s="1"/>
  <c r="O56" i="13"/>
  <c r="AB45" i="21"/>
  <c r="U53" i="13" s="1"/>
  <c r="O53" i="13"/>
  <c r="AB44" i="21"/>
  <c r="U40" i="13" s="1"/>
  <c r="O40" i="13"/>
  <c r="AE44" i="21"/>
  <c r="R40" i="13"/>
  <c r="AH46" i="21"/>
  <c r="X57" i="13" s="1"/>
  <c r="T57" i="13"/>
  <c r="AF45" i="21"/>
  <c r="W53" i="13" s="1"/>
  <c r="S53" i="13"/>
  <c r="AD40" i="21"/>
  <c r="V39" i="13" s="1"/>
  <c r="Q39" i="13"/>
  <c r="AB41" i="21"/>
  <c r="U42" i="13" s="1"/>
  <c r="O42" i="13"/>
  <c r="AH43" i="21"/>
  <c r="X41" i="13" s="1"/>
  <c r="T41" i="13"/>
  <c r="AD48" i="21"/>
  <c r="V56" i="13" s="1"/>
  <c r="Q56" i="13"/>
  <c r="AC48" i="21"/>
  <c r="P56" i="13"/>
  <c r="U47" i="21"/>
  <c r="T47" i="21"/>
  <c r="R47" i="21"/>
  <c r="Q47" i="21"/>
  <c r="W47" i="21"/>
  <c r="O47" i="21"/>
  <c r="Z47" i="21" s="1"/>
  <c r="P47" i="21"/>
  <c r="AA47" i="21" s="1"/>
  <c r="V47" i="21"/>
  <c r="AG47" i="21" s="1"/>
  <c r="S47" i="21"/>
  <c r="Y47" i="21"/>
  <c r="S42" i="21"/>
  <c r="Q42" i="21"/>
  <c r="V42" i="21"/>
  <c r="AG42" i="21" s="1"/>
  <c r="T42" i="21"/>
  <c r="R42" i="21"/>
  <c r="P42" i="21"/>
  <c r="AA42" i="21" s="1"/>
  <c r="O42" i="21"/>
  <c r="Z42" i="21" s="1"/>
  <c r="W42" i="21"/>
  <c r="U42" i="21"/>
  <c r="Y42" i="21"/>
  <c r="AU27" i="20"/>
  <c r="AB18" i="20"/>
  <c r="AK27" i="20"/>
  <c r="AV27" i="20" a="1"/>
  <c r="AE42" i="21" l="1"/>
  <c r="R43" i="13"/>
  <c r="AC42" i="21"/>
  <c r="P43" i="13"/>
  <c r="AH47" i="21"/>
  <c r="X55" i="13" s="1"/>
  <c r="T55" i="13"/>
  <c r="AB47" i="21"/>
  <c r="U55" i="13" s="1"/>
  <c r="O55" i="13"/>
  <c r="AB42" i="21"/>
  <c r="U43" i="13" s="1"/>
  <c r="O43" i="13"/>
  <c r="AF42" i="21"/>
  <c r="W43" i="13" s="1"/>
  <c r="S43" i="13"/>
  <c r="AD42" i="21"/>
  <c r="V43" i="13" s="1"/>
  <c r="Q43" i="13"/>
  <c r="AC47" i="21"/>
  <c r="P55" i="13"/>
  <c r="AH42" i="21"/>
  <c r="X43" i="13" s="1"/>
  <c r="T43" i="13"/>
  <c r="AE47" i="21"/>
  <c r="R55" i="13"/>
  <c r="AD47" i="21"/>
  <c r="V55" i="13" s="1"/>
  <c r="Q55" i="13"/>
  <c r="AF47" i="21"/>
  <c r="W55" i="13" s="1"/>
  <c r="S55" i="13"/>
  <c r="AV27" i="20"/>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T22"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T3" i="18"/>
  <c r="U3" i="18" s="1"/>
  <c r="AD3" i="18" s="1"/>
  <c r="T20" i="18"/>
  <c r="U20" i="18" s="1"/>
  <c r="AD20" i="18" s="1"/>
  <c r="T15" i="18"/>
  <c r="U15" i="18" s="1"/>
  <c r="AD15" i="18" s="1"/>
  <c r="T36" i="18"/>
  <c r="U36" i="18" s="1"/>
  <c r="AD36" i="18" s="1"/>
  <c r="T28" i="18"/>
  <c r="U28" i="18" s="1"/>
  <c r="AD28" i="18" s="1"/>
  <c r="T23" i="18"/>
  <c r="U23" i="18" s="1"/>
  <c r="AD23" i="18" s="1"/>
  <c r="T12" i="18"/>
  <c r="U12" i="18" s="1"/>
  <c r="AD12" i="18" s="1"/>
  <c r="T14" i="18"/>
  <c r="U14" i="18" s="1"/>
  <c r="AD14" i="18" s="1"/>
  <c r="T13" i="18"/>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12" i="18"/>
  <c r="O15" i="6" s="1"/>
  <c r="AH12" i="18"/>
  <c r="N15" i="6" s="1"/>
  <c r="AG12" i="18"/>
  <c r="M15" i="6" s="1"/>
  <c r="AF12" i="18"/>
  <c r="L15" i="6" s="1"/>
  <c r="AE12" i="18"/>
  <c r="K15" i="6" s="1"/>
  <c r="AL23" i="18"/>
  <c r="R26" i="6" s="1"/>
  <c r="AK23" i="18"/>
  <c r="Q26" i="6" s="1"/>
  <c r="AJ23" i="18"/>
  <c r="P26" i="6" s="1"/>
  <c r="AI23" i="18"/>
  <c r="O26" i="6" s="1"/>
  <c r="AH23" i="18"/>
  <c r="N26" i="6"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I4" i="18"/>
  <c r="O7" i="6" s="1"/>
  <c r="AH4" i="18"/>
  <c r="N7" i="6" s="1"/>
  <c r="AG4" i="18"/>
  <c r="M7" i="6" s="1"/>
  <c r="AF4" i="18"/>
  <c r="L7" i="6" s="1"/>
  <c r="AL15" i="18"/>
  <c r="R18" i="6" s="1"/>
  <c r="AK15" i="18"/>
  <c r="Q18" i="6" s="1"/>
  <c r="AJ15" i="18"/>
  <c r="P18" i="6" s="1"/>
  <c r="AI15" i="18"/>
  <c r="O18" i="6" s="1"/>
  <c r="AH15" i="18"/>
  <c r="N18" i="6"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T47" i="18"/>
  <c r="U47" i="18" s="1"/>
  <c r="AD47" i="18" s="1"/>
  <c r="T48" i="18"/>
  <c r="U48" i="18" s="1"/>
  <c r="AD48" i="18" s="1"/>
  <c r="T49" i="18"/>
  <c r="U49" i="18" s="1"/>
  <c r="AD49" i="18" s="1"/>
  <c r="T52" i="18"/>
  <c r="U52" i="18" s="1"/>
  <c r="AD52" i="18" s="1"/>
  <c r="T53" i="18"/>
  <c r="U53" i="18" s="1"/>
  <c r="AD53" i="18" s="1"/>
  <c r="T46" i="18"/>
  <c r="U46" i="18" s="1"/>
  <c r="AD46" i="18" s="1"/>
  <c r="T94" i="18"/>
  <c r="U94" i="18" s="1"/>
  <c r="AD94" i="18" s="1"/>
  <c r="T82" i="18"/>
  <c r="U82" i="18" s="1"/>
  <c r="AD82" i="18" s="1"/>
  <c r="T70" i="18"/>
  <c r="U70" i="18" s="1"/>
  <c r="AD70" i="18" s="1"/>
  <c r="T58" i="18"/>
  <c r="U58" i="18" s="1"/>
  <c r="AD58" i="18" s="1"/>
  <c r="T21" i="18"/>
  <c r="U21" i="18" s="1"/>
  <c r="AD21" i="18" s="1"/>
  <c r="T5" i="18"/>
  <c r="U5" i="18" s="1"/>
  <c r="AD5" i="18" s="1"/>
  <c r="T40" i="18"/>
  <c r="U40" i="18" s="1"/>
  <c r="AD40" i="18" s="1"/>
  <c r="T29" i="18"/>
  <c r="U29" i="18" s="1"/>
  <c r="AD29" i="18" s="1"/>
  <c r="T30" i="18"/>
  <c r="U30" i="18" s="1"/>
  <c r="AD30" i="18" s="1"/>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T51" i="18" l="1"/>
  <c r="U51" i="18" s="1"/>
  <c r="AD51" i="18" s="1"/>
  <c r="T50" i="18"/>
  <c r="U50" i="18" s="1"/>
  <c r="AD50" i="18" s="1"/>
  <c r="AJ4" i="18"/>
  <c r="P7" i="6" s="1"/>
  <c r="AK4" i="18"/>
  <c r="Q7" i="6" s="1"/>
  <c r="AL4" i="18"/>
  <c r="R7" i="6" s="1"/>
  <c r="AE70" i="18"/>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E11" i="18"/>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5" i="18"/>
  <c r="M8" i="6" s="1"/>
  <c r="AF5" i="18"/>
  <c r="L8" i="6" s="1"/>
  <c r="AE5" i="18"/>
  <c r="K8" i="6" s="1"/>
  <c r="AL21" i="18"/>
  <c r="R24" i="6" s="1"/>
  <c r="AK21" i="18"/>
  <c r="Q24" i="6" s="1"/>
  <c r="AJ21" i="18"/>
  <c r="P24" i="6" s="1"/>
  <c r="AI21" i="18"/>
  <c r="O24" i="6" s="1"/>
  <c r="AH21" i="18"/>
  <c r="N24" i="6"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K46" i="18"/>
  <c r="Q49" i="6" s="1"/>
  <c r="AJ46" i="18"/>
  <c r="P49" i="6" s="1"/>
  <c r="AI46" i="18"/>
  <c r="O49" i="6" s="1"/>
  <c r="AH46" i="18"/>
  <c r="N49" i="6"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T95" i="18"/>
  <c r="U95" i="18" s="1"/>
  <c r="AD95" i="18" s="1"/>
  <c r="T83" i="18"/>
  <c r="U83" i="18" s="1"/>
  <c r="AD83" i="18" s="1"/>
  <c r="T71" i="18"/>
  <c r="U71" i="18" s="1"/>
  <c r="AD71" i="18" s="1"/>
  <c r="T59" i="18"/>
  <c r="U59" i="18" s="1"/>
  <c r="AD59" i="18" s="1"/>
  <c r="T101" i="18"/>
  <c r="U101" i="18" s="1"/>
  <c r="AD101" i="18" s="1"/>
  <c r="T89" i="18"/>
  <c r="U89" i="18" s="1"/>
  <c r="AD89" i="18" s="1"/>
  <c r="T77" i="18"/>
  <c r="U77" i="18" s="1"/>
  <c r="AD77" i="18" s="1"/>
  <c r="T65" i="18"/>
  <c r="U65" i="18" s="1"/>
  <c r="AD65" i="18" s="1"/>
  <c r="T100" i="18"/>
  <c r="U100" i="18" s="1"/>
  <c r="AD100" i="18" s="1"/>
  <c r="T88" i="18"/>
  <c r="U88" i="18" s="1"/>
  <c r="AD88" i="18" s="1"/>
  <c r="T76" i="18"/>
  <c r="U76" i="18" s="1"/>
  <c r="AD76" i="18" s="1"/>
  <c r="T64" i="18"/>
  <c r="U64" i="18" s="1"/>
  <c r="AD64" i="18" s="1"/>
  <c r="T63" i="18"/>
  <c r="U63" i="18" s="1"/>
  <c r="AD63" i="18" s="1"/>
  <c r="T62" i="18"/>
  <c r="U62" i="18" s="1"/>
  <c r="W62" i="18" s="1"/>
  <c r="V62" i="18" s="1"/>
  <c r="AE62" i="18" s="1"/>
  <c r="K65" i="6" s="1"/>
  <c r="T97" i="18"/>
  <c r="U97" i="18" s="1"/>
  <c r="AD97" i="18" s="1"/>
  <c r="T85" i="18"/>
  <c r="U85" i="18" s="1"/>
  <c r="AD85" i="18" s="1"/>
  <c r="T73" i="18"/>
  <c r="U73" i="18" s="1"/>
  <c r="AD73" i="18" s="1"/>
  <c r="T61" i="18"/>
  <c r="U61" i="18" s="1"/>
  <c r="AD61" i="18" s="1"/>
  <c r="T96" i="18"/>
  <c r="U96" i="18" s="1"/>
  <c r="AD96" i="18" s="1"/>
  <c r="T84" i="18"/>
  <c r="U84" i="18" s="1"/>
  <c r="AD84" i="18" s="1"/>
  <c r="T72" i="18"/>
  <c r="U72" i="18" s="1"/>
  <c r="AD72" i="18" s="1"/>
  <c r="T60" i="18"/>
  <c r="U60" i="18" s="1"/>
  <c r="AD60" i="18" s="1"/>
  <c r="T31" i="18"/>
  <c r="U31" i="18" s="1"/>
  <c r="AD31" i="18" s="1"/>
  <c r="T32" i="18"/>
  <c r="U32" i="18" s="1"/>
  <c r="AD32" i="18" s="1"/>
  <c r="T34" i="18"/>
  <c r="U34" i="18" s="1"/>
  <c r="AD34" i="18" s="1"/>
  <c r="T6" i="18"/>
  <c r="U6" i="18" s="1"/>
  <c r="AD6" i="18" s="1"/>
  <c r="T9" i="18"/>
  <c r="U9" i="18" s="1"/>
  <c r="AD9" i="18" s="1"/>
  <c r="T7" i="18"/>
  <c r="U7" i="18" s="1"/>
  <c r="AD7" i="18" s="1"/>
  <c r="AQ14" i="17"/>
  <c r="AL14" i="17"/>
  <c r="AE96" i="18" l="1"/>
  <c r="K99" i="6" s="1"/>
  <c r="AL96" i="18"/>
  <c r="R99" i="6" s="1"/>
  <c r="AK96" i="18"/>
  <c r="Q99" i="6" s="1"/>
  <c r="AJ96" i="18"/>
  <c r="P99" i="6" s="1"/>
  <c r="AI96" i="18"/>
  <c r="O99" i="6" s="1"/>
  <c r="AH96" i="18"/>
  <c r="N99" i="6" s="1"/>
  <c r="AG96" i="18"/>
  <c r="M99" i="6" s="1"/>
  <c r="AF96" i="18"/>
  <c r="L99" i="6" s="1"/>
  <c r="AE73" i="18"/>
  <c r="K76" i="6" s="1"/>
  <c r="AL73" i="18"/>
  <c r="R76" i="6" s="1"/>
  <c r="AK73" i="18"/>
  <c r="Q76" i="6" s="1"/>
  <c r="AJ73" i="18"/>
  <c r="P76" i="6" s="1"/>
  <c r="AI73" i="18"/>
  <c r="O76" i="6" s="1"/>
  <c r="AH73" i="18"/>
  <c r="N76" i="6" s="1"/>
  <c r="AG73" i="18"/>
  <c r="M76" i="6" s="1"/>
  <c r="AF73" i="18"/>
  <c r="L76" i="6"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K89" i="18"/>
  <c r="Q92" i="6" s="1"/>
  <c r="AJ89" i="18"/>
  <c r="P92" i="6" s="1"/>
  <c r="AI89" i="18"/>
  <c r="O92" i="6" s="1"/>
  <c r="AH89" i="18"/>
  <c r="N92" i="6" s="1"/>
  <c r="AG89" i="18"/>
  <c r="M92" i="6" s="1"/>
  <c r="AF89" i="18"/>
  <c r="L92" i="6" s="1"/>
  <c r="AF71" i="18"/>
  <c r="L74" i="6" s="1"/>
  <c r="AI71" i="18"/>
  <c r="O74" i="6" s="1"/>
  <c r="AH71" i="18"/>
  <c r="N74" i="6" s="1"/>
  <c r="AE71" i="18"/>
  <c r="K74" i="6" s="1"/>
  <c r="AG71" i="18"/>
  <c r="M74" i="6" s="1"/>
  <c r="AL71" i="18"/>
  <c r="R74" i="6" s="1"/>
  <c r="AK71" i="18"/>
  <c r="Q74" i="6" s="1"/>
  <c r="AJ71" i="18"/>
  <c r="P74" i="6" s="1"/>
  <c r="AJ101" i="18"/>
  <c r="P104" i="6" s="1"/>
  <c r="AI101" i="18"/>
  <c r="O104" i="6" s="1"/>
  <c r="AH101" i="18"/>
  <c r="N104" i="6" s="1"/>
  <c r="AG101" i="18"/>
  <c r="M104" i="6" s="1"/>
  <c r="AF101" i="18"/>
  <c r="L104" i="6" s="1"/>
  <c r="AE101" i="18"/>
  <c r="K104" i="6" s="1"/>
  <c r="AL101" i="18"/>
  <c r="R104" i="6" s="1"/>
  <c r="AK101" i="18"/>
  <c r="Q104" i="6" s="1"/>
  <c r="AF100" i="18"/>
  <c r="L103" i="6" s="1"/>
  <c r="AI100" i="18"/>
  <c r="O103" i="6" s="1"/>
  <c r="AE100" i="18"/>
  <c r="K103" i="6" s="1"/>
  <c r="AH100" i="18"/>
  <c r="N103" i="6" s="1"/>
  <c r="AL100" i="18"/>
  <c r="R103" i="6" s="1"/>
  <c r="AK100" i="18"/>
  <c r="Q103" i="6" s="1"/>
  <c r="AG100" i="18"/>
  <c r="M103" i="6" s="1"/>
  <c r="AJ100" i="18"/>
  <c r="P103" i="6"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L7" i="18"/>
  <c r="R10" i="6" s="1"/>
  <c r="AK7" i="18"/>
  <c r="Q10" i="6" s="1"/>
  <c r="AJ7" i="18"/>
  <c r="P10" i="6" s="1"/>
  <c r="AI7" i="18"/>
  <c r="O10" i="6" s="1"/>
  <c r="AH7" i="18"/>
  <c r="N10" i="6"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T74" i="18"/>
  <c r="U74" i="18" s="1"/>
  <c r="W74" i="18" s="1"/>
  <c r="T87" i="18"/>
  <c r="U87" i="18" s="1"/>
  <c r="AD87" i="18" s="1"/>
  <c r="T86" i="18"/>
  <c r="U86" i="18" s="1"/>
  <c r="W86" i="18" s="1"/>
  <c r="T99" i="18"/>
  <c r="U99" i="18" s="1"/>
  <c r="AD99" i="18" s="1"/>
  <c r="T98" i="18"/>
  <c r="U98" i="18" s="1"/>
  <c r="AD98" i="18" s="1"/>
  <c r="T10" i="18"/>
  <c r="U10" i="18" s="1"/>
  <c r="AD10" i="18" s="1"/>
  <c r="T8" i="18"/>
  <c r="U8" i="18" s="1"/>
  <c r="AD8" i="18" s="1"/>
  <c r="T33" i="18"/>
  <c r="U33" i="18" s="1"/>
  <c r="AD33" i="18" s="1"/>
  <c r="AR14" i="17"/>
  <c r="AM14" i="17"/>
  <c r="AS14" i="17" s="1"/>
  <c r="AE99" i="18" l="1"/>
  <c r="K102" i="6" s="1"/>
  <c r="AL99" i="18"/>
  <c r="R102" i="6" s="1"/>
  <c r="AJ99" i="18"/>
  <c r="P102" i="6" s="1"/>
  <c r="AK99" i="18"/>
  <c r="Q102" i="6" s="1"/>
  <c r="AI99" i="18"/>
  <c r="O102" i="6" s="1"/>
  <c r="AH99" i="18"/>
  <c r="N102" i="6" s="1"/>
  <c r="AG99" i="18"/>
  <c r="M102" i="6" s="1"/>
  <c r="AF99" i="18"/>
  <c r="L102" i="6" s="1"/>
  <c r="AF74" i="18"/>
  <c r="L77" i="6" s="1"/>
  <c r="V74" i="18"/>
  <c r="AE74" i="18" s="1"/>
  <c r="K77" i="6" s="1"/>
  <c r="V86" i="18"/>
  <c r="AE86" i="18" s="1"/>
  <c r="K89" i="6" s="1"/>
  <c r="AF86" i="18"/>
  <c r="L89" i="6" s="1"/>
  <c r="AJ75" i="18"/>
  <c r="P78" i="6" s="1"/>
  <c r="AL75" i="18"/>
  <c r="R78" i="6" s="1"/>
  <c r="AI75" i="18"/>
  <c r="O78" i="6" s="1"/>
  <c r="AH75" i="18"/>
  <c r="N78" i="6" s="1"/>
  <c r="AG75" i="18"/>
  <c r="M78" i="6" s="1"/>
  <c r="AF75" i="18"/>
  <c r="L78" i="6" s="1"/>
  <c r="AE75" i="18"/>
  <c r="K78" i="6" s="1"/>
  <c r="AK75" i="18"/>
  <c r="Q78" i="6" s="1"/>
  <c r="AJ98" i="18"/>
  <c r="P101" i="6" s="1"/>
  <c r="AI98" i="18"/>
  <c r="O101" i="6" s="1"/>
  <c r="AH98" i="18"/>
  <c r="N101" i="6" s="1"/>
  <c r="AG98" i="18"/>
  <c r="M101" i="6" s="1"/>
  <c r="AF98" i="18"/>
  <c r="L101" i="6" s="1"/>
  <c r="AL98" i="18"/>
  <c r="R101" i="6" s="1"/>
  <c r="AE98" i="18"/>
  <c r="K101" i="6" s="1"/>
  <c r="AK98" i="18"/>
  <c r="Q101" i="6" s="1"/>
  <c r="AF87" i="18"/>
  <c r="L90" i="6" s="1"/>
  <c r="AI87" i="18"/>
  <c r="O90" i="6" s="1"/>
  <c r="AG87" i="18"/>
  <c r="M90" i="6" s="1"/>
  <c r="AE87" i="18"/>
  <c r="K90" i="6" s="1"/>
  <c r="AH87" i="18"/>
  <c r="N90" i="6" s="1"/>
  <c r="AL87" i="18"/>
  <c r="R90" i="6" s="1"/>
  <c r="AK87" i="18"/>
  <c r="Q90" i="6" s="1"/>
  <c r="AJ87" i="18"/>
  <c r="P90" i="6"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X86" i="18"/>
  <c r="AG86" i="18" s="1"/>
  <c r="M89" i="6"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T35" i="18"/>
  <c r="U35" i="18" s="1"/>
  <c r="AD35" i="18" s="1"/>
  <c r="I89" i="10"/>
  <c r="J89" i="10"/>
  <c r="H89" i="10"/>
  <c r="H92" i="10"/>
  <c r="Y74" i="18" l="1"/>
  <c r="AH74" i="18" s="1"/>
  <c r="N77" i="6" s="1"/>
  <c r="Y86" i="18"/>
  <c r="AH86" i="18" s="1"/>
  <c r="N89" i="6"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T37" i="18"/>
  <c r="U37" i="18" s="1"/>
  <c r="AD37" i="18" s="1"/>
  <c r="T39" i="18"/>
  <c r="U39" i="18" s="1"/>
  <c r="AD39" i="18" s="1"/>
  <c r="T38" i="18"/>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L68" i="1" l="1"/>
  <c r="J40" i="4" l="1"/>
  <c r="K40" i="4"/>
  <c r="L40" i="4"/>
  <c r="M40" i="4"/>
  <c r="N40" i="4"/>
  <c r="J20" i="4"/>
  <c r="K20" i="4" s="1"/>
  <c r="L20" i="4" s="1"/>
  <c r="M20" i="4" s="1"/>
  <c r="N20" i="4" s="1"/>
  <c r="L58" i="11"/>
  <c r="M58" i="11"/>
  <c r="N58" i="11"/>
  <c r="J58" i="11"/>
  <c r="K58" i="11"/>
  <c r="AN16" i="4"/>
  <c r="U14" i="13" l="1"/>
  <c r="V14" i="13"/>
  <c r="W14" i="13"/>
  <c r="X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84" i="13"/>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D95" i="13" l="1"/>
  <c r="D93" i="13"/>
  <c r="D92" i="13"/>
  <c r="D99" i="13"/>
  <c r="D98" i="13"/>
  <c r="D97" i="13"/>
  <c r="D94" i="13"/>
  <c r="D96" i="13"/>
  <c r="A82" i="14"/>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22" i="13"/>
  <c r="A18" i="14"/>
  <c r="A27" i="14"/>
  <c r="A52" i="14"/>
  <c r="A106" i="14"/>
  <c r="A109" i="14"/>
  <c r="A9" i="14"/>
  <c r="A76" i="14"/>
  <c r="A100" i="14"/>
  <c r="AA13" i="13"/>
  <c r="E14" i="13"/>
  <c r="F14" i="13"/>
  <c r="G14" i="13"/>
  <c r="H14" i="13"/>
  <c r="O14" i="13"/>
  <c r="P14" i="13"/>
  <c r="Q14" i="13"/>
  <c r="R14" i="13"/>
  <c r="S14" i="13"/>
  <c r="T14" i="13"/>
  <c r="Z18" i="13"/>
  <c r="AA18" i="13"/>
  <c r="C19" i="13"/>
  <c r="Y19" i="13"/>
  <c r="AA19" i="13"/>
  <c r="C20" i="13"/>
  <c r="C21" i="13"/>
  <c r="AA21" i="13"/>
  <c r="C25" i="13"/>
  <c r="AA25" i="13"/>
  <c r="Z26" i="13"/>
  <c r="AA26" i="13"/>
  <c r="C27" i="13"/>
  <c r="Z27" i="13"/>
  <c r="AA27" i="13"/>
  <c r="A19" i="14"/>
  <c r="C28" i="13"/>
  <c r="Y28" i="13"/>
  <c r="AA28" i="13"/>
  <c r="A20" i="14"/>
  <c r="C29" i="13"/>
  <c r="Y29" i="13"/>
  <c r="A21" i="14"/>
  <c r="C30" i="13"/>
  <c r="AA30" i="13"/>
  <c r="A22" i="14"/>
  <c r="C31" i="13"/>
  <c r="AA31" i="13"/>
  <c r="A23" i="14"/>
  <c r="C32" i="13"/>
  <c r="Z35" i="13"/>
  <c r="AA35" i="13"/>
  <c r="C36" i="13"/>
  <c r="Z36" i="13"/>
  <c r="AA36" i="13"/>
  <c r="C37" i="13"/>
  <c r="Z37" i="13"/>
  <c r="AA37" i="13"/>
  <c r="Z38" i="13"/>
  <c r="AA38" i="13"/>
  <c r="C39" i="13"/>
  <c r="Z39" i="13"/>
  <c r="AA39" i="13"/>
  <c r="Y40" i="13"/>
  <c r="AA40" i="13"/>
  <c r="C43" i="13"/>
  <c r="Z44" i="13"/>
  <c r="AA44" i="13"/>
  <c r="A36" i="14"/>
  <c r="C45" i="13"/>
  <c r="AA45" i="13"/>
  <c r="A37" i="14"/>
  <c r="C46" i="13"/>
  <c r="AA46" i="13"/>
  <c r="A38" i="14"/>
  <c r="C47" i="13"/>
  <c r="A39" i="14"/>
  <c r="C48" i="13"/>
  <c r="A40" i="14"/>
  <c r="A42" i="14"/>
  <c r="B51" i="13"/>
  <c r="Z52" i="13"/>
  <c r="AA52" i="13"/>
  <c r="A44" i="14"/>
  <c r="C53" i="13"/>
  <c r="A45" i="14"/>
  <c r="A46" i="14"/>
  <c r="C55" i="13"/>
  <c r="Z58" i="13"/>
  <c r="AA58" i="13"/>
  <c r="A50" i="14"/>
  <c r="C59" i="13"/>
  <c r="Z59" i="13"/>
  <c r="AA60" i="13"/>
  <c r="C61" i="13"/>
  <c r="Z61" i="13"/>
  <c r="Z62" i="13"/>
  <c r="AA62" i="13"/>
  <c r="E63" i="13"/>
  <c r="Z63" i="13"/>
  <c r="AA63" i="13"/>
  <c r="Z64" i="13"/>
  <c r="AA64" i="13"/>
  <c r="C65" i="13"/>
  <c r="Z65" i="13"/>
  <c r="AA65" i="13"/>
  <c r="C66" i="13"/>
  <c r="Y66" i="13"/>
  <c r="C67" i="13"/>
  <c r="AA67" i="13"/>
  <c r="C68" i="13"/>
  <c r="C69" i="13"/>
  <c r="C70" i="13"/>
  <c r="Z71" i="13"/>
  <c r="AA71" i="13"/>
  <c r="C72" i="13"/>
  <c r="Z72" i="13"/>
  <c r="AA72" i="13"/>
  <c r="C73" i="13"/>
  <c r="Y73" i="13"/>
  <c r="AA73" i="13"/>
  <c r="A65" i="14"/>
  <c r="C74" i="13"/>
  <c r="AA74" i="13"/>
  <c r="A66" i="14"/>
  <c r="C75" i="13"/>
  <c r="AA75" i="13"/>
  <c r="C76" i="13"/>
  <c r="AA76" i="13"/>
  <c r="C77" i="13"/>
  <c r="AA77" i="13"/>
  <c r="C78" i="13"/>
  <c r="AA78" i="13"/>
  <c r="C79" i="13"/>
  <c r="AA79" i="13"/>
  <c r="A71" i="14"/>
  <c r="C80" i="13"/>
  <c r="AA80" i="13"/>
  <c r="A72" i="14"/>
  <c r="C81" i="13"/>
  <c r="AA81" i="13"/>
  <c r="C82" i="13"/>
  <c r="A74" i="14"/>
  <c r="C83" i="13"/>
  <c r="A75" i="14"/>
  <c r="C84" i="13"/>
  <c r="B101" i="13"/>
  <c r="C85" i="13"/>
  <c r="C86" i="13"/>
  <c r="C87" i="13"/>
  <c r="C88" i="13"/>
  <c r="A80" i="14"/>
  <c r="C89" i="13"/>
  <c r="A81" i="14"/>
  <c r="C90" i="13"/>
  <c r="C109" i="13"/>
  <c r="P109" i="13"/>
  <c r="Q109" i="13" s="1"/>
  <c r="R109" i="13" s="1"/>
  <c r="S109" i="13" s="1"/>
  <c r="T109" i="13" s="1"/>
  <c r="Z109" i="13"/>
  <c r="A102" i="14"/>
  <c r="C111" i="13"/>
  <c r="P111" i="13"/>
  <c r="Q111" i="13" s="1"/>
  <c r="Z111" i="13"/>
  <c r="A104" i="14"/>
  <c r="C113" i="13"/>
  <c r="P113" i="13"/>
  <c r="Q113" i="13" s="1"/>
  <c r="Z113" i="13"/>
  <c r="Z114" i="13"/>
  <c r="AA114" i="13"/>
  <c r="C115" i="13"/>
  <c r="P115" i="13"/>
  <c r="Q115" i="13" s="1"/>
  <c r="Z115" i="13"/>
  <c r="C118" i="13"/>
  <c r="F118" i="13"/>
  <c r="G118" i="13" s="1"/>
  <c r="H118" i="13" s="1"/>
  <c r="P118" i="13"/>
  <c r="Q118" i="13" s="1"/>
  <c r="Z118" i="13"/>
  <c r="A110" i="14"/>
  <c r="C119" i="13"/>
  <c r="F119" i="13"/>
  <c r="G119" i="13" s="1"/>
  <c r="H119" i="13" s="1"/>
  <c r="P119" i="13"/>
  <c r="Q119" i="13" s="1"/>
  <c r="Z119" i="13"/>
  <c r="AA119" i="13"/>
  <c r="A111" i="14"/>
  <c r="C120" i="13"/>
  <c r="F120" i="13"/>
  <c r="G120" i="13" s="1"/>
  <c r="H120" i="13" s="1"/>
  <c r="P120" i="13"/>
  <c r="Q120" i="13" s="1"/>
  <c r="Z120" i="13"/>
  <c r="AA120" i="13"/>
  <c r="A112" i="14"/>
  <c r="C121" i="13"/>
  <c r="F121" i="13"/>
  <c r="G121" i="13" s="1"/>
  <c r="H121" i="13" s="1"/>
  <c r="P121" i="13"/>
  <c r="Q121" i="13" s="1"/>
  <c r="Z121" i="13"/>
  <c r="AA121" i="13"/>
  <c r="A113" i="14"/>
  <c r="C122" i="13"/>
  <c r="F122" i="13"/>
  <c r="G122" i="13" s="1"/>
  <c r="H122" i="13" s="1"/>
  <c r="P122" i="13"/>
  <c r="Q122" i="13" s="1"/>
  <c r="Z122" i="13"/>
  <c r="AA122" i="13"/>
  <c r="AA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N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Z66" i="13" l="1"/>
  <c r="Z28" i="13"/>
  <c r="Z19" i="13"/>
  <c r="Z73" i="13"/>
  <c r="Z40" i="13"/>
  <c r="Z29" i="13"/>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Y22" i="13"/>
  <c r="Y23" i="13" s="1"/>
  <c r="B109" i="13"/>
  <c r="B103" i="13"/>
  <c r="A79" i="14"/>
  <c r="A70" i="14"/>
  <c r="Y67" i="13"/>
  <c r="B27" i="13"/>
  <c r="B31" i="13"/>
  <c r="B81" i="13"/>
  <c r="Y20" i="13"/>
  <c r="Y41" i="13"/>
  <c r="Y42" i="13" s="1"/>
  <c r="B36" i="13"/>
  <c r="B89" i="13"/>
  <c r="A77" i="14"/>
  <c r="A68" i="14"/>
  <c r="A63" i="14"/>
  <c r="A73" i="14"/>
  <c r="A64" i="14"/>
  <c r="A30" i="14"/>
  <c r="A32" i="14"/>
  <c r="A34" i="14"/>
  <c r="A31" i="14"/>
  <c r="B65" i="13"/>
  <c r="A78" i="14"/>
  <c r="A69" i="14"/>
  <c r="B122" i="13"/>
  <c r="B121" i="13"/>
  <c r="B120" i="13"/>
  <c r="A56" i="14"/>
  <c r="A28" i="14"/>
  <c r="B75" i="13"/>
  <c r="Y74" i="13"/>
  <c r="A12" i="14"/>
  <c r="B72" i="13"/>
  <c r="B39" i="13"/>
  <c r="Y31" i="13"/>
  <c r="B25" i="13"/>
  <c r="A14" i="14"/>
  <c r="A10" i="14"/>
  <c r="A16" i="14"/>
  <c r="B118" i="13"/>
  <c r="A67" i="14"/>
  <c r="A61" i="14"/>
  <c r="A59" i="14"/>
  <c r="B119" i="13"/>
  <c r="A13" i="14"/>
  <c r="A11" i="14"/>
  <c r="A70" i="11"/>
  <c r="A12" i="12" s="1"/>
  <c r="C12" i="12" s="1"/>
  <c r="B91" i="11"/>
  <c r="A77" i="11"/>
  <c r="A19" i="12" s="1"/>
  <c r="A64" i="11"/>
  <c r="A6" i="12" s="1"/>
  <c r="C6" i="12" s="1"/>
  <c r="B86" i="13"/>
  <c r="B82" i="13"/>
  <c r="B61" i="13"/>
  <c r="C91" i="13"/>
  <c r="A58" i="14"/>
  <c r="A47" i="14"/>
  <c r="A24" i="14"/>
  <c r="C56" i="13"/>
  <c r="C23" i="13"/>
  <c r="C33" i="13"/>
  <c r="A91" i="14"/>
  <c r="C41" i="13"/>
  <c r="C49" i="13"/>
  <c r="C34" i="13"/>
  <c r="C42" i="13"/>
  <c r="C50" i="13"/>
  <c r="C57" i="13"/>
  <c r="C24" i="13"/>
  <c r="A96" i="14"/>
  <c r="N19" i="11"/>
  <c r="C100" i="11"/>
  <c r="B100" i="11" s="1"/>
  <c r="B115" i="13"/>
  <c r="B87" i="13"/>
  <c r="B48" i="13"/>
  <c r="B102" i="11"/>
  <c r="B111" i="13"/>
  <c r="A98" i="14"/>
  <c r="A95" i="14"/>
  <c r="A94" i="14"/>
  <c r="C54" i="13"/>
  <c r="B45" i="13"/>
  <c r="B28" i="13"/>
  <c r="B20" i="13"/>
  <c r="C97" i="11"/>
  <c r="B97" i="11" s="1"/>
  <c r="B39" i="12" s="1"/>
  <c r="A92" i="14"/>
  <c r="C108" i="11"/>
  <c r="B110" i="11"/>
  <c r="B99" i="11"/>
  <c r="B90" i="11"/>
  <c r="B77" i="11"/>
  <c r="B74" i="11"/>
  <c r="B53" i="13"/>
  <c r="A33" i="14"/>
  <c r="B106" i="11"/>
  <c r="C103" i="11"/>
  <c r="B103" i="11" s="1"/>
  <c r="B87" i="11"/>
  <c r="C79" i="11"/>
  <c r="C114" i="11" s="1"/>
  <c r="A97" i="14"/>
  <c r="C40" i="13"/>
  <c r="A93" i="14"/>
  <c r="C89" i="11"/>
  <c r="B89" i="11" s="1"/>
  <c r="B31" i="12" s="1"/>
  <c r="C76" i="11"/>
  <c r="C112" i="11" s="1"/>
  <c r="B113" i="13"/>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R122" i="13"/>
  <c r="S122" i="13"/>
  <c r="T122" i="13" s="1"/>
  <c r="R115" i="13"/>
  <c r="S115" i="13"/>
  <c r="T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R113" i="13"/>
  <c r="S113" i="13"/>
  <c r="T113" i="13" s="1"/>
  <c r="B107" i="13"/>
  <c r="B19" i="12"/>
  <c r="C19" i="12"/>
  <c r="C37" i="12"/>
  <c r="B37" i="12"/>
  <c r="C13" i="12"/>
  <c r="B13" i="12"/>
  <c r="R119" i="13"/>
  <c r="S119" i="13"/>
  <c r="T119" i="13" s="1"/>
  <c r="C39" i="12"/>
  <c r="B16" i="12"/>
  <c r="A65" i="11"/>
  <c r="A7" i="12" s="1"/>
  <c r="A72" i="11"/>
  <c r="A14" i="12" s="1"/>
  <c r="B44" i="12"/>
  <c r="A69" i="11"/>
  <c r="A11" i="12" s="1"/>
  <c r="A68" i="11"/>
  <c r="A10" i="12" s="1"/>
  <c r="C66" i="11"/>
  <c r="C9" i="12"/>
  <c r="B9" i="12"/>
  <c r="B88" i="13"/>
  <c r="C44" i="12"/>
  <c r="R120" i="13"/>
  <c r="S120" i="13"/>
  <c r="T120" i="13" s="1"/>
  <c r="B24" i="12"/>
  <c r="B54" i="12"/>
  <c r="C54" i="12"/>
  <c r="D54" i="12"/>
  <c r="E54" i="12"/>
  <c r="C42" i="12"/>
  <c r="C53" i="12"/>
  <c r="D53" i="12"/>
  <c r="E53" i="12"/>
  <c r="B53" i="12"/>
  <c r="C18" i="12"/>
  <c r="R121" i="13"/>
  <c r="S121" i="13"/>
  <c r="T121" i="13" s="1"/>
  <c r="R118" i="13"/>
  <c r="S118" i="13"/>
  <c r="T118" i="13" s="1"/>
  <c r="B12" i="12"/>
  <c r="C17" i="12"/>
  <c r="B17" i="12"/>
  <c r="R111" i="13"/>
  <c r="S111" i="13"/>
  <c r="T111" i="13" s="1"/>
  <c r="D55" i="12"/>
  <c r="D66" i="11"/>
  <c r="C47" i="12"/>
  <c r="C43" i="12"/>
  <c r="C23" i="12"/>
  <c r="C15" i="12"/>
  <c r="E56" i="12"/>
  <c r="D56" i="12"/>
  <c r="B90" i="13"/>
  <c r="B84" i="13"/>
  <c r="B85" i="13"/>
  <c r="B79" i="13"/>
  <c r="B77" i="13"/>
  <c r="B83" i="13"/>
  <c r="B67" i="13"/>
  <c r="B74" i="13"/>
  <c r="B76" i="13"/>
  <c r="B73" i="13"/>
  <c r="B55" i="13"/>
  <c r="A57" i="14"/>
  <c r="B66" i="13"/>
  <c r="B59" i="13"/>
  <c r="A60" i="14"/>
  <c r="B47" i="13"/>
  <c r="B37" i="13"/>
  <c r="B32" i="13"/>
  <c r="B42" i="14"/>
  <c r="B46" i="13"/>
  <c r="Y33" i="13"/>
  <c r="B29" i="13"/>
  <c r="B30" i="13"/>
  <c r="B21" i="13"/>
  <c r="B19" i="13"/>
  <c r="Y30" i="13"/>
  <c r="B22" i="13"/>
  <c r="B44" i="14" l="1"/>
  <c r="B104" i="14"/>
  <c r="Z74" i="13"/>
  <c r="B50" i="13"/>
  <c r="B52" i="14"/>
  <c r="Y21" i="13"/>
  <c r="B102" i="14"/>
  <c r="B109" i="14"/>
  <c r="Z23" i="13"/>
  <c r="Z31" i="13"/>
  <c r="Z41" i="13"/>
  <c r="Y24" i="13"/>
  <c r="Z24" i="13" s="1"/>
  <c r="B54" i="13"/>
  <c r="B72" i="14"/>
  <c r="Y75" i="13"/>
  <c r="B23" i="13"/>
  <c r="I106" i="10"/>
  <c r="B18" i="14"/>
  <c r="AB110" i="11"/>
  <c r="AB108" i="11"/>
  <c r="Y106" i="11"/>
  <c r="B100" i="14"/>
  <c r="B6" i="12"/>
  <c r="B42" i="13"/>
  <c r="B110" i="14"/>
  <c r="B77" i="14"/>
  <c r="B65" i="14"/>
  <c r="B70" i="14"/>
  <c r="B22" i="14"/>
  <c r="B64" i="14"/>
  <c r="Z20" i="13"/>
  <c r="B36" i="14"/>
  <c r="B30" i="14"/>
  <c r="B73" i="14"/>
  <c r="C92" i="13"/>
  <c r="C93" i="13" s="1"/>
  <c r="B111" i="14"/>
  <c r="B91" i="13"/>
  <c r="A25" i="14"/>
  <c r="B112" i="14"/>
  <c r="J34" i="15"/>
  <c r="J36" i="15"/>
  <c r="B94" i="14"/>
  <c r="Z22" i="13"/>
  <c r="B27" i="14"/>
  <c r="B23" i="14"/>
  <c r="B50" i="14"/>
  <c r="B74" i="14"/>
  <c r="B76" i="14"/>
  <c r="B37" i="14"/>
  <c r="B79" i="14"/>
  <c r="B46" i="14"/>
  <c r="B75" i="14"/>
  <c r="B38" i="14"/>
  <c r="B28" i="14"/>
  <c r="B12" i="14"/>
  <c r="B21" i="14"/>
  <c r="B20" i="14"/>
  <c r="B81" i="14"/>
  <c r="B80" i="14"/>
  <c r="B78" i="14"/>
  <c r="Y68" i="13"/>
  <c r="Z67" i="13"/>
  <c r="B70" i="13"/>
  <c r="B67" i="14"/>
  <c r="B102" i="13"/>
  <c r="B80" i="13"/>
  <c r="B63" i="14"/>
  <c r="B78" i="13"/>
  <c r="B113" i="14"/>
  <c r="B34" i="14"/>
  <c r="B33" i="13"/>
  <c r="B16" i="14"/>
  <c r="B56" i="14"/>
  <c r="B10" i="14"/>
  <c r="B82" i="14"/>
  <c r="B66" i="14"/>
  <c r="B68" i="14"/>
  <c r="B39" i="14"/>
  <c r="B68" i="13"/>
  <c r="B69" i="13"/>
  <c r="B34" i="13"/>
  <c r="B92" i="14"/>
  <c r="A83" i="14"/>
  <c r="B40" i="13"/>
  <c r="B56" i="13"/>
  <c r="A15" i="14"/>
  <c r="A48" i="14"/>
  <c r="B57" i="13"/>
  <c r="B98" i="14"/>
  <c r="A41" i="14"/>
  <c r="B49" i="13"/>
  <c r="B41" i="13"/>
  <c r="B24" i="13"/>
  <c r="B11" i="14"/>
  <c r="B106" i="14"/>
  <c r="B76" i="11"/>
  <c r="B66" i="11"/>
  <c r="B32" i="12"/>
  <c r="B29" i="12"/>
  <c r="B19" i="14"/>
  <c r="B79" i="11"/>
  <c r="B115" i="11" s="1"/>
  <c r="J114" i="10"/>
  <c r="J108" i="10"/>
  <c r="Z75" i="13"/>
  <c r="Y76" i="13"/>
  <c r="Z30" i="13"/>
  <c r="Y32" i="13"/>
  <c r="B11" i="12"/>
  <c r="C11" i="12"/>
  <c r="E42" i="11"/>
  <c r="X100" i="11" s="1"/>
  <c r="I108" i="10"/>
  <c r="I114" i="10"/>
  <c r="Y43" i="13"/>
  <c r="Z42" i="13"/>
  <c r="B105" i="13"/>
  <c r="C45" i="12"/>
  <c r="B45" i="12"/>
  <c r="S42" i="10"/>
  <c r="B18" i="13"/>
  <c r="Z33" i="13"/>
  <c r="C41" i="12"/>
  <c r="B41" i="12"/>
  <c r="B14" i="12"/>
  <c r="C14" i="12"/>
  <c r="B7" i="12"/>
  <c r="C7" i="12"/>
  <c r="H116" i="10"/>
  <c r="L92" i="10"/>
  <c r="H108" i="10"/>
  <c r="H95" i="10"/>
  <c r="B50" i="12"/>
  <c r="C50" i="12"/>
  <c r="AA109" i="11"/>
  <c r="AA110" i="11" s="1"/>
  <c r="AA111" i="11" s="1"/>
  <c r="AA108" i="11"/>
  <c r="B48" i="12"/>
  <c r="C48" i="12"/>
  <c r="B104" i="13"/>
  <c r="B52" i="12"/>
  <c r="C52" i="12"/>
  <c r="B51" i="12"/>
  <c r="C51" i="12"/>
  <c r="B13" i="14"/>
  <c r="B57" i="14"/>
  <c r="B10" i="12"/>
  <c r="C10" i="12"/>
  <c r="J99" i="10"/>
  <c r="L99" i="10" s="1"/>
  <c r="Z21" i="13"/>
  <c r="B58" i="14"/>
  <c r="AD114" i="11"/>
  <c r="AD112" i="11"/>
  <c r="AD113" i="11"/>
  <c r="B35" i="12"/>
  <c r="J103" i="10"/>
  <c r="J106" i="10" s="1"/>
  <c r="Y25" i="13" l="1"/>
  <c r="B24" i="14"/>
  <c r="B45" i="14"/>
  <c r="B33" i="14"/>
  <c r="B14" i="14"/>
  <c r="A84" i="14"/>
  <c r="C94" i="13"/>
  <c r="B48" i="14"/>
  <c r="B8" i="12"/>
  <c r="AA115" i="11"/>
  <c r="B69" i="14"/>
  <c r="B93" i="13"/>
  <c r="B60" i="14"/>
  <c r="B31" i="14"/>
  <c r="B32" i="14"/>
  <c r="B40" i="14"/>
  <c r="B47" i="14"/>
  <c r="Z68" i="13"/>
  <c r="Y69" i="13"/>
  <c r="B71" i="14"/>
  <c r="B93" i="14"/>
  <c r="B25" i="14"/>
  <c r="B61" i="14"/>
  <c r="B100" i="13"/>
  <c r="B106" i="13"/>
  <c r="B15" i="14"/>
  <c r="B92" i="13"/>
  <c r="B59" i="14"/>
  <c r="B41" i="14"/>
  <c r="B21" i="12"/>
  <c r="B18" i="12"/>
  <c r="Z43" i="13"/>
  <c r="Y45" i="13"/>
  <c r="B96" i="14"/>
  <c r="Y34" i="13"/>
  <c r="Z32" i="13"/>
  <c r="I112" i="10"/>
  <c r="I115" i="10" s="1"/>
  <c r="I122" i="10" s="1"/>
  <c r="I109" i="10"/>
  <c r="I111" i="10" s="1"/>
  <c r="I117" i="10" s="1"/>
  <c r="J109" i="10"/>
  <c r="J111" i="10" s="1"/>
  <c r="J117" i="10" s="1"/>
  <c r="B9" i="14"/>
  <c r="L108" i="10"/>
  <c r="Z25" i="13"/>
  <c r="Z76" i="13"/>
  <c r="Y77" i="13"/>
  <c r="B95" i="14"/>
  <c r="H109" i="10"/>
  <c r="L94" i="10"/>
  <c r="H106" i="10"/>
  <c r="L106" i="10" s="1"/>
  <c r="E41" i="11"/>
  <c r="B84" i="14" l="1"/>
  <c r="C95" i="13"/>
  <c r="B94" i="13"/>
  <c r="J112" i="10"/>
  <c r="J115" i="10" s="1"/>
  <c r="J122" i="10" s="1"/>
  <c r="I120" i="10"/>
  <c r="AF106" i="11"/>
  <c r="AB106" i="11"/>
  <c r="J32" i="15"/>
  <c r="B83" i="14"/>
  <c r="Z69" i="13"/>
  <c r="Y70" i="13"/>
  <c r="B97" i="14"/>
  <c r="B91" i="14"/>
  <c r="Z34" i="13"/>
  <c r="H112" i="10"/>
  <c r="K110" i="10"/>
  <c r="H111" i="10"/>
  <c r="Z77" i="13"/>
  <c r="Y78" i="13"/>
  <c r="Z45" i="13"/>
  <c r="Y46" i="13"/>
  <c r="X97" i="11"/>
  <c r="Z70" i="13" l="1"/>
  <c r="N94" i="13" a="1"/>
  <c r="N94" i="13" s="1"/>
  <c r="B85" i="14"/>
  <c r="C96" i="13"/>
  <c r="B95" i="13"/>
  <c r="J120" i="10"/>
  <c r="G79" i="11"/>
  <c r="H79" i="11" s="1"/>
  <c r="I79" i="11" s="1"/>
  <c r="H115" i="10"/>
  <c r="Y79" i="13"/>
  <c r="Z78" i="13"/>
  <c r="Y47" i="13"/>
  <c r="Z46" i="13"/>
  <c r="H117" i="10"/>
  <c r="N95" i="13" l="1" a="1"/>
  <c r="N95" i="13" s="1"/>
  <c r="B86" i="14"/>
  <c r="C97" i="13"/>
  <c r="B96" i="13"/>
  <c r="H122" i="10"/>
  <c r="Z79" i="13"/>
  <c r="Y80" i="13"/>
  <c r="Y48" i="13"/>
  <c r="Z47" i="13"/>
  <c r="B87" i="14" l="1"/>
  <c r="N96" i="13" a="1"/>
  <c r="N96" i="13" s="1"/>
  <c r="C98" i="13"/>
  <c r="B97" i="13"/>
  <c r="Z80" i="13"/>
  <c r="Y81" i="13"/>
  <c r="Y49" i="13"/>
  <c r="Z48" i="13"/>
  <c r="H120" i="10"/>
  <c r="N97" i="13" l="1" a="1"/>
  <c r="N97" i="13" s="1"/>
  <c r="B88" i="14"/>
  <c r="C99" i="13"/>
  <c r="B99" i="13" s="1"/>
  <c r="B98" i="13"/>
  <c r="Y50" i="13"/>
  <c r="Z49" i="13"/>
  <c r="Z81" i="13"/>
  <c r="Y82" i="13"/>
  <c r="N98" i="13" l="1" a="1"/>
  <c r="N98" i="13" s="1"/>
  <c r="B89" i="14"/>
  <c r="N99" i="13" a="1"/>
  <c r="N99" i="13" s="1"/>
  <c r="B90" i="14"/>
  <c r="Z50" i="13"/>
  <c r="Y51" i="13"/>
  <c r="Y83" i="13"/>
  <c r="Z82" i="13"/>
  <c r="Y84" i="13" l="1"/>
  <c r="Z83" i="13"/>
  <c r="Y53" i="13"/>
  <c r="Z51" i="13"/>
  <c r="Z53" i="13" l="1"/>
  <c r="Y54" i="13"/>
  <c r="Y85" i="13"/>
  <c r="Z84" i="13"/>
  <c r="Z85" i="13" l="1"/>
  <c r="Y86" i="13"/>
  <c r="Y55" i="13"/>
  <c r="Z54" i="13"/>
  <c r="Y87" i="13" l="1"/>
  <c r="Z86" i="13"/>
  <c r="Y56" i="13"/>
  <c r="Z55" i="13"/>
  <c r="Z87" i="13" l="1"/>
  <c r="Y88" i="13"/>
  <c r="Y57" i="13"/>
  <c r="Z56" i="13"/>
  <c r="Z57" i="13" l="1"/>
  <c r="Z88" i="13"/>
  <c r="Y89" i="13"/>
  <c r="Z89" i="13" l="1"/>
  <c r="Y90" i="13"/>
  <c r="Z90" i="13" l="1"/>
  <c r="Y91" i="13"/>
  <c r="Z91" i="13" l="1"/>
  <c r="Y92" i="13"/>
  <c r="Y93" i="13" l="1"/>
  <c r="Y94" i="13" s="1"/>
  <c r="Z92" i="13"/>
  <c r="Y95" i="13" l="1"/>
  <c r="Z94" i="13"/>
  <c r="Z93" i="13"/>
  <c r="Y100" i="13"/>
  <c r="Y96" i="13" l="1"/>
  <c r="Z95" i="13"/>
  <c r="Z100" i="13"/>
  <c r="Y101" i="13"/>
  <c r="Y97" i="13" l="1"/>
  <c r="Z96" i="13"/>
  <c r="Y102" i="13"/>
  <c r="Z101" i="13"/>
  <c r="Z97" i="13" l="1"/>
  <c r="Y98" i="13"/>
  <c r="Y103" i="13"/>
  <c r="Z102" i="13"/>
  <c r="Y99" i="13" l="1"/>
  <c r="Z99" i="13" s="1"/>
  <c r="Z98" i="13"/>
  <c r="Y104" i="13"/>
  <c r="Z103" i="13"/>
  <c r="Z104" i="13" l="1"/>
  <c r="Y105" i="13"/>
  <c r="Z105" i="13" l="1"/>
  <c r="Y106" i="13"/>
  <c r="Z106" i="13" l="1"/>
  <c r="Y107" i="13"/>
  <c r="Z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W278" i="8"/>
  <c r="AP27" i="8" s="1"/>
  <c r="V278" i="8"/>
  <c r="AO27" i="8" s="1"/>
  <c r="U278" i="8"/>
  <c r="T278" i="8"/>
  <c r="AN27" i="8" s="1"/>
  <c r="S278" i="8"/>
  <c r="R278" i="8"/>
  <c r="AM27" i="8" s="1"/>
  <c r="Q278" i="8"/>
  <c r="P278" i="8"/>
  <c r="N278" i="8"/>
  <c r="W277" i="8"/>
  <c r="V277" i="8"/>
  <c r="U277" i="8"/>
  <c r="T277" i="8"/>
  <c r="S277" i="8"/>
  <c r="R277" i="8"/>
  <c r="Q277" i="8"/>
  <c r="P277" i="8"/>
  <c r="N277" i="8"/>
  <c r="H277" i="8"/>
  <c r="F277" i="8"/>
  <c r="E277" i="8"/>
  <c r="D277" i="8"/>
  <c r="G276" i="8"/>
  <c r="G277" i="8" s="1"/>
  <c r="H272" i="8"/>
  <c r="AB149" i="8"/>
  <c r="K278" i="8" s="1"/>
  <c r="AA149" i="8"/>
  <c r="J278" i="8" s="1"/>
  <c r="Y149" i="8"/>
  <c r="H278" i="8" s="1"/>
  <c r="W149" i="8"/>
  <c r="F278" i="8" s="1"/>
  <c r="V149" i="8"/>
  <c r="C278" i="8" s="1"/>
  <c r="H132" i="8"/>
  <c r="G132" i="8"/>
  <c r="H131" i="8"/>
  <c r="G131" i="8"/>
  <c r="H130" i="8"/>
  <c r="G130" i="8"/>
  <c r="H129" i="8"/>
  <c r="G129" i="8"/>
  <c r="H128" i="8"/>
  <c r="G128" i="8"/>
  <c r="H127" i="8"/>
  <c r="G127" i="8"/>
  <c r="H126" i="8"/>
  <c r="G126" i="8"/>
  <c r="H125" i="8"/>
  <c r="G125" i="8"/>
  <c r="H124" i="8"/>
  <c r="G124" i="8"/>
  <c r="H123" i="8"/>
  <c r="G123" i="8"/>
  <c r="W122" i="8"/>
  <c r="H122" i="8"/>
  <c r="G122" i="8"/>
  <c r="H121" i="8"/>
  <c r="G121" i="8"/>
  <c r="H120" i="8"/>
  <c r="G120" i="8"/>
  <c r="H119" i="8"/>
  <c r="G119" i="8"/>
  <c r="H118" i="8"/>
  <c r="G118" i="8"/>
  <c r="AJ117" i="8"/>
  <c r="H117" i="8"/>
  <c r="G117" i="8"/>
  <c r="AQ116" i="8"/>
  <c r="Q116" i="8"/>
  <c r="AC116" i="8" s="1"/>
  <c r="H116" i="8"/>
  <c r="G116" i="8"/>
  <c r="AQ115" i="8"/>
  <c r="Q115" i="8"/>
  <c r="AC115" i="8" s="1"/>
  <c r="H115" i="8"/>
  <c r="G115" i="8"/>
  <c r="AQ113" i="8"/>
  <c r="Q113" i="8"/>
  <c r="AC113" i="8" s="1"/>
  <c r="AD113" i="8" s="1"/>
  <c r="AQ112" i="8"/>
  <c r="Q112" i="8"/>
  <c r="AC112" i="8" s="1"/>
  <c r="AD112" i="8" s="1"/>
  <c r="AQ111" i="8"/>
  <c r="Q111" i="8"/>
  <c r="AC111" i="8" s="1"/>
  <c r="AQ110" i="8"/>
  <c r="Q110" i="8"/>
  <c r="AC110" i="8" s="1"/>
  <c r="AQ108" i="8"/>
  <c r="Q108" i="8"/>
  <c r="AC108" i="8" s="1"/>
  <c r="AQ107" i="8"/>
  <c r="Q107" i="8"/>
  <c r="AC107" i="8" s="1"/>
  <c r="AQ106" i="8"/>
  <c r="Q106" i="8"/>
  <c r="AC106" i="8" s="1"/>
  <c r="AQ105" i="8"/>
  <c r="Q105" i="8"/>
  <c r="AC105" i="8" s="1"/>
  <c r="H105" i="8"/>
  <c r="G105" i="8"/>
  <c r="AQ103" i="8"/>
  <c r="Q103" i="8"/>
  <c r="AC103" i="8" s="1"/>
  <c r="H103" i="8"/>
  <c r="G103" i="8"/>
  <c r="AQ102" i="8"/>
  <c r="Q102" i="8"/>
  <c r="AC102" i="8" s="1"/>
  <c r="H102" i="8"/>
  <c r="G102" i="8"/>
  <c r="AQ101" i="8"/>
  <c r="Q101" i="8"/>
  <c r="AC101" i="8" s="1"/>
  <c r="H101" i="8"/>
  <c r="H106" i="8" s="1"/>
  <c r="G101" i="8"/>
  <c r="G106" i="8" s="1"/>
  <c r="AQ100" i="8"/>
  <c r="Q100" i="8"/>
  <c r="AC100" i="8" s="1"/>
  <c r="AQ98" i="8"/>
  <c r="Q98" i="8"/>
  <c r="AC98" i="8" s="1"/>
  <c r="AQ97" i="8"/>
  <c r="Q97" i="8"/>
  <c r="AC97" i="8" s="1"/>
  <c r="AQ96" i="8"/>
  <c r="Q96" i="8"/>
  <c r="AC96" i="8" s="1"/>
  <c r="AQ95" i="8"/>
  <c r="Q95" i="8"/>
  <c r="AC95" i="8" s="1"/>
  <c r="AQ93" i="8"/>
  <c r="Q93" i="8"/>
  <c r="AC93" i="8" s="1"/>
  <c r="AQ92" i="8"/>
  <c r="Q92" i="8"/>
  <c r="AC92" i="8" s="1"/>
  <c r="AQ91" i="8"/>
  <c r="Q91" i="8"/>
  <c r="AC91" i="8" s="1"/>
  <c r="AQ90" i="8"/>
  <c r="Q90" i="8"/>
  <c r="AC90" i="8" s="1"/>
  <c r="AQ88" i="8"/>
  <c r="Q88" i="8"/>
  <c r="AC88" i="8" s="1"/>
  <c r="AQ87" i="8"/>
  <c r="Q87" i="8"/>
  <c r="AC87" i="8" s="1"/>
  <c r="AQ86" i="8"/>
  <c r="Q86" i="8"/>
  <c r="AC86" i="8" s="1"/>
  <c r="AQ85" i="8"/>
  <c r="Q85" i="8"/>
  <c r="AC85" i="8" s="1"/>
  <c r="AQ84" i="8"/>
  <c r="Q84" i="8"/>
  <c r="AC84" i="8" s="1"/>
  <c r="AQ83" i="8"/>
  <c r="Q83" i="8"/>
  <c r="AC83" i="8" s="1"/>
  <c r="AQ82" i="8"/>
  <c r="Q82" i="8"/>
  <c r="AC82" i="8" s="1"/>
  <c r="AQ81" i="8"/>
  <c r="Q81" i="8"/>
  <c r="AC81" i="8" s="1"/>
  <c r="AQ80" i="8"/>
  <c r="Q80" i="8"/>
  <c r="AC80" i="8" s="1"/>
  <c r="AQ79" i="8"/>
  <c r="Q79" i="8"/>
  <c r="AC79" i="8" s="1"/>
  <c r="AQ78" i="8"/>
  <c r="Q78" i="8"/>
  <c r="AC78" i="8" s="1"/>
  <c r="AQ77" i="8"/>
  <c r="Q77" i="8"/>
  <c r="AC77" i="8" s="1"/>
  <c r="AQ76" i="8"/>
  <c r="Q76" i="8"/>
  <c r="AC76" i="8" s="1"/>
  <c r="B76" i="8"/>
  <c r="AQ75" i="8"/>
  <c r="Q75" i="8"/>
  <c r="AC75" i="8" s="1"/>
  <c r="AQ74" i="8"/>
  <c r="Q74" i="8"/>
  <c r="AC74" i="8" s="1"/>
  <c r="AQ73" i="8"/>
  <c r="Q73" i="8"/>
  <c r="AC73" i="8" s="1"/>
  <c r="AQ72" i="8"/>
  <c r="Q72" i="8"/>
  <c r="AC72" i="8" s="1"/>
  <c r="AQ71" i="8"/>
  <c r="Q71" i="8"/>
  <c r="AC71" i="8" s="1"/>
  <c r="AQ70" i="8"/>
  <c r="Q70" i="8"/>
  <c r="AC70" i="8" s="1"/>
  <c r="C70" i="8"/>
  <c r="AQ69" i="8"/>
  <c r="Q69" i="8"/>
  <c r="AC69" i="8" s="1"/>
  <c r="AQ68" i="8"/>
  <c r="Q68" i="8"/>
  <c r="AC68" i="8" s="1"/>
  <c r="AQ67" i="8"/>
  <c r="Q67" i="8"/>
  <c r="AC67" i="8" s="1"/>
  <c r="AQ66" i="8"/>
  <c r="Q66" i="8"/>
  <c r="AC66" i="8" s="1"/>
  <c r="AZ65" i="8"/>
  <c r="AQ65" i="8"/>
  <c r="Q65" i="8"/>
  <c r="AC65" i="8" s="1"/>
  <c r="AZ64" i="8"/>
  <c r="AQ64" i="8"/>
  <c r="Q64" i="8"/>
  <c r="AC64" i="8" s="1"/>
  <c r="C64" i="8"/>
  <c r="AQ63" i="8"/>
  <c r="Q63" i="8"/>
  <c r="AC63" i="8" s="1"/>
  <c r="AQ62" i="8"/>
  <c r="Q62" i="8"/>
  <c r="AC62" i="8" s="1"/>
  <c r="AQ61" i="8"/>
  <c r="Q61" i="8"/>
  <c r="AC61" i="8" s="1"/>
  <c r="AQ60" i="8"/>
  <c r="Q60" i="8"/>
  <c r="AC60" i="8" s="1"/>
  <c r="AQ59" i="8"/>
  <c r="Q59" i="8"/>
  <c r="AC59" i="8" s="1"/>
  <c r="AQ58" i="8"/>
  <c r="Q58" i="8"/>
  <c r="AC58" i="8" s="1"/>
  <c r="L58" i="8"/>
  <c r="D58" i="8"/>
  <c r="AQ57" i="8"/>
  <c r="Q57" i="8"/>
  <c r="AC57" i="8" s="1"/>
  <c r="AQ56" i="8"/>
  <c r="Q56" i="8"/>
  <c r="AC56" i="8" s="1"/>
  <c r="AQ55" i="8"/>
  <c r="Q55" i="8"/>
  <c r="AC55" i="8" s="1"/>
  <c r="AQ54" i="8"/>
  <c r="Q54" i="8"/>
  <c r="AC54" i="8" s="1"/>
  <c r="AQ53" i="8"/>
  <c r="Q53" i="8"/>
  <c r="AC53" i="8" s="1"/>
  <c r="AQ52" i="8"/>
  <c r="Q52" i="8"/>
  <c r="AC52" i="8" s="1"/>
  <c r="AQ51" i="8"/>
  <c r="Q51" i="8"/>
  <c r="AC51" i="8" s="1"/>
  <c r="AQ50" i="8"/>
  <c r="Q50" i="8"/>
  <c r="AC50" i="8" s="1"/>
  <c r="AQ49" i="8"/>
  <c r="Q49" i="8"/>
  <c r="AC49" i="8" s="1"/>
  <c r="AQ48" i="8"/>
  <c r="Q48" i="8"/>
  <c r="AC48" i="8" s="1"/>
  <c r="AQ47" i="8"/>
  <c r="Q47" i="8"/>
  <c r="AC47" i="8" s="1"/>
  <c r="AQ46" i="8"/>
  <c r="Q46" i="8"/>
  <c r="AC46" i="8" s="1"/>
  <c r="AQ45" i="8"/>
  <c r="Q45" i="8"/>
  <c r="AC45" i="8" s="1"/>
  <c r="AQ44" i="8"/>
  <c r="Q44" i="8"/>
  <c r="AC44" i="8" s="1"/>
  <c r="AQ43" i="8"/>
  <c r="Q43" i="8"/>
  <c r="AC43" i="8" s="1"/>
  <c r="AQ42" i="8"/>
  <c r="Q42" i="8"/>
  <c r="AC42" i="8" s="1"/>
  <c r="AQ41" i="8"/>
  <c r="Q41" i="8"/>
  <c r="AC41" i="8" s="1"/>
  <c r="AQ40" i="8"/>
  <c r="Q40" i="8"/>
  <c r="AC40" i="8" s="1"/>
  <c r="AQ39" i="8"/>
  <c r="Q39" i="8"/>
  <c r="AC39" i="8" s="1"/>
  <c r="AQ38" i="8"/>
  <c r="Q38" i="8"/>
  <c r="AC38" i="8" s="1"/>
  <c r="AQ37" i="8"/>
  <c r="Q37" i="8"/>
  <c r="AC37" i="8" s="1"/>
  <c r="AQ36" i="8"/>
  <c r="Q36" i="8"/>
  <c r="AC36" i="8" s="1"/>
  <c r="AQ35" i="8"/>
  <c r="Q35" i="8"/>
  <c r="AC35" i="8" s="1"/>
  <c r="AQ34" i="8"/>
  <c r="Q34" i="8"/>
  <c r="AC34" i="8" s="1"/>
  <c r="AQ33" i="8"/>
  <c r="Q33" i="8"/>
  <c r="AC33" i="8" s="1"/>
  <c r="AQ32" i="8"/>
  <c r="Q32" i="8"/>
  <c r="AC32" i="8" s="1"/>
  <c r="AQ31" i="8"/>
  <c r="Q31" i="8"/>
  <c r="AC31" i="8" s="1"/>
  <c r="AQ30" i="8"/>
  <c r="Q30" i="8"/>
  <c r="AC30" i="8" s="1"/>
  <c r="AQ29" i="8"/>
  <c r="Q29" i="8"/>
  <c r="AC29" i="8" s="1"/>
  <c r="AQ28" i="8"/>
  <c r="Q28" i="8"/>
  <c r="AC28" i="8" s="1"/>
  <c r="AQ27" i="8"/>
  <c r="AL27" i="8"/>
  <c r="Q27" i="8"/>
  <c r="AQ26" i="8"/>
  <c r="Q26" i="8"/>
  <c r="AC26" i="8" s="1"/>
  <c r="AQ25" i="8"/>
  <c r="Q25" i="8"/>
  <c r="AC25" i="8" s="1"/>
  <c r="AQ24" i="8"/>
  <c r="Q24" i="8"/>
  <c r="AC24" i="8" s="1"/>
  <c r="AQ23" i="8"/>
  <c r="Q23" i="8"/>
  <c r="AC23" i="8" s="1"/>
  <c r="AQ22" i="8"/>
  <c r="Q22" i="8"/>
  <c r="AC22" i="8" s="1"/>
  <c r="AQ21" i="8"/>
  <c r="Q21" i="8"/>
  <c r="AC21" i="8" s="1"/>
  <c r="AQ20" i="8"/>
  <c r="Q20" i="8"/>
  <c r="J20" i="8"/>
  <c r="I20" i="8"/>
  <c r="AV19" i="8"/>
  <c r="AU19" i="8"/>
  <c r="AT19" i="8"/>
  <c r="AS19" i="8"/>
  <c r="AR19" i="8"/>
  <c r="AH12" i="8"/>
  <c r="AG12" i="8"/>
  <c r="AE11" i="8"/>
  <c r="AD11" i="8"/>
  <c r="AD12" i="8" s="1"/>
  <c r="AE10" i="8"/>
  <c r="AF10" i="8" s="1"/>
  <c r="AG10" i="8" s="1"/>
  <c r="AH10" i="8" s="1"/>
  <c r="AH7" i="8"/>
  <c r="AG7" i="8"/>
  <c r="AE7" i="8"/>
  <c r="AD7" i="8"/>
  <c r="AF6" i="8"/>
  <c r="AC2" i="8"/>
  <c r="AC1" i="8"/>
  <c r="W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C110" i="7"/>
  <c r="Q110" i="7"/>
  <c r="AQ109" i="7"/>
  <c r="Q109" i="7"/>
  <c r="AC109" i="7" s="1"/>
  <c r="AQ108" i="7"/>
  <c r="Q108" i="7"/>
  <c r="AC108" i="7" s="1"/>
  <c r="AQ107" i="7"/>
  <c r="Q107" i="7"/>
  <c r="AC107" i="7" s="1"/>
  <c r="AQ106" i="7"/>
  <c r="AC106" i="7"/>
  <c r="Q106" i="7"/>
  <c r="AQ105" i="7"/>
  <c r="Q105" i="7"/>
  <c r="AC105" i="7" s="1"/>
  <c r="AQ104" i="7"/>
  <c r="AC104" i="7"/>
  <c r="Q104" i="7"/>
  <c r="AQ103" i="7"/>
  <c r="Q103" i="7"/>
  <c r="AC103" i="7" s="1"/>
  <c r="AQ102" i="7"/>
  <c r="AC102" i="7"/>
  <c r="Q102" i="7"/>
  <c r="AQ101" i="7"/>
  <c r="Q101" i="7"/>
  <c r="AC101" i="7" s="1"/>
  <c r="AQ100" i="7"/>
  <c r="AC100" i="7"/>
  <c r="Q100" i="7"/>
  <c r="AQ99" i="7"/>
  <c r="Q99" i="7"/>
  <c r="AC99" i="7" s="1"/>
  <c r="AQ98" i="7"/>
  <c r="Q98" i="7"/>
  <c r="AC98" i="7" s="1"/>
  <c r="AQ97" i="7"/>
  <c r="Q97" i="7"/>
  <c r="AC97" i="7" s="1"/>
  <c r="AQ96" i="7"/>
  <c r="AC96" i="7"/>
  <c r="Q96" i="7"/>
  <c r="AQ95" i="7"/>
  <c r="Q95" i="7"/>
  <c r="AC95" i="7" s="1"/>
  <c r="AQ94" i="7"/>
  <c r="Q94" i="7"/>
  <c r="AC94" i="7" s="1"/>
  <c r="AQ93" i="7"/>
  <c r="Q93" i="7"/>
  <c r="AC93" i="7" s="1"/>
  <c r="AQ92" i="7"/>
  <c r="AC92" i="7"/>
  <c r="Q92" i="7"/>
  <c r="AQ91" i="7"/>
  <c r="AC91" i="7"/>
  <c r="Q91" i="7"/>
  <c r="AQ90" i="7"/>
  <c r="Q90" i="7"/>
  <c r="AC90" i="7" s="1"/>
  <c r="AQ89" i="7"/>
  <c r="AC89" i="7"/>
  <c r="Q89" i="7"/>
  <c r="AQ88" i="7"/>
  <c r="Q88" i="7"/>
  <c r="AC88" i="7" s="1"/>
  <c r="AQ87" i="7"/>
  <c r="AC87" i="7"/>
  <c r="Q87" i="7"/>
  <c r="AQ86" i="7"/>
  <c r="AC86" i="7"/>
  <c r="Q86" i="7"/>
  <c r="AQ85" i="7"/>
  <c r="Q85" i="7"/>
  <c r="AC85" i="7" s="1"/>
  <c r="AQ84" i="7"/>
  <c r="Q84" i="7"/>
  <c r="AC84" i="7" s="1"/>
  <c r="AQ83" i="7"/>
  <c r="AC83" i="7"/>
  <c r="Q83" i="7"/>
  <c r="AQ82" i="7"/>
  <c r="Q82" i="7"/>
  <c r="AC82" i="7" s="1"/>
  <c r="AQ81" i="7"/>
  <c r="AC81" i="7"/>
  <c r="Q81" i="7"/>
  <c r="AQ80" i="7"/>
  <c r="Q80" i="7"/>
  <c r="AC80" i="7" s="1"/>
  <c r="AQ79" i="7"/>
  <c r="AC79" i="7"/>
  <c r="Q79" i="7"/>
  <c r="AQ78" i="7"/>
  <c r="Q78" i="7"/>
  <c r="AC78" i="7" s="1"/>
  <c r="AQ77" i="7"/>
  <c r="Q77" i="7"/>
  <c r="AC77" i="7" s="1"/>
  <c r="AW76" i="7"/>
  <c r="AQ76" i="7"/>
  <c r="Q76" i="7"/>
  <c r="AC76" i="7" s="1"/>
  <c r="AW75" i="7"/>
  <c r="AQ75" i="7"/>
  <c r="AC75" i="7"/>
  <c r="Q75" i="7"/>
  <c r="AW74" i="7"/>
  <c r="AQ74" i="7"/>
  <c r="AC74" i="7"/>
  <c r="Q74" i="7"/>
  <c r="AW73" i="7"/>
  <c r="AQ73" i="7"/>
  <c r="Q73" i="7"/>
  <c r="AC73" i="7" s="1"/>
  <c r="AW72" i="7"/>
  <c r="AQ72" i="7"/>
  <c r="Q72" i="7"/>
  <c r="AC72" i="7" s="1"/>
  <c r="AW71" i="7"/>
  <c r="AQ71" i="7"/>
  <c r="AC71" i="7"/>
  <c r="Q71" i="7"/>
  <c r="AW70" i="7"/>
  <c r="AQ70" i="7"/>
  <c r="AC70" i="7"/>
  <c r="Q70" i="7"/>
  <c r="AW69" i="7"/>
  <c r="AQ69" i="7"/>
  <c r="AC69" i="7"/>
  <c r="Q69" i="7"/>
  <c r="AW68" i="7"/>
  <c r="AQ68" i="7"/>
  <c r="AC68" i="7"/>
  <c r="Q68" i="7"/>
  <c r="AW67" i="7"/>
  <c r="AQ67" i="7"/>
  <c r="Q67" i="7"/>
  <c r="AC67" i="7" s="1"/>
  <c r="AW66" i="7"/>
  <c r="AQ66" i="7"/>
  <c r="AC66" i="7"/>
  <c r="Q66" i="7"/>
  <c r="AW65" i="7"/>
  <c r="AQ65" i="7"/>
  <c r="AC65" i="7"/>
  <c r="Q65" i="7"/>
  <c r="AW64" i="7"/>
  <c r="AQ64" i="7"/>
  <c r="Q64" i="7"/>
  <c r="AC64" i="7" s="1"/>
  <c r="AQ63" i="7"/>
  <c r="Q63" i="7"/>
  <c r="AC63" i="7" s="1"/>
  <c r="AQ62" i="7"/>
  <c r="AC62" i="7"/>
  <c r="Q62" i="7"/>
  <c r="AQ61" i="7"/>
  <c r="AC61" i="7"/>
  <c r="Q61" i="7"/>
  <c r="AQ60" i="7"/>
  <c r="Q60" i="7"/>
  <c r="AC60" i="7" s="1"/>
  <c r="AQ59" i="7"/>
  <c r="Q59" i="7"/>
  <c r="AC59" i="7" s="1"/>
  <c r="AQ58" i="7"/>
  <c r="AC58" i="7"/>
  <c r="Q58" i="7"/>
  <c r="L58" i="7"/>
  <c r="AQ57" i="7"/>
  <c r="AC57" i="7"/>
  <c r="Q57" i="7"/>
  <c r="AQ56" i="7"/>
  <c r="AC56" i="7"/>
  <c r="Q56" i="7"/>
  <c r="AQ55" i="7"/>
  <c r="Q55" i="7"/>
  <c r="AC55" i="7" s="1"/>
  <c r="AQ54" i="7"/>
  <c r="AC54" i="7"/>
  <c r="Q54" i="7"/>
  <c r="AQ53" i="7"/>
  <c r="Q53" i="7"/>
  <c r="AC53" i="7" s="1"/>
  <c r="AQ52" i="7"/>
  <c r="Q52" i="7"/>
  <c r="AC52" i="7" s="1"/>
  <c r="AQ51" i="7"/>
  <c r="Q51" i="7"/>
  <c r="AC51" i="7" s="1"/>
  <c r="AQ50" i="7"/>
  <c r="Q50" i="7"/>
  <c r="AC50" i="7" s="1"/>
  <c r="AQ49" i="7"/>
  <c r="Q49" i="7"/>
  <c r="AC49" i="7" s="1"/>
  <c r="AQ48" i="7"/>
  <c r="Q48" i="7"/>
  <c r="AC48" i="7" s="1"/>
  <c r="AQ47" i="7"/>
  <c r="AC47" i="7"/>
  <c r="Q47" i="7"/>
  <c r="AQ46" i="7"/>
  <c r="AC46" i="7"/>
  <c r="Q46" i="7"/>
  <c r="AQ45" i="7"/>
  <c r="Q45" i="7"/>
  <c r="AC45" i="7" s="1"/>
  <c r="AQ44" i="7"/>
  <c r="Q44" i="7"/>
  <c r="AC44" i="7" s="1"/>
  <c r="AQ43" i="7"/>
  <c r="AC43" i="7"/>
  <c r="Q43" i="7"/>
  <c r="AQ42" i="7"/>
  <c r="AC42" i="7"/>
  <c r="Q42" i="7"/>
  <c r="AQ41" i="7"/>
  <c r="Q41" i="7"/>
  <c r="AC41" i="7" s="1"/>
  <c r="AQ40" i="7"/>
  <c r="Q40" i="7"/>
  <c r="AC40" i="7" s="1"/>
  <c r="AQ39" i="7"/>
  <c r="AC39" i="7"/>
  <c r="Q39" i="7"/>
  <c r="AQ38" i="7"/>
  <c r="AC38" i="7"/>
  <c r="Q38" i="7"/>
  <c r="AQ37" i="7"/>
  <c r="AC37" i="7"/>
  <c r="Q37" i="7"/>
  <c r="AQ36" i="7"/>
  <c r="Q36" i="7"/>
  <c r="AC36" i="7" s="1"/>
  <c r="AQ35" i="7"/>
  <c r="Q35" i="7"/>
  <c r="AC35" i="7" s="1"/>
  <c r="AQ34" i="7"/>
  <c r="AC34" i="7"/>
  <c r="Q34" i="7"/>
  <c r="AQ33" i="7"/>
  <c r="AC33" i="7"/>
  <c r="Q33" i="7"/>
  <c r="AQ32" i="7"/>
  <c r="Q32" i="7"/>
  <c r="AC32" i="7" s="1"/>
  <c r="AQ31" i="7"/>
  <c r="Q31" i="7"/>
  <c r="AC31" i="7" s="1"/>
  <c r="AQ30" i="7"/>
  <c r="AC30" i="7"/>
  <c r="Q30" i="7"/>
  <c r="AQ29" i="7"/>
  <c r="Q29" i="7"/>
  <c r="AC29" i="7" s="1"/>
  <c r="AQ28" i="7"/>
  <c r="AC28" i="7"/>
  <c r="Q28" i="7"/>
  <c r="AQ27" i="7"/>
  <c r="AL27" i="7"/>
  <c r="AC27" i="7"/>
  <c r="Q27" i="7"/>
  <c r="AQ26" i="7"/>
  <c r="AC26" i="7"/>
  <c r="Q26" i="7"/>
  <c r="AQ25" i="7"/>
  <c r="Q25" i="7"/>
  <c r="AC25" i="7" s="1"/>
  <c r="AQ24" i="7"/>
  <c r="AC24" i="7"/>
  <c r="Q24" i="7"/>
  <c r="AQ23" i="7"/>
  <c r="AC23" i="7"/>
  <c r="Q23" i="7"/>
  <c r="AQ22" i="7"/>
  <c r="AC22" i="7"/>
  <c r="Q22" i="7"/>
  <c r="AQ21" i="7"/>
  <c r="Q21" i="7"/>
  <c r="AC21" i="7" s="1"/>
  <c r="AQ20" i="7"/>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X24" i="7" a="1"/>
  <c r="AX22" i="7" a="1"/>
  <c r="AR71" i="7" a="1"/>
  <c r="AR77" i="7" a="1"/>
  <c r="AR57" i="7" a="1"/>
  <c r="AR87" i="7" a="1"/>
  <c r="AX26" i="7" a="1"/>
  <c r="AR39" i="7" a="1"/>
  <c r="AX21" i="7" a="1"/>
  <c r="BA65" i="8" a="1"/>
  <c r="AX25" i="7" a="1"/>
  <c r="AX23" i="7" a="1"/>
  <c r="AR107" i="7" a="1"/>
  <c r="AX20" i="7" a="1"/>
  <c r="BA64" i="8" a="1"/>
  <c r="AR91" i="7" a="1"/>
  <c r="AE34" i="8" l="1" a="1"/>
  <c r="AE34" i="8" s="1"/>
  <c r="AF34" i="8" s="1" a="1"/>
  <c r="AF34" i="8" s="1"/>
  <c r="AG34" i="8" s="1" a="1"/>
  <c r="AG34" i="8" s="1"/>
  <c r="AH34" i="8" s="1" a="1"/>
  <c r="AH34" i="8" s="1"/>
  <c r="AE36" i="8" a="1"/>
  <c r="AE36" i="8" s="1"/>
  <c r="AF36" i="8" s="1" a="1"/>
  <c r="AF36" i="8" s="1"/>
  <c r="AG36" i="8" s="1" a="1"/>
  <c r="AG36" i="8" s="1"/>
  <c r="AH36" i="8" a="1"/>
  <c r="AH36" i="8" s="1"/>
  <c r="AE42" i="8" a="1"/>
  <c r="AE42" i="8" s="1"/>
  <c r="AF42" i="8" s="1" a="1"/>
  <c r="AF42" i="8" s="1"/>
  <c r="AG42" i="8" s="1" a="1"/>
  <c r="AG42" i="8" s="1"/>
  <c r="AH42" i="8" s="1" a="1"/>
  <c r="AH42" i="8" s="1"/>
  <c r="AE44" i="8" a="1"/>
  <c r="AE44" i="8" s="1"/>
  <c r="AF44" i="8" s="1" a="1"/>
  <c r="AF44" i="8" s="1"/>
  <c r="AG44" i="8" s="1" a="1"/>
  <c r="AG44" i="8" s="1"/>
  <c r="AH44" i="8" a="1"/>
  <c r="AH44" i="8" s="1"/>
  <c r="AE50" i="8" a="1"/>
  <c r="AE50" i="8" s="1"/>
  <c r="AF50" i="8" s="1" a="1"/>
  <c r="AF50" i="8" s="1"/>
  <c r="AG50" i="8" s="1" a="1"/>
  <c r="AG50" i="8" s="1"/>
  <c r="AH50" i="8" s="1" a="1"/>
  <c r="AH50" i="8" s="1"/>
  <c r="AE52" i="8" a="1"/>
  <c r="AE52" i="8" s="1"/>
  <c r="AF52" i="8" s="1" a="1"/>
  <c r="AF52" i="8" s="1"/>
  <c r="AG52" i="8" s="1" a="1"/>
  <c r="AG52" i="8" s="1"/>
  <c r="AH52" i="8" s="1" a="1"/>
  <c r="AH52" i="8" s="1"/>
  <c r="AE58" i="8" a="1"/>
  <c r="AE58" i="8" s="1"/>
  <c r="AF58" i="8" a="1"/>
  <c r="AF58" i="8" s="1"/>
  <c r="AG58" i="8" s="1" a="1"/>
  <c r="AG58" i="8" s="1"/>
  <c r="AH58" i="8" s="1" a="1"/>
  <c r="AH58" i="8" s="1"/>
  <c r="AE60" i="8" a="1"/>
  <c r="AE60" i="8" s="1"/>
  <c r="AF60" i="8" s="1" a="1"/>
  <c r="AF60" i="8" s="1"/>
  <c r="AG60" i="8" s="1" a="1"/>
  <c r="AG60" i="8" s="1"/>
  <c r="AH60" i="8" s="1" a="1"/>
  <c r="AH60" i="8" s="1"/>
  <c r="AE66" i="8" a="1"/>
  <c r="AE66" i="8" s="1"/>
  <c r="AF66" i="8" a="1"/>
  <c r="AF66" i="8" s="1"/>
  <c r="AG66" i="8" s="1" a="1"/>
  <c r="AG66" i="8" s="1"/>
  <c r="AH66" i="8" s="1" a="1"/>
  <c r="AH66" i="8" s="1"/>
  <c r="AE68" i="8" a="1"/>
  <c r="AE68" i="8" s="1"/>
  <c r="AF68" i="8" s="1" a="1"/>
  <c r="AF68" i="8" s="1"/>
  <c r="AG68" i="8" s="1" a="1"/>
  <c r="AG68" i="8" s="1"/>
  <c r="AH68" i="8" s="1" a="1"/>
  <c r="AH68" i="8" s="1"/>
  <c r="AE72" i="8" a="1"/>
  <c r="AE72" i="8" s="1"/>
  <c r="AF72" i="8" s="1" a="1"/>
  <c r="AF72" i="8" s="1"/>
  <c r="AG72" i="8" s="1" a="1"/>
  <c r="AG72" i="8" s="1"/>
  <c r="AH72" i="8" s="1" a="1"/>
  <c r="AH72" i="8" s="1"/>
  <c r="AE74" i="8" a="1"/>
  <c r="AE74" i="8" s="1"/>
  <c r="AF74" i="8" s="1" a="1"/>
  <c r="AF74" i="8" s="1"/>
  <c r="AG74" i="8" s="1" a="1"/>
  <c r="AG74" i="8" s="1"/>
  <c r="AH74" i="8" s="1" a="1"/>
  <c r="AH74" i="8" s="1"/>
  <c r="AE76" i="8" a="1"/>
  <c r="AE76" i="8" s="1"/>
  <c r="AF76" i="8" s="1" a="1"/>
  <c r="AF76" i="8" s="1"/>
  <c r="AG76" i="8" s="1" a="1"/>
  <c r="AG76" i="8" s="1"/>
  <c r="AH76" i="8" a="1"/>
  <c r="AH76" i="8" s="1"/>
  <c r="AE82" i="8" a="1"/>
  <c r="AE82" i="8" s="1"/>
  <c r="AF82" i="8" a="1"/>
  <c r="AF82" i="8" s="1"/>
  <c r="AG82" i="8" s="1" a="1"/>
  <c r="AG82" i="8" s="1"/>
  <c r="AH82" i="8" s="1" a="1"/>
  <c r="AH82" i="8" s="1"/>
  <c r="AE88" i="8" a="1"/>
  <c r="AE88" i="8" s="1"/>
  <c r="AF88" i="8" a="1"/>
  <c r="AF88" i="8" s="1"/>
  <c r="AG88" i="8" s="1" a="1"/>
  <c r="AG88" i="8" s="1"/>
  <c r="AH88" i="8" s="1" a="1"/>
  <c r="AH88" i="8" s="1"/>
  <c r="AE90" i="8" a="1"/>
  <c r="AE90" i="8" s="1"/>
  <c r="AF90" i="8" s="1" a="1"/>
  <c r="AF90" i="8" s="1"/>
  <c r="AG90" i="8" s="1" a="1"/>
  <c r="AG90" i="8" s="1"/>
  <c r="AH90" i="8" s="1" a="1"/>
  <c r="AH90" i="8" s="1"/>
  <c r="AE92" i="8" a="1"/>
  <c r="AE92" i="8" s="1"/>
  <c r="AF92" i="8" s="1" a="1"/>
  <c r="AF92" i="8" s="1"/>
  <c r="AG92" i="8" s="1" a="1"/>
  <c r="AG92" i="8" s="1"/>
  <c r="AH92" i="8" a="1"/>
  <c r="AH92" i="8" s="1"/>
  <c r="AE97" i="8" a="1"/>
  <c r="AE97" i="8" s="1"/>
  <c r="AF97" i="8" s="1" a="1"/>
  <c r="AF97" i="8" s="1"/>
  <c r="AG97" i="8" s="1" a="1"/>
  <c r="AG97" i="8" s="1"/>
  <c r="AH97" i="8" s="1" a="1"/>
  <c r="AH97" i="8" s="1"/>
  <c r="AE102" i="8" a="1"/>
  <c r="AE102" i="8" s="1"/>
  <c r="AF102" i="8" s="1" a="1"/>
  <c r="AF102" i="8" s="1"/>
  <c r="AG102" i="8" s="1" a="1"/>
  <c r="AG102" i="8" s="1"/>
  <c r="AH102" i="8" s="1" a="1"/>
  <c r="AH102" i="8" s="1"/>
  <c r="AE108" i="8" a="1"/>
  <c r="AE108" i="8" s="1"/>
  <c r="AF108" i="8" s="1" a="1"/>
  <c r="AF108" i="8" s="1"/>
  <c r="AG108" i="8" s="1" a="1"/>
  <c r="AG108" i="8" s="1"/>
  <c r="AH108" i="8" s="1" a="1"/>
  <c r="AH108" i="8" s="1"/>
  <c r="AE110" i="8" a="1"/>
  <c r="AE110" i="8" s="1"/>
  <c r="AF110" i="8" s="1" a="1"/>
  <c r="AF110" i="8" s="1"/>
  <c r="AG110" i="8" s="1" a="1"/>
  <c r="AG110" i="8" s="1"/>
  <c r="AH110" i="8" s="1" a="1"/>
  <c r="AH110" i="8" s="1"/>
  <c r="AE103" i="8" a="1"/>
  <c r="AE103" i="8" s="1"/>
  <c r="AF103" i="8" s="1" a="1"/>
  <c r="AF103" i="8" s="1"/>
  <c r="AG103" i="8" s="1" a="1"/>
  <c r="AG103" i="8" s="1"/>
  <c r="AH103" i="8" s="1" a="1"/>
  <c r="AH103" i="8" s="1"/>
  <c r="AE101" i="8" a="1"/>
  <c r="AE101" i="8" s="1"/>
  <c r="AF101" i="8" s="1" a="1"/>
  <c r="AF101" i="8" s="1"/>
  <c r="AG101" i="8" s="1" a="1"/>
  <c r="AG101" i="8" s="1"/>
  <c r="AH101" i="8" s="1" a="1"/>
  <c r="AH101" i="8" s="1"/>
  <c r="AE100" i="8" a="1"/>
  <c r="AE100" i="8" s="1"/>
  <c r="AF100" i="8" s="1" a="1"/>
  <c r="AF100" i="8" s="1"/>
  <c r="AG100" i="8" s="1" a="1"/>
  <c r="AG100" i="8" s="1"/>
  <c r="AH100" i="8" s="1" a="1"/>
  <c r="AH100" i="8" s="1"/>
  <c r="AE91" i="8" a="1"/>
  <c r="AE91" i="8" s="1"/>
  <c r="AF91" i="8" s="1" a="1"/>
  <c r="AF91" i="8" s="1"/>
  <c r="AG91" i="8" s="1" a="1"/>
  <c r="AG91" i="8" s="1"/>
  <c r="AH91" i="8" s="1" a="1"/>
  <c r="AH91" i="8" s="1"/>
  <c r="AE87" i="8" a="1"/>
  <c r="AE87" i="8" s="1"/>
  <c r="AF87" i="8" s="1" a="1"/>
  <c r="AF87" i="8" s="1"/>
  <c r="AG87" i="8" s="1" a="1"/>
  <c r="AG87" i="8" s="1"/>
  <c r="AH87" i="8" s="1" a="1"/>
  <c r="AH87" i="8" s="1"/>
  <c r="AE81" i="8" a="1"/>
  <c r="AE81" i="8" s="1"/>
  <c r="AF81" i="8" s="1" a="1"/>
  <c r="AF81" i="8" s="1"/>
  <c r="AG81" i="8" s="1" a="1"/>
  <c r="AG81" i="8" s="1"/>
  <c r="AH81" i="8" s="1" a="1"/>
  <c r="AH81" i="8" s="1"/>
  <c r="AE80" i="8" a="1"/>
  <c r="AE80" i="8" s="1"/>
  <c r="AF80" i="8" s="1" a="1"/>
  <c r="AF80" i="8" s="1"/>
  <c r="AG80" i="8" s="1" a="1"/>
  <c r="AG80" i="8" s="1"/>
  <c r="AH80" i="8" s="1" a="1"/>
  <c r="AH80" i="8" s="1"/>
  <c r="AE78" i="8" a="1"/>
  <c r="AE78" i="8" s="1"/>
  <c r="AF78" i="8" s="1" a="1"/>
  <c r="AF78" i="8" s="1"/>
  <c r="AG78" i="8" s="1" a="1"/>
  <c r="AG78" i="8" s="1"/>
  <c r="AH78" i="8" s="1" a="1"/>
  <c r="AH78" i="8" s="1"/>
  <c r="AE77" i="8" a="1"/>
  <c r="AE77" i="8" s="1"/>
  <c r="AF77" i="8" s="1" a="1"/>
  <c r="AF77" i="8" s="1"/>
  <c r="AG77" i="8" s="1" a="1"/>
  <c r="AG77" i="8" s="1"/>
  <c r="AH77" i="8" s="1" a="1"/>
  <c r="AH77" i="8" s="1"/>
  <c r="AE75" i="8" a="1"/>
  <c r="AE75" i="8" s="1"/>
  <c r="AF75" i="8" s="1" a="1"/>
  <c r="AF75" i="8" s="1"/>
  <c r="AG75" i="8" s="1" a="1"/>
  <c r="AG75" i="8" s="1"/>
  <c r="AH75" i="8" s="1" a="1"/>
  <c r="AH75" i="8" s="1"/>
  <c r="AE73" i="8" a="1"/>
  <c r="AE73" i="8" s="1"/>
  <c r="AF73" i="8" s="1" a="1"/>
  <c r="AF73" i="8" s="1"/>
  <c r="AG73" i="8" s="1" a="1"/>
  <c r="AG73" i="8" s="1"/>
  <c r="AH73" i="8" s="1" a="1"/>
  <c r="AH73" i="8" s="1"/>
  <c r="AE71" i="8" a="1"/>
  <c r="AE71" i="8" s="1"/>
  <c r="AF71" i="8" s="1" a="1"/>
  <c r="AF71" i="8" s="1"/>
  <c r="AG71" i="8" s="1" a="1"/>
  <c r="AG71" i="8" s="1"/>
  <c r="AH71" i="8" s="1" a="1"/>
  <c r="AH71" i="8" s="1"/>
  <c r="AE70" i="8" a="1"/>
  <c r="AE70" i="8" s="1"/>
  <c r="AF70" i="8" s="1" a="1"/>
  <c r="AF70" i="8" s="1"/>
  <c r="AG70" i="8" s="1" a="1"/>
  <c r="AG70" i="8" s="1"/>
  <c r="AH70" i="8" s="1" a="1"/>
  <c r="AH70" i="8" s="1"/>
  <c r="AE69" i="8" a="1"/>
  <c r="AE69" i="8" s="1"/>
  <c r="AF69" i="8" s="1" a="1"/>
  <c r="AF69" i="8" s="1"/>
  <c r="AG69" i="8" s="1" a="1"/>
  <c r="AG69" i="8" s="1"/>
  <c r="AH69" i="8" s="1" a="1"/>
  <c r="AH69" i="8" s="1"/>
  <c r="AE67" i="8" a="1"/>
  <c r="AE67" i="8" s="1"/>
  <c r="AF67" i="8" s="1" a="1"/>
  <c r="AF67" i="8" s="1"/>
  <c r="AG67" i="8" s="1" a="1"/>
  <c r="AG67" i="8" s="1"/>
  <c r="AH67" i="8" s="1" a="1"/>
  <c r="AH67" i="8" s="1"/>
  <c r="AE65" i="8" a="1"/>
  <c r="AE65" i="8" s="1"/>
  <c r="AF65" i="8" s="1" a="1"/>
  <c r="AF65" i="8" s="1"/>
  <c r="AG65" i="8" s="1" a="1"/>
  <c r="AG65" i="8" s="1"/>
  <c r="AH65" i="8" s="1" a="1"/>
  <c r="AH65" i="8" s="1"/>
  <c r="AE64" i="8" a="1"/>
  <c r="AE64" i="8" s="1"/>
  <c r="AF64" i="8" s="1" a="1"/>
  <c r="AF64" i="8" s="1"/>
  <c r="AG64" i="8" s="1" a="1"/>
  <c r="AG64" i="8" s="1"/>
  <c r="AH64" i="8" s="1" a="1"/>
  <c r="AH64" i="8" s="1"/>
  <c r="AE63" i="8" a="1"/>
  <c r="AE63" i="8" s="1"/>
  <c r="AF63" i="8" s="1" a="1"/>
  <c r="AF63" i="8" s="1"/>
  <c r="AG63" i="8" s="1" a="1"/>
  <c r="AG63" i="8" s="1"/>
  <c r="AH63" i="8" s="1" a="1"/>
  <c r="AH63" i="8" s="1"/>
  <c r="AE62" i="8" a="1"/>
  <c r="AE62" i="8" s="1"/>
  <c r="AF62" i="8" s="1" a="1"/>
  <c r="AF62" i="8" s="1"/>
  <c r="AG62" i="8" s="1" a="1"/>
  <c r="AG62" i="8" s="1"/>
  <c r="AH62" i="8" s="1" a="1"/>
  <c r="AH62" i="8" s="1"/>
  <c r="AE61" i="8" a="1"/>
  <c r="AE61" i="8" s="1"/>
  <c r="AF61" i="8" s="1" a="1"/>
  <c r="AF61" i="8" s="1"/>
  <c r="AG61" i="8" s="1" a="1"/>
  <c r="AG61" i="8" s="1"/>
  <c r="AH61" i="8" s="1" a="1"/>
  <c r="AH61" i="8" s="1"/>
  <c r="AE59" i="8" a="1"/>
  <c r="AE59" i="8" s="1"/>
  <c r="AF59" i="8" s="1" a="1"/>
  <c r="AF59" i="8" s="1"/>
  <c r="AG59" i="8" s="1" a="1"/>
  <c r="AG59" i="8" s="1"/>
  <c r="AH59" i="8" s="1" a="1"/>
  <c r="AH59" i="8" s="1"/>
  <c r="AE57" i="8" a="1"/>
  <c r="AE57" i="8" s="1"/>
  <c r="AF57" i="8" s="1" a="1"/>
  <c r="AF57" i="8" s="1"/>
  <c r="AG57" i="8" s="1" a="1"/>
  <c r="AG57" i="8" s="1"/>
  <c r="AH57" i="8" s="1" a="1"/>
  <c r="AH57" i="8" s="1"/>
  <c r="AE56" i="8" a="1"/>
  <c r="AE56" i="8" s="1"/>
  <c r="AF56" i="8" s="1" a="1"/>
  <c r="AF56" i="8" s="1"/>
  <c r="AG56" i="8" s="1" a="1"/>
  <c r="AG56" i="8" s="1"/>
  <c r="AH56" i="8" s="1" a="1"/>
  <c r="AH56" i="8" s="1"/>
  <c r="AE55" i="8" a="1"/>
  <c r="AE55" i="8" s="1"/>
  <c r="AF55" i="8" s="1" a="1"/>
  <c r="AF55" i="8" s="1"/>
  <c r="AG55" i="8" s="1" a="1"/>
  <c r="AG55" i="8" s="1"/>
  <c r="AH55" i="8" s="1" a="1"/>
  <c r="AH55" i="8" s="1"/>
  <c r="AE54" i="8" a="1"/>
  <c r="AE54" i="8" s="1"/>
  <c r="AF54" i="8" s="1" a="1"/>
  <c r="AF54" i="8" s="1"/>
  <c r="AG54" i="8" s="1" a="1"/>
  <c r="AG54" i="8" s="1"/>
  <c r="AH54" i="8" s="1" a="1"/>
  <c r="AH54" i="8" s="1"/>
  <c r="AE53" i="8" a="1"/>
  <c r="AE53" i="8" s="1"/>
  <c r="AF53" i="8" s="1" a="1"/>
  <c r="AF53" i="8" s="1"/>
  <c r="AG53" i="8" s="1" a="1"/>
  <c r="AG53" i="8" s="1"/>
  <c r="AH53" i="8" s="1" a="1"/>
  <c r="AH53" i="8" s="1"/>
  <c r="AE51" i="8" a="1"/>
  <c r="AE51" i="8" s="1"/>
  <c r="AF51" i="8" s="1" a="1"/>
  <c r="AF51" i="8" s="1"/>
  <c r="AG51" i="8" s="1" a="1"/>
  <c r="AG51" i="8" s="1"/>
  <c r="AH51" i="8" s="1" a="1"/>
  <c r="AH51" i="8" s="1"/>
  <c r="AE49" i="8" a="1"/>
  <c r="AE49" i="8" s="1"/>
  <c r="AF49" i="8" s="1" a="1"/>
  <c r="AF49" i="8" s="1"/>
  <c r="AG49" i="8" s="1" a="1"/>
  <c r="AG49" i="8" s="1"/>
  <c r="AH49" i="8" s="1" a="1"/>
  <c r="AH49" i="8" s="1"/>
  <c r="AE48" i="8" a="1"/>
  <c r="AE48" i="8" s="1"/>
  <c r="AF48" i="8" s="1" a="1"/>
  <c r="AF48" i="8" s="1"/>
  <c r="AG48" i="8" s="1" a="1"/>
  <c r="AG48" i="8" s="1"/>
  <c r="AH48" i="8" s="1" a="1"/>
  <c r="AH48" i="8" s="1"/>
  <c r="AE47" i="8" a="1"/>
  <c r="AE47" i="8" s="1"/>
  <c r="AF47" i="8" s="1" a="1"/>
  <c r="AF47" i="8" s="1"/>
  <c r="AG47" i="8" s="1" a="1"/>
  <c r="AG47" i="8" s="1"/>
  <c r="AH47" i="8" s="1" a="1"/>
  <c r="AH47" i="8" s="1"/>
  <c r="AE46" i="8" a="1"/>
  <c r="AE46" i="8" s="1"/>
  <c r="AF46" i="8" s="1" a="1"/>
  <c r="AF46" i="8" s="1"/>
  <c r="AG46" i="8" s="1" a="1"/>
  <c r="AG46" i="8" s="1"/>
  <c r="AH46" i="8" s="1" a="1"/>
  <c r="AH46" i="8" s="1"/>
  <c r="AE45" i="8" a="1"/>
  <c r="AE45" i="8" s="1"/>
  <c r="AF45" i="8" s="1" a="1"/>
  <c r="AF45" i="8" s="1"/>
  <c r="AG45" i="8" s="1" a="1"/>
  <c r="AG45" i="8" s="1"/>
  <c r="AH45" i="8" s="1" a="1"/>
  <c r="AH45" i="8" s="1"/>
  <c r="AE43" i="8" a="1"/>
  <c r="AE43" i="8" s="1"/>
  <c r="AF43" i="8" s="1" a="1"/>
  <c r="AF43" i="8" s="1"/>
  <c r="AG43" i="8" s="1" a="1"/>
  <c r="AG43" i="8" s="1"/>
  <c r="AH43" i="8" s="1" a="1"/>
  <c r="AH43" i="8" s="1"/>
  <c r="AE41" i="8" a="1"/>
  <c r="AE41" i="8" s="1"/>
  <c r="AF41" i="8" s="1" a="1"/>
  <c r="AF41" i="8" s="1"/>
  <c r="AG41" i="8" s="1" a="1"/>
  <c r="AG41" i="8" s="1"/>
  <c r="AH41" i="8" s="1" a="1"/>
  <c r="AH41" i="8" s="1"/>
  <c r="AE40" i="8" a="1"/>
  <c r="AE40" i="8" s="1"/>
  <c r="AF40" i="8" s="1" a="1"/>
  <c r="AF40" i="8" s="1"/>
  <c r="AG40" i="8" s="1" a="1"/>
  <c r="AG40" i="8" s="1"/>
  <c r="AH40" i="8" s="1" a="1"/>
  <c r="AH40" i="8" s="1"/>
  <c r="AE39" i="8" a="1"/>
  <c r="AE39" i="8" s="1"/>
  <c r="AF39" i="8" s="1" a="1"/>
  <c r="AF39" i="8" s="1"/>
  <c r="AG39" i="8" s="1" a="1"/>
  <c r="AG39" i="8" s="1"/>
  <c r="AH39" i="8" s="1" a="1"/>
  <c r="AH39" i="8" s="1"/>
  <c r="AE38" i="8" a="1"/>
  <c r="AE38" i="8" s="1"/>
  <c r="AF38" i="8" s="1" a="1"/>
  <c r="AF38" i="8" s="1"/>
  <c r="AG38" i="8" s="1" a="1"/>
  <c r="AG38" i="8" s="1"/>
  <c r="AH38" i="8" s="1" a="1"/>
  <c r="AH38" i="8" s="1"/>
  <c r="AE37" i="8" a="1"/>
  <c r="AE37" i="8" s="1"/>
  <c r="AF37" i="8" s="1" a="1"/>
  <c r="AF37" i="8" s="1"/>
  <c r="AG37" i="8" s="1" a="1"/>
  <c r="AG37" i="8" s="1"/>
  <c r="AH37" i="8" s="1" a="1"/>
  <c r="AH37" i="8" s="1"/>
  <c r="AE35" i="8" a="1"/>
  <c r="AE35" i="8" s="1"/>
  <c r="AF35" i="8" s="1" a="1"/>
  <c r="AF35" i="8" s="1"/>
  <c r="AG35" i="8" s="1" a="1"/>
  <c r="AG35" i="8" s="1"/>
  <c r="AH35" i="8" s="1" a="1"/>
  <c r="AH35" i="8" s="1"/>
  <c r="AE31" i="8" a="1"/>
  <c r="AE31" i="8" s="1"/>
  <c r="AF31" i="8" s="1" a="1"/>
  <c r="AF31" i="8" s="1"/>
  <c r="AG31" i="8" s="1" a="1"/>
  <c r="AG31" i="8" s="1"/>
  <c r="AH31" i="8" s="1" a="1"/>
  <c r="AH31" i="8" s="1"/>
  <c r="AE30" i="8" a="1"/>
  <c r="AE30" i="8" s="1"/>
  <c r="AF30" i="8" s="1" a="1"/>
  <c r="AF30" i="8" s="1"/>
  <c r="AG30" i="8" s="1" a="1"/>
  <c r="AG30" i="8" s="1"/>
  <c r="AH30" i="8" s="1" a="1"/>
  <c r="AH30" i="8" s="1"/>
  <c r="AE22" i="8" a="1"/>
  <c r="AE22" i="8" s="1"/>
  <c r="AF22" i="8" s="1" a="1"/>
  <c r="AF22" i="8" s="1"/>
  <c r="AG22" i="8" s="1" a="1"/>
  <c r="AG22" i="8" s="1"/>
  <c r="AH22" i="8" s="1" a="1"/>
  <c r="AH22" i="8" s="1"/>
  <c r="AE27" i="8" a="1"/>
  <c r="AE27" i="8" s="1"/>
  <c r="AF27" i="8" s="1" a="1"/>
  <c r="AF27" i="8" s="1"/>
  <c r="AG27" i="8" s="1" a="1"/>
  <c r="AG27" i="8" s="1"/>
  <c r="AH27" i="8" s="1" a="1"/>
  <c r="AH27" i="8" s="1"/>
  <c r="AE20" i="8" a="1"/>
  <c r="AE20" i="8" s="1"/>
  <c r="AF20" i="8" s="1" a="1"/>
  <c r="AF20" i="8" s="1"/>
  <c r="AG20" i="8" s="1" a="1"/>
  <c r="AG20" i="8" s="1"/>
  <c r="AH20" i="8" s="1" a="1"/>
  <c r="AH20" i="8" s="1"/>
  <c r="AE98" i="8" a="1"/>
  <c r="AE98" i="8" s="1"/>
  <c r="AF98" i="8" s="1" a="1"/>
  <c r="AF98" i="8" s="1"/>
  <c r="AG98" i="8" s="1" a="1"/>
  <c r="AG98" i="8" s="1"/>
  <c r="AH98" i="8" s="1" a="1"/>
  <c r="AH98" i="8" s="1"/>
  <c r="AE93" i="8" a="1"/>
  <c r="AE93" i="8" s="1"/>
  <c r="AF93" i="8" s="1" a="1"/>
  <c r="AF93" i="8" s="1"/>
  <c r="AG93" i="8" s="1" a="1"/>
  <c r="AG93" i="8" s="1"/>
  <c r="AH93" i="8" s="1" a="1"/>
  <c r="AH93" i="8" s="1"/>
  <c r="AE83" i="8" a="1"/>
  <c r="AE83" i="8" s="1"/>
  <c r="AF83" i="8" s="1" a="1"/>
  <c r="AF83" i="8" s="1"/>
  <c r="AG83" i="8" s="1" a="1"/>
  <c r="AG83" i="8" s="1"/>
  <c r="AH83" i="8" s="1" a="1"/>
  <c r="AH83" i="8" s="1"/>
  <c r="AE23" i="8" a="1"/>
  <c r="AE23" i="8" s="1"/>
  <c r="AF23" i="8" s="1" a="1"/>
  <c r="AF23" i="8" s="1"/>
  <c r="AG23" i="8" s="1" a="1"/>
  <c r="AG23" i="8" s="1"/>
  <c r="AH23" i="8" s="1" a="1"/>
  <c r="AH23" i="8" s="1"/>
  <c r="AE79" i="8" a="1"/>
  <c r="AE79" i="8" s="1"/>
  <c r="AF79" i="8" s="1" a="1"/>
  <c r="AF79" i="8" s="1"/>
  <c r="AG79" i="8" s="1" a="1"/>
  <c r="AG79" i="8" s="1"/>
  <c r="AH79" i="8" s="1" a="1"/>
  <c r="AH79" i="8" s="1"/>
  <c r="AE24" i="8" a="1"/>
  <c r="AE24" i="8" s="1"/>
  <c r="AF24" i="8" s="1" a="1"/>
  <c r="AF24" i="8" s="1"/>
  <c r="AG24" i="8" s="1" a="1"/>
  <c r="AG24" i="8" s="1"/>
  <c r="AH24" i="8" s="1" a="1"/>
  <c r="AH24" i="8" s="1"/>
  <c r="AE32" i="8" a="1"/>
  <c r="AE32" i="8" s="1"/>
  <c r="AF32" i="8" s="1" a="1"/>
  <c r="AF32" i="8" s="1"/>
  <c r="AG32" i="8" s="1" a="1"/>
  <c r="AG32" i="8" s="1"/>
  <c r="AH32" i="8" s="1" a="1"/>
  <c r="AH32" i="8" s="1"/>
  <c r="AE25" i="8" a="1"/>
  <c r="AE25" i="8" s="1"/>
  <c r="AF25" i="8" s="1" a="1"/>
  <c r="AF25" i="8" s="1"/>
  <c r="AG25" i="8" s="1" a="1"/>
  <c r="AG25" i="8" s="1"/>
  <c r="AH25" i="8" s="1" a="1"/>
  <c r="AH25" i="8" s="1"/>
  <c r="AE33" i="8" a="1"/>
  <c r="AE33" i="8" s="1"/>
  <c r="AF33" i="8" s="1" a="1"/>
  <c r="AF33" i="8" s="1"/>
  <c r="AG33" i="8" s="1" a="1"/>
  <c r="AG33" i="8" s="1"/>
  <c r="AH33" i="8" s="1" a="1"/>
  <c r="AH33" i="8" s="1"/>
  <c r="AE85" i="8" a="1"/>
  <c r="AE85" i="8" s="1"/>
  <c r="AF85" i="8" s="1" a="1"/>
  <c r="AF85" i="8" s="1"/>
  <c r="AG85" i="8" s="1" a="1"/>
  <c r="AG85" i="8" s="1"/>
  <c r="AH85" i="8" s="1" a="1"/>
  <c r="AH85" i="8" s="1"/>
  <c r="AE86" i="8" a="1"/>
  <c r="AE86" i="8" s="1"/>
  <c r="AF86" i="8" s="1" a="1"/>
  <c r="AF86" i="8" s="1"/>
  <c r="AG86" i="8" s="1" a="1"/>
  <c r="AG86" i="8" s="1"/>
  <c r="AH86" i="8" s="1" a="1"/>
  <c r="AH86" i="8" s="1"/>
  <c r="AE105" i="8" a="1"/>
  <c r="AE105" i="8" s="1"/>
  <c r="AF105" i="8" s="1" a="1"/>
  <c r="AF105" i="8" s="1"/>
  <c r="AG105" i="8" s="1" a="1"/>
  <c r="AG105" i="8" s="1"/>
  <c r="AH105" i="8" s="1" a="1"/>
  <c r="AH105" i="8" s="1"/>
  <c r="AE106" i="8" a="1"/>
  <c r="AE106" i="8" s="1"/>
  <c r="AF106" i="8" s="1" a="1"/>
  <c r="AF106" i="8" s="1"/>
  <c r="AG106" i="8" s="1" a="1"/>
  <c r="AG106" i="8" s="1"/>
  <c r="AH106" i="8" s="1" a="1"/>
  <c r="AH106" i="8" s="1"/>
  <c r="AE96" i="8" a="1"/>
  <c r="AE96" i="8" s="1"/>
  <c r="AF96" i="8" s="1" a="1"/>
  <c r="AF96" i="8" s="1"/>
  <c r="AG96" i="8" s="1" a="1"/>
  <c r="AG96" i="8" s="1"/>
  <c r="AH96" i="8" s="1" a="1"/>
  <c r="AH96" i="8" s="1"/>
  <c r="AE95" i="8" a="1"/>
  <c r="AE95" i="8" s="1"/>
  <c r="AF95" i="8" s="1" a="1"/>
  <c r="AF95" i="8" s="1"/>
  <c r="AG95" i="8" s="1" a="1"/>
  <c r="AG95" i="8" s="1"/>
  <c r="AH95" i="8" s="1" a="1"/>
  <c r="AH95" i="8" s="1"/>
  <c r="AE107" i="8" a="1"/>
  <c r="AE107" i="8" s="1"/>
  <c r="AF107" i="8" s="1" a="1"/>
  <c r="AF107" i="8" s="1"/>
  <c r="AG107" i="8" s="1" a="1"/>
  <c r="AG107" i="8" s="1"/>
  <c r="AH107" i="8" s="1" a="1"/>
  <c r="AH107" i="8" s="1"/>
  <c r="AE26" i="8" a="1"/>
  <c r="AE26" i="8" s="1"/>
  <c r="AF26" i="8" s="1" a="1"/>
  <c r="AF26" i="8" s="1"/>
  <c r="AG26" i="8" s="1" a="1"/>
  <c r="AG26" i="8" s="1"/>
  <c r="AH26" i="8" s="1" a="1"/>
  <c r="AH26" i="8" s="1"/>
  <c r="AE29" i="8" a="1"/>
  <c r="AE29" i="8" s="1"/>
  <c r="AF29" i="8" s="1" a="1"/>
  <c r="AF29" i="8" s="1"/>
  <c r="AG29" i="8" s="1" a="1"/>
  <c r="AG29" i="8" s="1"/>
  <c r="AH29" i="8" s="1" a="1"/>
  <c r="AH29" i="8" s="1"/>
  <c r="AE21" i="8" a="1"/>
  <c r="AE21" i="8" s="1"/>
  <c r="AF21" i="8" s="1" a="1"/>
  <c r="AF21" i="8" s="1"/>
  <c r="AG21" i="8" s="1" a="1"/>
  <c r="AG21" i="8" s="1"/>
  <c r="AH21" i="8" s="1" a="1"/>
  <c r="AH21" i="8" s="1"/>
  <c r="AE28" i="8" a="1"/>
  <c r="AE28" i="8" s="1"/>
  <c r="AF28" i="8" s="1" a="1"/>
  <c r="AF28" i="8" s="1"/>
  <c r="AG28" i="8" s="1" a="1"/>
  <c r="AG28" i="8" s="1"/>
  <c r="AH28" i="8" s="1" a="1"/>
  <c r="AH28" i="8" s="1"/>
  <c r="AE84" i="8" a="1"/>
  <c r="AE84" i="8" s="1"/>
  <c r="AF84" i="8" s="1" a="1"/>
  <c r="AF84" i="8" s="1"/>
  <c r="AG84" i="8" s="1" a="1"/>
  <c r="AG84" i="8" s="1"/>
  <c r="AH84" i="8" s="1" a="1"/>
  <c r="AH84" i="8" s="1"/>
  <c r="AE109" i="8" a="1"/>
  <c r="AE109" i="8" s="1"/>
  <c r="AF109" i="8" s="1" a="1"/>
  <c r="AF109" i="8" s="1"/>
  <c r="AG109" i="8" s="1" a="1"/>
  <c r="AG109" i="8" s="1"/>
  <c r="AH109" i="8" s="1" a="1"/>
  <c r="AH109" i="8" s="1"/>
  <c r="AE104" i="8" a="1"/>
  <c r="AE104" i="8" s="1"/>
  <c r="AF104" i="8" s="1" a="1"/>
  <c r="AF104" i="8" s="1"/>
  <c r="AG104" i="8" s="1" a="1"/>
  <c r="AG104" i="8" s="1"/>
  <c r="AH104" i="8" s="1" a="1"/>
  <c r="AH104" i="8" s="1"/>
  <c r="AE99" i="8" a="1"/>
  <c r="AE99" i="8" s="1"/>
  <c r="AF99" i="8" s="1" a="1"/>
  <c r="AF99" i="8" s="1"/>
  <c r="AG99" i="8" s="1" a="1"/>
  <c r="AG99" i="8" s="1"/>
  <c r="AH99" i="8" s="1" a="1"/>
  <c r="AH99" i="8" s="1"/>
  <c r="AE89" i="8" a="1"/>
  <c r="AE89" i="8" s="1"/>
  <c r="AF89" i="8" s="1" a="1"/>
  <c r="AF89" i="8" s="1"/>
  <c r="AG89" i="8" s="1" a="1"/>
  <c r="AG89" i="8" s="1"/>
  <c r="AH89" i="8" s="1" a="1"/>
  <c r="AH89" i="8" s="1"/>
  <c r="AE94" i="8" a="1"/>
  <c r="AE94" i="8" s="1"/>
  <c r="AF94" i="8" s="1" a="1"/>
  <c r="AF94" i="8" s="1"/>
  <c r="AG94" i="8" s="1" a="1"/>
  <c r="AG94" i="8" s="1"/>
  <c r="AH94" i="8" s="1" a="1"/>
  <c r="AH94" i="8" s="1"/>
  <c r="AA69" i="4"/>
  <c r="AH2" i="8"/>
  <c r="AG2" i="8"/>
  <c r="AF8" i="8"/>
  <c r="AF7" i="8"/>
  <c r="AE12" i="8"/>
  <c r="AF11" i="8"/>
  <c r="AF12" i="8" s="1"/>
  <c r="AG49" i="17"/>
  <c r="AF49" i="17"/>
  <c r="AE49" i="17"/>
  <c r="AD49" i="17"/>
  <c r="AC49" i="17"/>
  <c r="AG49" i="6"/>
  <c r="AF49" i="6"/>
  <c r="AE49" i="6"/>
  <c r="AD49" i="6"/>
  <c r="AC49" i="6"/>
  <c r="AD54" i="4"/>
  <c r="J49" i="17"/>
  <c r="H49" i="17"/>
  <c r="F49" i="17"/>
  <c r="D49" i="17"/>
  <c r="C49" i="17"/>
  <c r="E49" i="17"/>
  <c r="G49" i="17"/>
  <c r="I49" i="17"/>
  <c r="W18" i="7"/>
  <c r="AX20" i="7"/>
  <c r="AX21" i="7"/>
  <c r="AX26" i="7"/>
  <c r="AR39" i="7"/>
  <c r="AX22" i="7"/>
  <c r="AR57" i="7"/>
  <c r="AX23" i="7"/>
  <c r="AR71" i="7"/>
  <c r="AX24" i="7"/>
  <c r="AX25" i="7"/>
  <c r="AR77" i="7"/>
  <c r="AR87" i="7"/>
  <c r="AR91" i="7"/>
  <c r="AR107" i="7"/>
  <c r="BA65" i="8"/>
  <c r="BA64" i="8"/>
  <c r="AE57" i="7" a="1"/>
  <c r="AE57" i="7" s="1"/>
  <c r="AF1" i="7"/>
  <c r="AE1" i="7"/>
  <c r="AE11" i="7"/>
  <c r="AF11" i="7" s="1"/>
  <c r="AD2" i="7"/>
  <c r="C185" i="7"/>
  <c r="AF2" i="8"/>
  <c r="C177" i="7"/>
  <c r="C183" i="7"/>
  <c r="C182" i="7"/>
  <c r="C181" i="7"/>
  <c r="C178" i="7"/>
  <c r="AH1" i="8"/>
  <c r="AG1" i="8"/>
  <c r="AF1" i="8"/>
  <c r="AE1" i="8"/>
  <c r="AD1" i="8"/>
  <c r="AD2" i="8"/>
  <c r="AE2" i="8"/>
  <c r="AE112" i="8" s="1" a="1"/>
  <c r="AE112" i="8" s="1"/>
  <c r="AF112" i="8" s="1" a="1"/>
  <c r="AF112" i="8" s="1"/>
  <c r="AG112" i="8" s="1" a="1"/>
  <c r="AG112" i="8" s="1"/>
  <c r="AH112" i="8" s="1" a="1"/>
  <c r="AH112" i="8" s="1"/>
  <c r="K271" i="7"/>
  <c r="C271" i="7"/>
  <c r="C73" i="8"/>
  <c r="C69" i="8"/>
  <c r="C75" i="8"/>
  <c r="C68" i="8"/>
  <c r="C65" i="8"/>
  <c r="C71" i="8"/>
  <c r="C67" i="8"/>
  <c r="C74" i="8"/>
  <c r="C72" i="8"/>
  <c r="C66" i="8"/>
  <c r="J277" i="8"/>
  <c r="I277" i="8"/>
  <c r="C277" i="8"/>
  <c r="K277" i="8"/>
  <c r="AI4" i="6"/>
  <c r="AO4" i="6" s="1"/>
  <c r="AJ4" i="6"/>
  <c r="AP4" i="6" s="1"/>
  <c r="AK4" i="6"/>
  <c r="AQ4" i="6" s="1"/>
  <c r="AL4" i="6"/>
  <c r="AR4" i="6" s="1"/>
  <c r="AM4" i="6"/>
  <c r="AS4" i="6" s="1"/>
  <c r="A6" i="6"/>
  <c r="A7" i="6" s="1"/>
  <c r="A8" i="6" s="1"/>
  <c r="AO6" i="6"/>
  <c r="AP6" i="6"/>
  <c r="AQ6" i="6"/>
  <c r="AR6" i="6"/>
  <c r="AS6" i="6"/>
  <c r="AO7" i="6"/>
  <c r="AP7" i="6"/>
  <c r="AQ7" i="6"/>
  <c r="AR7" i="6"/>
  <c r="AS7" i="6"/>
  <c r="AO8" i="6"/>
  <c r="AP8" i="6"/>
  <c r="AQ8" i="6"/>
  <c r="AR8" i="6"/>
  <c r="AS8" i="6"/>
  <c r="AO9" i="6"/>
  <c r="AP9" i="6"/>
  <c r="AQ9" i="6"/>
  <c r="AR9" i="6"/>
  <c r="AS9" i="6"/>
  <c r="AO10" i="6"/>
  <c r="AP10" i="6"/>
  <c r="AQ10" i="6"/>
  <c r="AR10" i="6"/>
  <c r="AS10" i="6"/>
  <c r="AO11" i="6"/>
  <c r="AP11" i="6"/>
  <c r="AQ11" i="6"/>
  <c r="AR11" i="6"/>
  <c r="AS11" i="6"/>
  <c r="AO12" i="6"/>
  <c r="AP12" i="6"/>
  <c r="AQ12" i="6"/>
  <c r="AR12" i="6"/>
  <c r="AS12" i="6"/>
  <c r="AO13" i="6"/>
  <c r="AP13" i="6"/>
  <c r="AQ13" i="6"/>
  <c r="AR13" i="6"/>
  <c r="AS13" i="6"/>
  <c r="AJ14" i="6"/>
  <c r="AK14" i="6" s="1"/>
  <c r="AO14" i="6"/>
  <c r="AZ14" i="6"/>
  <c r="AO15" i="6"/>
  <c r="AP15" i="6"/>
  <c r="AQ15" i="6"/>
  <c r="AR15" i="6"/>
  <c r="AS15" i="6"/>
  <c r="AO16" i="6"/>
  <c r="AP16" i="6"/>
  <c r="AQ16" i="6"/>
  <c r="AR16" i="6"/>
  <c r="AS16" i="6"/>
  <c r="AO17" i="6"/>
  <c r="AP17" i="6"/>
  <c r="AQ17" i="6"/>
  <c r="AR17" i="6"/>
  <c r="AS17" i="6"/>
  <c r="AO18" i="6"/>
  <c r="AP18" i="6"/>
  <c r="AQ18" i="6"/>
  <c r="AR18" i="6"/>
  <c r="AS18" i="6"/>
  <c r="A21" i="6"/>
  <c r="A22" i="6" s="1"/>
  <c r="A23" i="6" s="1"/>
  <c r="A24" i="6" s="1"/>
  <c r="A25" i="6" s="1"/>
  <c r="A26" i="6" s="1"/>
  <c r="A27" i="6" s="1"/>
  <c r="A28" i="6" s="1"/>
  <c r="A29" i="6"/>
  <c r="A30" i="6" s="1"/>
  <c r="A31" i="6" s="1"/>
  <c r="A32" i="6" s="1"/>
  <c r="A33" i="6" s="1"/>
  <c r="A34" i="6" s="1"/>
  <c r="A35" i="6" s="1"/>
  <c r="A36" i="6" s="1"/>
  <c r="A37" i="6" s="1"/>
  <c r="A38" i="6" s="1"/>
  <c r="A39" i="6" s="1"/>
  <c r="A40" i="6" s="1"/>
  <c r="A41" i="6" s="1"/>
  <c r="A42" i="6" s="1"/>
  <c r="A43" i="6" s="1"/>
  <c r="A44" i="6" s="1"/>
  <c r="A45" i="6" s="1"/>
  <c r="AK38" i="6"/>
  <c r="AK39" i="6"/>
  <c r="A46" i="6"/>
  <c r="A47" i="6" s="1"/>
  <c r="A48" i="6" s="1"/>
  <c r="A59" i="6"/>
  <c r="A60" i="6" s="1"/>
  <c r="A61" i="6" s="1"/>
  <c r="A62" i="6" s="1"/>
  <c r="A63" i="6" s="1"/>
  <c r="A64" i="6" s="1"/>
  <c r="A65" i="6" s="1"/>
  <c r="A66" i="6" s="1"/>
  <c r="A67" i="6" s="1"/>
  <c r="A68" i="6" s="1"/>
  <c r="A69" i="6" s="1"/>
  <c r="A70" i="6" s="1"/>
  <c r="A71" i="6"/>
  <c r="A72" i="6" s="1"/>
  <c r="A73" i="6" s="1"/>
  <c r="A74" i="6" s="1"/>
  <c r="A75" i="6" s="1"/>
  <c r="A76" i="6" s="1"/>
  <c r="A77" i="6" s="1"/>
  <c r="A78" i="6" s="1"/>
  <c r="A79" i="6" s="1"/>
  <c r="A80" i="6" s="1"/>
  <c r="A81" i="6" s="1"/>
  <c r="A82" i="6" s="1"/>
  <c r="A83" i="6"/>
  <c r="A84" i="6" s="1"/>
  <c r="A85" i="6" s="1"/>
  <c r="A86" i="6" s="1"/>
  <c r="A87" i="6" s="1"/>
  <c r="A88" i="6" s="1"/>
  <c r="A89" i="6" s="1"/>
  <c r="A90" i="6" s="1"/>
  <c r="A91" i="6" s="1"/>
  <c r="A92" i="6" s="1"/>
  <c r="A93" i="6" s="1"/>
  <c r="A94" i="6" s="1"/>
  <c r="A95" i="6"/>
  <c r="A96" i="6" s="1"/>
  <c r="A97" i="6" s="1"/>
  <c r="A98" i="6" s="1"/>
  <c r="A99" i="6" s="1"/>
  <c r="A100" i="6" s="1"/>
  <c r="A101" i="6" s="1"/>
  <c r="A102" i="6" s="1"/>
  <c r="A103" i="6" s="1"/>
  <c r="A104" i="6" s="1"/>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BC59" i="4"/>
  <c r="A60" i="4"/>
  <c r="B60" i="4"/>
  <c r="AH60" i="4"/>
  <c r="AI60" i="4"/>
  <c r="BC60" i="4"/>
  <c r="A61" i="4"/>
  <c r="B61" i="4"/>
  <c r="BC61" i="4"/>
  <c r="A62" i="4"/>
  <c r="B62" i="4"/>
  <c r="S62" i="4"/>
  <c r="Z62" i="4" s="1"/>
  <c r="A63" i="4"/>
  <c r="B63" i="4"/>
  <c r="AG63" i="4"/>
  <c r="A64" i="4"/>
  <c r="B64" i="4"/>
  <c r="F64" i="4"/>
  <c r="T64" i="4"/>
  <c r="AH64" i="4"/>
  <c r="F65" i="4"/>
  <c r="G65" i="4"/>
  <c r="G64" i="4" s="1"/>
  <c r="T65" i="4"/>
  <c r="A66" i="4"/>
  <c r="B66" i="4"/>
  <c r="F66" i="4"/>
  <c r="G66" i="4"/>
  <c r="S66" i="4"/>
  <c r="T66" i="4"/>
  <c r="F67" i="4"/>
  <c r="F68" i="4" s="1"/>
  <c r="T67" i="4"/>
  <c r="Z67" i="4"/>
  <c r="BC67" i="4"/>
  <c r="A68" i="4"/>
  <c r="B68" i="4"/>
  <c r="T68" i="4"/>
  <c r="Z68" i="4"/>
  <c r="BC68" i="4"/>
  <c r="A69" i="4"/>
  <c r="B69" i="4"/>
  <c r="AH69" i="4"/>
  <c r="A70" i="4"/>
  <c r="B70" i="4"/>
  <c r="AH70" i="4"/>
  <c r="AI70" i="4"/>
  <c r="BC70" i="4"/>
  <c r="BD69" i="4" s="1"/>
  <c r="A71" i="4"/>
  <c r="B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BA80" i="4"/>
  <c r="F81" i="4"/>
  <c r="G81" i="4"/>
  <c r="Z81" i="4"/>
  <c r="AI81" i="4"/>
  <c r="A82" i="4"/>
  <c r="B82" i="4"/>
  <c r="G82" i="4"/>
  <c r="S82" i="4"/>
  <c r="AH82" i="4"/>
  <c r="AI82" i="4"/>
  <c r="BA82" i="4"/>
  <c r="BC82" i="4"/>
  <c r="BD82" i="4"/>
  <c r="A83" i="4"/>
  <c r="B83" i="4"/>
  <c r="G83" i="4"/>
  <c r="S83" i="4"/>
  <c r="AI83" i="4"/>
  <c r="A84" i="4"/>
  <c r="B84" i="4"/>
  <c r="S84" i="4"/>
  <c r="AI84" i="4"/>
  <c r="BA84" i="4"/>
  <c r="A85" i="4"/>
  <c r="B85" i="4"/>
  <c r="F85" i="4"/>
  <c r="G85" i="4"/>
  <c r="S85" i="4"/>
  <c r="AI85" i="4"/>
  <c r="BA85" i="4"/>
  <c r="A86" i="4"/>
  <c r="B86" i="4"/>
  <c r="G86" i="4"/>
  <c r="G103" i="4" s="1"/>
  <c r="S86" i="4"/>
  <c r="AI86" i="4"/>
  <c r="BA86" i="4"/>
  <c r="A87" i="4"/>
  <c r="B87" i="4"/>
  <c r="G87" i="4"/>
  <c r="S87" i="4"/>
  <c r="AI87" i="4"/>
  <c r="A88" i="4"/>
  <c r="B88" i="4"/>
  <c r="G88" i="4"/>
  <c r="G105" i="4" s="1"/>
  <c r="S88" i="4"/>
  <c r="AI88" i="4"/>
  <c r="BA88" i="4"/>
  <c r="A89" i="4"/>
  <c r="B89" i="4"/>
  <c r="G89" i="4"/>
  <c r="S89" i="4"/>
  <c r="AI89" i="4"/>
  <c r="BA89" i="4"/>
  <c r="A90" i="4"/>
  <c r="B90" i="4"/>
  <c r="G90" i="4"/>
  <c r="S90" i="4"/>
  <c r="AI90" i="4"/>
  <c r="BA90" i="4"/>
  <c r="D91" i="4"/>
  <c r="A91" i="4" s="1"/>
  <c r="F91" i="4"/>
  <c r="G91" i="4"/>
  <c r="F92" i="4"/>
  <c r="G92" i="4"/>
  <c r="G93" i="4"/>
  <c r="D100" i="4"/>
  <c r="G100" i="4"/>
  <c r="D101" i="4"/>
  <c r="BA101" i="4"/>
  <c r="G101" i="4"/>
  <c r="D102" i="4"/>
  <c r="G102" i="4"/>
  <c r="D103" i="4"/>
  <c r="BA103" i="4"/>
  <c r="F103" i="4"/>
  <c r="D104" i="4"/>
  <c r="B104" i="4" s="1"/>
  <c r="G104" i="4"/>
  <c r="D105" i="4"/>
  <c r="D106" i="4"/>
  <c r="BA106" i="4"/>
  <c r="G106" i="4"/>
  <c r="D107" i="4"/>
  <c r="A107" i="4" s="1"/>
  <c r="G107" i="4"/>
  <c r="A108" i="4"/>
  <c r="B108" i="4"/>
  <c r="F108" i="4"/>
  <c r="G108" i="4"/>
  <c r="T108" i="4"/>
  <c r="AH108" i="4"/>
  <c r="B109" i="4"/>
  <c r="G109" i="4"/>
  <c r="T109" i="4"/>
  <c r="B110" i="4"/>
  <c r="F110" i="4"/>
  <c r="G110" i="4"/>
  <c r="T110" i="4"/>
  <c r="T112" i="4" s="1"/>
  <c r="T113" i="4" s="1"/>
  <c r="Z110" i="4"/>
  <c r="BC110" i="4"/>
  <c r="G111" i="4"/>
  <c r="T111" i="4"/>
  <c r="BC111" i="4"/>
  <c r="A112" i="4"/>
  <c r="B112" i="4"/>
  <c r="G112" i="4"/>
  <c r="S112" i="4"/>
  <c r="AH112" i="4"/>
  <c r="AH113" i="4" s="1"/>
  <c r="AI112" i="4"/>
  <c r="BC112" i="4"/>
  <c r="A113" i="4"/>
  <c r="B113" i="4"/>
  <c r="G113" i="4"/>
  <c r="AI113" i="4"/>
  <c r="BB113" i="4"/>
  <c r="BC113" i="4"/>
  <c r="A114" i="4"/>
  <c r="B114" i="4"/>
  <c r="S114" i="4"/>
  <c r="AH114" i="4"/>
  <c r="AI114" i="4"/>
  <c r="BA114" i="4"/>
  <c r="BC114" i="4"/>
  <c r="BD114" i="4" s="1"/>
  <c r="F115" i="4"/>
  <c r="T115" i="4"/>
  <c r="BA115" i="4"/>
  <c r="F116" i="4"/>
  <c r="G116" i="4"/>
  <c r="T116" i="4"/>
  <c r="BA116" i="4"/>
  <c r="BC116" i="4"/>
  <c r="A117" i="4"/>
  <c r="B117" i="4"/>
  <c r="G117" i="4"/>
  <c r="S117" i="4"/>
  <c r="AH117" i="4"/>
  <c r="AI117" i="4"/>
  <c r="BA117" i="4"/>
  <c r="BC117" i="4"/>
  <c r="A118" i="4"/>
  <c r="B118" i="4"/>
  <c r="A119" i="4"/>
  <c r="B119" i="4"/>
  <c r="T119" i="4"/>
  <c r="A120" i="4"/>
  <c r="B120" i="4"/>
  <c r="T120" i="4"/>
  <c r="A121" i="4"/>
  <c r="B121" i="4"/>
  <c r="AH121" i="4"/>
  <c r="AH123" i="4" s="1"/>
  <c r="AH109" i="4" s="1"/>
  <c r="AI121" i="4"/>
  <c r="BC121" i="4"/>
  <c r="BD121" i="4" s="1"/>
  <c r="B122" i="4"/>
  <c r="F122" i="4"/>
  <c r="G122" i="4"/>
  <c r="S122" i="4"/>
  <c r="T122" i="4"/>
  <c r="T121" i="4" s="1"/>
  <c r="A123" i="4"/>
  <c r="B123" i="4"/>
  <c r="F123" i="4"/>
  <c r="G123" i="4"/>
  <c r="G121" i="4" s="1"/>
  <c r="S123" i="4"/>
  <c r="T123" i="4"/>
  <c r="B124" i="4"/>
  <c r="F124" i="4"/>
  <c r="G124" i="4"/>
  <c r="T124" i="4"/>
  <c r="BC124" i="4"/>
  <c r="A125" i="4"/>
  <c r="B125" i="4"/>
  <c r="G125" i="4"/>
  <c r="S125" i="4"/>
  <c r="BC125" i="4"/>
  <c r="BC127" i="4" s="1"/>
  <c r="B126" i="4"/>
  <c r="G126" i="4"/>
  <c r="BC126" i="4"/>
  <c r="A127" i="4"/>
  <c r="B127" i="4"/>
  <c r="G127" i="4"/>
  <c r="T127" i="4"/>
  <c r="A128" i="4"/>
  <c r="B128" i="4"/>
  <c r="G128" i="4"/>
  <c r="T128" i="4"/>
  <c r="BC128" i="4"/>
  <c r="F129" i="4"/>
  <c r="G129" i="4"/>
  <c r="S129" i="4"/>
  <c r="BA129" i="4"/>
  <c r="A130" i="4"/>
  <c r="B130" i="4"/>
  <c r="BA130" i="4"/>
  <c r="F130" i="4"/>
  <c r="G130" i="4"/>
  <c r="S130" i="4"/>
  <c r="D131" i="4"/>
  <c r="G131" i="4"/>
  <c r="S131" i="4"/>
  <c r="T131" i="4"/>
  <c r="AH131" i="4"/>
  <c r="AI131" i="4"/>
  <c r="AI132" i="4" s="1"/>
  <c r="AI134" i="4" s="1"/>
  <c r="A132" i="4"/>
  <c r="B132" i="4"/>
  <c r="G132" i="4"/>
  <c r="G133" i="4" s="1"/>
  <c r="G134" i="4" s="1"/>
  <c r="M132" i="4"/>
  <c r="AH132" i="4"/>
  <c r="A133" i="4"/>
  <c r="B133" i="4"/>
  <c r="M133" i="4"/>
  <c r="M135" i="4" s="1"/>
  <c r="M136" i="4" s="1"/>
  <c r="M137" i="4" s="1"/>
  <c r="AH133" i="4"/>
  <c r="AI133" i="4"/>
  <c r="A134" i="4"/>
  <c r="B134" i="4"/>
  <c r="M134" i="4"/>
  <c r="AH134" i="4"/>
  <c r="A135" i="4"/>
  <c r="B135" i="4"/>
  <c r="S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X21" i="20" l="1" a="1"/>
  <c r="X21" i="20" s="1"/>
  <c r="AA28" i="20" a="1"/>
  <c r="AA28" i="20" s="1"/>
  <c r="Y23" i="20" a="1"/>
  <c r="Y23" i="20" s="1"/>
  <c r="Z21" i="20" a="1"/>
  <c r="Z21" i="20" s="1"/>
  <c r="Z24" i="20" a="1"/>
  <c r="Z24" i="20" s="1"/>
  <c r="AB28" i="20" a="1"/>
  <c r="AB28" i="20" s="1"/>
  <c r="Z26" i="20" a="1"/>
  <c r="Z26" i="20" s="1"/>
  <c r="V21" i="20" a="1"/>
  <c r="V21" i="20" s="1"/>
  <c r="W22" i="20" a="1"/>
  <c r="W22" i="20" s="1"/>
  <c r="X20" i="20" a="1"/>
  <c r="X20" i="20" s="1"/>
  <c r="AA23" i="20" a="1"/>
  <c r="AA23" i="20" s="1"/>
  <c r="AA27" i="20" a="1"/>
  <c r="AA27" i="20" s="1"/>
  <c r="Y20" i="20" a="1"/>
  <c r="Y20" i="20" s="1"/>
  <c r="Z20" i="20" a="1"/>
  <c r="Z20" i="20" s="1"/>
  <c r="Z25" i="20" a="1"/>
  <c r="Z25" i="20" s="1"/>
  <c r="AB23" i="20" a="1"/>
  <c r="AB23" i="20" s="1"/>
  <c r="AA26" i="20" a="1"/>
  <c r="AA26" i="20" s="1"/>
  <c r="V20" i="20" a="1"/>
  <c r="V20" i="20" s="1"/>
  <c r="X22" i="20" a="1"/>
  <c r="X22" i="20" s="1"/>
  <c r="AA22" i="20" a="1"/>
  <c r="AA22" i="20" s="1"/>
  <c r="AA25" i="20" a="1"/>
  <c r="AA25" i="20" s="1"/>
  <c r="Y22" i="20" a="1"/>
  <c r="Y22" i="20" s="1"/>
  <c r="Z27" i="20" a="1"/>
  <c r="Z27" i="20" s="1"/>
  <c r="AB27" i="20" a="1"/>
  <c r="AB27" i="20" s="1"/>
  <c r="Y27" i="20" a="1"/>
  <c r="Y27" i="20" s="1"/>
  <c r="Y24" i="20" a="1"/>
  <c r="Y24" i="20" s="1"/>
  <c r="V22" i="20" a="1"/>
  <c r="V22" i="20" s="1"/>
  <c r="AA21" i="20" a="1"/>
  <c r="AA21" i="20" s="1"/>
  <c r="Y21" i="20" a="1"/>
  <c r="Y21" i="20" s="1"/>
  <c r="Z29" i="20" a="1"/>
  <c r="Z29" i="20" s="1"/>
  <c r="AB22" i="20" a="1"/>
  <c r="AB22" i="20" s="1"/>
  <c r="AB26" i="20" a="1"/>
  <c r="AB26" i="20" s="1"/>
  <c r="AB20" i="20" a="1"/>
  <c r="AB20" i="20" s="1"/>
  <c r="Y26" i="20" a="1"/>
  <c r="Y26" i="20" s="1"/>
  <c r="AA20" i="20" a="1"/>
  <c r="AA20" i="20" s="1"/>
  <c r="Y29" i="20" a="1"/>
  <c r="Y29" i="20" s="1"/>
  <c r="Z28" i="20" a="1"/>
  <c r="Z28" i="20" s="1"/>
  <c r="AB25" i="20" a="1"/>
  <c r="AB25" i="20" s="1"/>
  <c r="AB24" i="20" a="1"/>
  <c r="AB24" i="20" s="1"/>
  <c r="W21" i="20" a="1"/>
  <c r="W21" i="20" s="1"/>
  <c r="Z22" i="20" a="1"/>
  <c r="Z22" i="20" s="1"/>
  <c r="AA24" i="20" a="1"/>
  <c r="AA24" i="20" s="1"/>
  <c r="AA29" i="20" a="1"/>
  <c r="AA29" i="20" s="1"/>
  <c r="Y28" i="20" a="1"/>
  <c r="Y28" i="20" s="1"/>
  <c r="Z23" i="20" a="1"/>
  <c r="Z23" i="20" s="1"/>
  <c r="AB21" i="20" a="1"/>
  <c r="AB21" i="20" s="1"/>
  <c r="W20" i="20" a="1"/>
  <c r="W20" i="20" s="1"/>
  <c r="S20" i="20" s="1"/>
  <c r="Y25" i="20" a="1"/>
  <c r="Y25" i="20" s="1"/>
  <c r="AB29" i="20" a="1"/>
  <c r="AB29" i="20" s="1"/>
  <c r="X23" i="20" a="1"/>
  <c r="X23" i="20" s="1"/>
  <c r="V23" i="20" a="1"/>
  <c r="V23" i="20" s="1"/>
  <c r="W23" i="20" a="1"/>
  <c r="W23" i="20" s="1"/>
  <c r="AD22" i="7" a="1"/>
  <c r="AD22" i="7" s="1"/>
  <c r="AD20" i="7" a="1"/>
  <c r="AD20" i="7" s="1"/>
  <c r="AD23" i="7" a="1"/>
  <c r="AD23" i="7" s="1"/>
  <c r="AD21" i="7" a="1"/>
  <c r="AD21" i="7" s="1"/>
  <c r="V23" i="7" a="1"/>
  <c r="V23" i="7" s="1"/>
  <c r="AP14" i="6"/>
  <c r="AJ27" i="8"/>
  <c r="AE113" i="8" a="1"/>
  <c r="AE113" i="8" s="1"/>
  <c r="AF113" i="8" s="1" a="1"/>
  <c r="AF113" i="8" s="1"/>
  <c r="AG113" i="8" s="1" a="1"/>
  <c r="AG113" i="8" s="1"/>
  <c r="AH113" i="8" s="1" a="1"/>
  <c r="AH113" i="8" s="1"/>
  <c r="X18" i="7"/>
  <c r="Y18" i="7" s="1"/>
  <c r="W23" i="7" a="1"/>
  <c r="W23" i="7" s="1"/>
  <c r="W22" i="7" a="1"/>
  <c r="W22" i="7" s="1"/>
  <c r="W20" i="7" a="1"/>
  <c r="W20" i="7" s="1"/>
  <c r="S20" i="7" s="1"/>
  <c r="BC118" i="4"/>
  <c r="H116" i="4"/>
  <c r="M116" i="4" s="1"/>
  <c r="R116" i="4" s="1"/>
  <c r="S109" i="4"/>
  <c r="A106" i="4"/>
  <c r="B106" i="4"/>
  <c r="A105" i="4"/>
  <c r="A103" i="4"/>
  <c r="B103" i="4"/>
  <c r="BA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M19" i="4"/>
  <c r="T55" i="11"/>
  <c r="C76" i="8"/>
  <c r="Y49" i="17"/>
  <c r="Q49" i="17"/>
  <c r="W49" i="17"/>
  <c r="O49" i="17"/>
  <c r="U49" i="17"/>
  <c r="M49" i="17"/>
  <c r="S49" i="17"/>
  <c r="K49" i="17"/>
  <c r="T49" i="17"/>
  <c r="L49" i="17"/>
  <c r="V49" i="17"/>
  <c r="N49" i="17"/>
  <c r="X49" i="17"/>
  <c r="P49" i="17"/>
  <c r="Z49" i="17"/>
  <c r="R49" i="17"/>
  <c r="W21" i="7" a="1"/>
  <c r="W21" i="7" s="1"/>
  <c r="V21" i="7" a="1"/>
  <c r="V21" i="7" s="1"/>
  <c r="V20" i="7" a="1"/>
  <c r="V20" i="7" s="1"/>
  <c r="V22" i="7" a="1"/>
  <c r="V22" i="7" s="1"/>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N29" i="13" a="1"/>
  <c r="N29" i="13" s="1"/>
  <c r="F82" i="4"/>
  <c r="H129" i="4"/>
  <c r="M129" i="4" s="1"/>
  <c r="R129" i="4" s="1"/>
  <c r="H59" i="4"/>
  <c r="M59" i="4" s="1"/>
  <c r="R59" i="4" s="1"/>
  <c r="R131" i="4" s="1"/>
  <c r="R132" i="4" s="1"/>
  <c r="R133" i="4" s="1"/>
  <c r="N39" i="13" a="1"/>
  <c r="N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A65" i="4"/>
  <c r="AA49" i="4" s="1"/>
  <c r="Z70" i="4"/>
  <c r="W24" i="7" a="1"/>
  <c r="W24" i="7" s="1"/>
  <c r="F113" i="4"/>
  <c r="F109" i="4"/>
  <c r="I116" i="4"/>
  <c r="N116" i="4" s="1"/>
  <c r="V122" i="8"/>
  <c r="U68" i="4"/>
  <c r="Z82" i="4"/>
  <c r="Z83" i="4"/>
  <c r="AA67" i="4"/>
  <c r="T129" i="4"/>
  <c r="U53" i="4"/>
  <c r="U112" i="4" s="1"/>
  <c r="X20" i="7" a="1"/>
  <c r="X20" i="7" s="1"/>
  <c r="X23" i="7" a="1"/>
  <c r="X23" i="7" s="1"/>
  <c r="T89" i="4"/>
  <c r="AJ57" i="7"/>
  <c r="Y29" i="7" a="1"/>
  <c r="Y29" i="7" s="1"/>
  <c r="Y27" i="7" a="1"/>
  <c r="Y27" i="7" s="1"/>
  <c r="Y28" i="7" a="1"/>
  <c r="Y28" i="7" s="1"/>
  <c r="Y24" i="7" a="1"/>
  <c r="Y24" i="7" s="1"/>
  <c r="Y25" i="7" a="1"/>
  <c r="Y25" i="7" s="1"/>
  <c r="Y21" i="7" a="1"/>
  <c r="Y21" i="7" s="1"/>
  <c r="AF2" i="7"/>
  <c r="AG11" i="7"/>
  <c r="AE39" i="7" a="1"/>
  <c r="AE39" i="7" s="1"/>
  <c r="AE2" i="7"/>
  <c r="AE21" i="7" a="1"/>
  <c r="AE21" i="7" s="1"/>
  <c r="T82" i="4"/>
  <c r="C191" i="7"/>
  <c r="C192" i="7" s="1"/>
  <c r="AF57" i="7" a="1"/>
  <c r="AF57" i="7" s="1"/>
  <c r="T114" i="4"/>
  <c r="T87" i="4"/>
  <c r="C82" i="8"/>
  <c r="T70" i="4"/>
  <c r="T125" i="4" s="1"/>
  <c r="T130" i="4"/>
  <c r="T133" i="4"/>
  <c r="U62" i="4"/>
  <c r="A49" i="6"/>
  <c r="A50" i="6"/>
  <c r="A51" i="6" s="1"/>
  <c r="A52" i="6" s="1"/>
  <c r="A53" i="6" s="1"/>
  <c r="A54" i="6" s="1"/>
  <c r="A55" i="6" s="1"/>
  <c r="A56" i="6" s="1"/>
  <c r="A57" i="6" s="1"/>
  <c r="A58" i="6" s="1"/>
  <c r="A9" i="6"/>
  <c r="W24" i="20" s="1" a="1"/>
  <c r="W24" i="20" s="1"/>
  <c r="AQ14" i="6"/>
  <c r="AL14"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J123" i="4"/>
  <c r="BA105" i="4"/>
  <c r="B105" i="4"/>
  <c r="F121" i="4"/>
  <c r="H122" i="4"/>
  <c r="M122" i="4" s="1"/>
  <c r="R122" i="4" s="1"/>
  <c r="H109" i="4"/>
  <c r="M109" i="4" s="1"/>
  <c r="R109" i="4" s="1"/>
  <c r="D92" i="4"/>
  <c r="A100" i="4"/>
  <c r="B100" i="4"/>
  <c r="B91" i="4"/>
  <c r="BA91" i="4"/>
  <c r="T86" i="4"/>
  <c r="Z86"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74" i="4"/>
  <c r="H72" i="4"/>
  <c r="U66" i="4"/>
  <c r="Z66" i="4"/>
  <c r="B78" i="4"/>
  <c r="B74" i="4"/>
  <c r="AQ34" i="4"/>
  <c r="BA73" i="4"/>
  <c r="AQ24" i="4"/>
  <c r="BA64" i="4"/>
  <c r="AQ20" i="4"/>
  <c r="AQ19" i="4"/>
  <c r="A81" i="4"/>
  <c r="H73" i="4"/>
  <c r="I73" i="4" s="1"/>
  <c r="J73" i="4" s="1"/>
  <c r="B81" i="4"/>
  <c r="A80" i="4"/>
  <c r="A73" i="4"/>
  <c r="H66" i="4"/>
  <c r="M66" i="4" s="1"/>
  <c r="R66" i="4" s="1"/>
  <c r="M65" i="4"/>
  <c r="R65" i="4" s="1"/>
  <c r="I65" i="4"/>
  <c r="AQ35" i="4"/>
  <c r="AZ29" i="4"/>
  <c r="BA104" i="4" s="1"/>
  <c r="BA29" i="4"/>
  <c r="H77" i="4"/>
  <c r="B73" i="4"/>
  <c r="G40" i="4"/>
  <c r="P40" i="4"/>
  <c r="BA66" i="4"/>
  <c r="AQ21" i="4"/>
  <c r="H44" i="4"/>
  <c r="F44" i="4" s="1"/>
  <c r="G44" i="4"/>
  <c r="BA60" i="4"/>
  <c r="AQ17" i="4"/>
  <c r="BA59" i="4"/>
  <c r="AM22" i="4"/>
  <c r="AM44" i="4" s="1"/>
  <c r="BA20" i="4"/>
  <c r="A20"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I64" i="4"/>
  <c r="N64" i="4" s="1"/>
  <c r="F60" i="4"/>
  <c r="N40" i="13" s="1" a="1"/>
  <c r="N40" i="13" s="1"/>
  <c r="BA17" i="4"/>
  <c r="B17" i="4"/>
  <c r="AR22" i="7" a="1"/>
  <c r="AR20" i="7" a="1"/>
  <c r="AR23" i="7" a="1"/>
  <c r="AR21" i="7" a="1"/>
  <c r="AS57" i="7" a="1"/>
  <c r="AD24" i="7" l="1" a="1"/>
  <c r="AD24" i="7" s="1"/>
  <c r="AR21" i="7"/>
  <c r="AR23" i="7"/>
  <c r="AR20" i="7"/>
  <c r="AR22" i="7"/>
  <c r="AJ22" i="8"/>
  <c r="AE23" i="7" a="1"/>
  <c r="AE23" i="7" s="1"/>
  <c r="AE20" i="7" a="1"/>
  <c r="AE20" i="7" s="1"/>
  <c r="X24" i="7" a="1"/>
  <c r="X24" i="7" s="1"/>
  <c r="V24" i="7" a="1"/>
  <c r="V24" i="7" s="1"/>
  <c r="A10" i="6"/>
  <c r="V25" i="7" s="1" a="1"/>
  <c r="V25" i="7" s="1"/>
  <c r="X24" i="20" a="1"/>
  <c r="X24" i="20" s="1"/>
  <c r="V24" i="20" a="1"/>
  <c r="V24" i="20" s="1"/>
  <c r="AE22" i="7" a="1"/>
  <c r="AE22" i="7" s="1"/>
  <c r="Z116" i="20"/>
  <c r="Y116" i="20"/>
  <c r="AA116" i="20"/>
  <c r="AB69" i="4"/>
  <c r="E31" i="13" s="1" a="1"/>
  <c r="E31" i="13" s="1"/>
  <c r="Y20" i="7" a="1"/>
  <c r="Y20" i="7" s="1"/>
  <c r="Z18" i="7"/>
  <c r="Y23" i="7" a="1"/>
  <c r="Y23" i="7" s="1"/>
  <c r="Y22" i="7" a="1"/>
  <c r="Y22" i="7" s="1"/>
  <c r="X22" i="7" a="1"/>
  <c r="X22" i="7" s="1"/>
  <c r="X21" i="7" a="1"/>
  <c r="X21" i="7" s="1"/>
  <c r="Y26" i="7" a="1"/>
  <c r="Y26" i="7"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F94" i="11" a="1"/>
  <c r="F94" i="11" s="1"/>
  <c r="P94" i="11" a="1"/>
  <c r="P94" i="11" s="1"/>
  <c r="G94" i="11" a="1"/>
  <c r="G94" i="11" s="1"/>
  <c r="Q94" i="11" a="1"/>
  <c r="Q94" i="11" s="1"/>
  <c r="O77" i="11" a="1"/>
  <c r="O77" i="11" s="1"/>
  <c r="T77" i="11" a="1"/>
  <c r="T77" i="11" s="1"/>
  <c r="E77" i="11" a="1"/>
  <c r="E77" i="11" s="1"/>
  <c r="W77" i="11"/>
  <c r="X77" i="1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T91" i="11" a="1"/>
  <c r="T91" i="11" s="1"/>
  <c r="H88" i="11" a="1"/>
  <c r="H88" i="11" s="1"/>
  <c r="F83" i="11" a="1"/>
  <c r="F83" i="11" s="1"/>
  <c r="X83" i="1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H90" i="11" a="1"/>
  <c r="H90" i="11" s="1"/>
  <c r="P90" i="11" a="1"/>
  <c r="P90" i="11" s="1"/>
  <c r="T87" i="11" a="1"/>
  <c r="T87" i="11" s="1"/>
  <c r="Q87" i="11" a="1"/>
  <c r="Q87" i="11" s="1"/>
  <c r="I90" i="11" a="1"/>
  <c r="I90" i="11" s="1"/>
  <c r="O87" i="11" a="1"/>
  <c r="O87" i="11" s="1"/>
  <c r="W74" i="11"/>
  <c r="F90" i="11" a="1"/>
  <c r="F90" i="11" s="1"/>
  <c r="R87" i="11" a="1"/>
  <c r="R87" i="11" s="1"/>
  <c r="I77" i="11" a="1"/>
  <c r="I77" i="11" s="1"/>
  <c r="X90" i="1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N66" i="11" a="1"/>
  <c r="N66" i="11" s="1"/>
  <c r="M66" i="11" a="1"/>
  <c r="M66" i="11" s="1"/>
  <c r="L66" i="11" a="1"/>
  <c r="L66" i="11" s="1"/>
  <c r="K66" i="11" a="1"/>
  <c r="K66" i="11" s="1"/>
  <c r="D18" i="10"/>
  <c r="E18" i="10" s="1"/>
  <c r="L64" i="11" a="1"/>
  <c r="L64" i="11" s="1"/>
  <c r="K64" i="11" a="1"/>
  <c r="K64" i="11" s="1"/>
  <c r="J64" i="11" a="1"/>
  <c r="J64" i="11" s="1"/>
  <c r="D19" i="10"/>
  <c r="E19" i="10" s="1"/>
  <c r="N65" i="11" a="1"/>
  <c r="N65" i="11" s="1"/>
  <c r="M65" i="11" a="1"/>
  <c r="M65" i="11" s="1"/>
  <c r="L65" i="11" a="1"/>
  <c r="L65" i="11" s="1"/>
  <c r="K65" i="11" a="1"/>
  <c r="K65" i="11" s="1"/>
  <c r="J65" i="11" a="1"/>
  <c r="J65" i="11" s="1"/>
  <c r="L18" i="10"/>
  <c r="M18" i="10" s="1"/>
  <c r="M17" i="10" s="1"/>
  <c r="N63" i="11" a="1"/>
  <c r="N63" i="11" s="1"/>
  <c r="M63" i="11" a="1"/>
  <c r="M63" i="11" s="1"/>
  <c r="L63" i="11" a="1"/>
  <c r="L63" i="11" s="1"/>
  <c r="K63" i="11" a="1"/>
  <c r="K63" i="11" s="1"/>
  <c r="J63" i="11" a="1"/>
  <c r="J63" i="11" s="1"/>
  <c r="D23" i="10"/>
  <c r="E23" i="10" s="1"/>
  <c r="M77" i="11" a="1"/>
  <c r="M77" i="11" s="1"/>
  <c r="L77" i="11" a="1"/>
  <c r="L77" i="11" s="1"/>
  <c r="J77" i="11" a="1"/>
  <c r="J77" i="11" s="1"/>
  <c r="L23" i="10"/>
  <c r="M23" i="10" s="1"/>
  <c r="P23" i="10" s="1"/>
  <c r="N76" i="11" a="1"/>
  <c r="N76" i="11" s="1"/>
  <c r="M76" i="11" a="1"/>
  <c r="M76" i="11" s="1"/>
  <c r="L76" i="11" a="1"/>
  <c r="L76" i="11" s="1"/>
  <c r="K76" i="11" a="1"/>
  <c r="K76" i="11" s="1"/>
  <c r="J76" i="11" a="1"/>
  <c r="J76" i="11" s="1"/>
  <c r="D36" i="10"/>
  <c r="E36" i="10" s="1"/>
  <c r="N83" i="11" a="1"/>
  <c r="N83" i="11" s="1"/>
  <c r="L83" i="11" a="1"/>
  <c r="L83" i="11" s="1"/>
  <c r="K83" i="11" a="1"/>
  <c r="K83" i="11" s="1"/>
  <c r="J83" i="11" a="1"/>
  <c r="J83" i="11" s="1"/>
  <c r="L36" i="10"/>
  <c r="M36" i="10" s="1"/>
  <c r="P36" i="10" s="1"/>
  <c r="AF36" i="10" s="1"/>
  <c r="N82" i="11" a="1"/>
  <c r="N82" i="11" s="1"/>
  <c r="M82" i="11" a="1"/>
  <c r="M82" i="11" s="1"/>
  <c r="L82" i="11" a="1"/>
  <c r="L82" i="11" s="1"/>
  <c r="K82" i="11" a="1"/>
  <c r="K82" i="11" s="1"/>
  <c r="J82" i="11" a="1"/>
  <c r="J82" i="11" s="1"/>
  <c r="L34" i="10"/>
  <c r="M34" i="10" s="1"/>
  <c r="P34" i="10" s="1"/>
  <c r="N94" i="11" a="1"/>
  <c r="N94" i="11" s="1"/>
  <c r="M94" i="11" a="1"/>
  <c r="M94" i="11" s="1"/>
  <c r="L94" i="11" a="1"/>
  <c r="L94" i="11" s="1"/>
  <c r="K94" i="11" a="1"/>
  <c r="K94" i="11" s="1"/>
  <c r="J94" i="11" a="1"/>
  <c r="J94" i="11" s="1"/>
  <c r="L33" i="10"/>
  <c r="M33" i="10" s="1"/>
  <c r="P33" i="10" s="1"/>
  <c r="N93" i="11" a="1"/>
  <c r="N93" i="11" s="1"/>
  <c r="M93" i="11" a="1"/>
  <c r="M93" i="11" s="1"/>
  <c r="L93" i="11" a="1"/>
  <c r="L93" i="11" s="1"/>
  <c r="K93" i="11" a="1"/>
  <c r="K93" i="11" s="1"/>
  <c r="J93" i="11" a="1"/>
  <c r="J93" i="11" s="1"/>
  <c r="L32" i="10"/>
  <c r="M32" i="10" s="1"/>
  <c r="P32" i="10" s="1"/>
  <c r="N92" i="11" a="1"/>
  <c r="N92" i="11" s="1"/>
  <c r="M92" i="11" a="1"/>
  <c r="M92" i="11" s="1"/>
  <c r="L92" i="11" a="1"/>
  <c r="L92" i="11" s="1"/>
  <c r="K92" i="11" a="1"/>
  <c r="K92" i="11" s="1"/>
  <c r="J92" i="11" a="1"/>
  <c r="J92" i="11" s="1"/>
  <c r="L31" i="10"/>
  <c r="M31" i="10" s="1"/>
  <c r="P31" i="10" s="1"/>
  <c r="N91" i="11" a="1"/>
  <c r="N91" i="11" s="1"/>
  <c r="M91" i="11" a="1"/>
  <c r="M91" i="11" s="1"/>
  <c r="L91" i="11" a="1"/>
  <c r="L91" i="11" s="1"/>
  <c r="K91" i="11" a="1"/>
  <c r="K91" i="11" s="1"/>
  <c r="J91" i="11" a="1"/>
  <c r="J91" i="11" s="1"/>
  <c r="L30" i="10"/>
  <c r="M30" i="10" s="1"/>
  <c r="P30" i="10" s="1"/>
  <c r="N90" i="11" a="1"/>
  <c r="N90" i="11" s="1"/>
  <c r="M90" i="11" a="1"/>
  <c r="M90" i="11" s="1"/>
  <c r="L90" i="11" a="1"/>
  <c r="L90" i="11" s="1"/>
  <c r="K90" i="11" a="1"/>
  <c r="K90" i="11" s="1"/>
  <c r="J90" i="11" a="1"/>
  <c r="J90" i="11" s="1"/>
  <c r="L29" i="10"/>
  <c r="M29" i="10" s="1"/>
  <c r="P29" i="10" s="1"/>
  <c r="N89" i="11" a="1"/>
  <c r="N89" i="11" s="1"/>
  <c r="M89" i="11" a="1"/>
  <c r="M89" i="11" s="1"/>
  <c r="L89" i="11" a="1"/>
  <c r="L89" i="11" s="1"/>
  <c r="K89" i="11" a="1"/>
  <c r="K89" i="11" s="1"/>
  <c r="J89" i="11" a="1"/>
  <c r="J89" i="11" s="1"/>
  <c r="L28" i="10"/>
  <c r="M28" i="10" s="1"/>
  <c r="P28" i="10" s="1"/>
  <c r="N88" i="11" a="1"/>
  <c r="N88" i="11" s="1"/>
  <c r="M88" i="11" a="1"/>
  <c r="M88" i="11" s="1"/>
  <c r="L88" i="11" a="1"/>
  <c r="L88" i="11" s="1"/>
  <c r="K88" i="11" a="1"/>
  <c r="K88" i="11" s="1"/>
  <c r="J88" i="11" a="1"/>
  <c r="J88" i="11" s="1"/>
  <c r="L27" i="10"/>
  <c r="M27" i="10" s="1"/>
  <c r="P27" i="10" s="1"/>
  <c r="N87" i="11" a="1"/>
  <c r="N87" i="11" s="1"/>
  <c r="M87" i="11" a="1"/>
  <c r="M87" i="11" s="1"/>
  <c r="L87" i="11" a="1"/>
  <c r="L87" i="11" s="1"/>
  <c r="K87" i="11" a="1"/>
  <c r="K87" i="11" s="1"/>
  <c r="J87" i="11" a="1"/>
  <c r="J87" i="11" s="1"/>
  <c r="D35" i="10"/>
  <c r="E35" i="10" s="1"/>
  <c r="M86" i="11" a="1"/>
  <c r="M86" i="11" s="1"/>
  <c r="L86" i="11" a="1"/>
  <c r="L86" i="11" s="1"/>
  <c r="K86" i="11" a="1"/>
  <c r="K86" i="11" s="1"/>
  <c r="J86" i="11" a="1"/>
  <c r="J86" i="11" s="1"/>
  <c r="L35" i="10"/>
  <c r="M35" i="10" s="1"/>
  <c r="P35" i="10" s="1"/>
  <c r="AF35" i="10" s="1"/>
  <c r="N85" i="11" a="1"/>
  <c r="N85" i="11" s="1"/>
  <c r="M85" i="11" a="1"/>
  <c r="M85" i="11" s="1"/>
  <c r="L85" i="11" a="1"/>
  <c r="L85" i="11" s="1"/>
  <c r="K85" i="11" a="1"/>
  <c r="K85" i="11" s="1"/>
  <c r="J85" i="11" a="1"/>
  <c r="J85" i="11" s="1"/>
  <c r="D21" i="10"/>
  <c r="E21" i="10" s="1"/>
  <c r="N70" i="11" a="1"/>
  <c r="N70" i="11" s="1"/>
  <c r="M70" i="11" a="1"/>
  <c r="M70" i="11" s="1"/>
  <c r="L70" i="11" a="1"/>
  <c r="L70" i="11" s="1"/>
  <c r="K70" i="11" a="1"/>
  <c r="K70" i="11" s="1"/>
  <c r="J70" i="11" a="1"/>
  <c r="J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L24" i="10"/>
  <c r="M24" i="10" s="1"/>
  <c r="M25" i="10" s="1"/>
  <c r="N74" i="11" a="1"/>
  <c r="N74" i="11" s="1"/>
  <c r="M74" i="11" a="1"/>
  <c r="M74" i="11" s="1"/>
  <c r="L74" i="11" a="1"/>
  <c r="L74" i="11" s="1"/>
  <c r="K74" i="11" a="1"/>
  <c r="K74" i="11" s="1"/>
  <c r="J74" i="11" a="1"/>
  <c r="J74" i="11" s="1"/>
  <c r="N64" i="11" a="1"/>
  <c r="N64" i="11" s="1"/>
  <c r="M83" i="11" a="1"/>
  <c r="M83" i="11" s="1"/>
  <c r="N86" i="11" a="1"/>
  <c r="N86" i="11" s="1"/>
  <c r="M64" i="11" a="1"/>
  <c r="M64" i="11" s="1"/>
  <c r="N77" i="11" a="1"/>
  <c r="N77" i="11" s="1"/>
  <c r="K77" i="11" a="1"/>
  <c r="K77" i="11" s="1"/>
  <c r="N91" i="13" a="1"/>
  <c r="N91" i="13" s="1"/>
  <c r="N85" i="13" a="1"/>
  <c r="N85" i="13" s="1"/>
  <c r="N81" i="13" a="1"/>
  <c r="N81" i="13" s="1"/>
  <c r="N80" i="13" a="1"/>
  <c r="N80" i="13" s="1"/>
  <c r="N79" i="13" a="1"/>
  <c r="N79" i="13" s="1"/>
  <c r="N78" i="13" a="1"/>
  <c r="N78" i="13" s="1"/>
  <c r="N77" i="13" a="1"/>
  <c r="N77" i="13" s="1"/>
  <c r="N76" i="13" a="1"/>
  <c r="N76" i="13" s="1"/>
  <c r="N75" i="13" a="1"/>
  <c r="N75" i="13" s="1"/>
  <c r="N74" i="13" a="1"/>
  <c r="N74" i="13" s="1"/>
  <c r="N73" i="13" a="1"/>
  <c r="N73" i="13" s="1"/>
  <c r="N72" i="13" a="1"/>
  <c r="N72" i="13" s="1"/>
  <c r="N34" i="13" a="1"/>
  <c r="N34" i="13" s="1"/>
  <c r="N30" i="13" a="1"/>
  <c r="N30" i="13" s="1"/>
  <c r="N27" i="13" a="1"/>
  <c r="N27" i="13" s="1"/>
  <c r="N28" i="13" a="1"/>
  <c r="N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N83" i="13" a="1"/>
  <c r="N83" i="13" s="1"/>
  <c r="N90" i="13" a="1"/>
  <c r="N90" i="13" s="1"/>
  <c r="N88" i="13" a="1"/>
  <c r="N88" i="13" s="1"/>
  <c r="N87" i="13" a="1"/>
  <c r="N87" i="13" s="1"/>
  <c r="N84" i="13" a="1"/>
  <c r="N84" i="13" s="1"/>
  <c r="N86" i="13" a="1"/>
  <c r="N86" i="13" s="1"/>
  <c r="N89" i="13" a="1"/>
  <c r="N89" i="13" s="1"/>
  <c r="AE52" i="20" a="1"/>
  <c r="AE52" i="20" s="1"/>
  <c r="AJ52" i="20" s="1"/>
  <c r="AE22" i="20" a="1"/>
  <c r="AE22" i="20" s="1"/>
  <c r="AJ22" i="20" s="1"/>
  <c r="AE20" i="20" a="1"/>
  <c r="AE20" i="20" s="1"/>
  <c r="AJ20" i="20" s="1"/>
  <c r="AD21" i="20"/>
  <c r="AD23" i="20"/>
  <c r="AD24" i="20"/>
  <c r="C109" i="8"/>
  <c r="D109" i="8" s="1"/>
  <c r="C114" i="8"/>
  <c r="D114" i="8" s="1"/>
  <c r="C89" i="8"/>
  <c r="D89" i="8" s="1"/>
  <c r="C94" i="8"/>
  <c r="D94" i="8" s="1"/>
  <c r="C85" i="8"/>
  <c r="D85" i="8" s="1"/>
  <c r="C84" i="8"/>
  <c r="D84" i="8" s="1"/>
  <c r="U78" i="4"/>
  <c r="U59" i="4"/>
  <c r="U131" i="4" s="1"/>
  <c r="V53" i="4"/>
  <c r="V112" i="4" s="1"/>
  <c r="U110" i="4"/>
  <c r="U88" i="4"/>
  <c r="U86" i="4"/>
  <c r="V86" i="4" s="1"/>
  <c r="U89" i="4"/>
  <c r="BL140" i="1"/>
  <c r="AK85" i="1"/>
  <c r="I110" i="4"/>
  <c r="I78" i="4"/>
  <c r="N78" i="4" s="1"/>
  <c r="I66" i="4"/>
  <c r="N66" i="4" s="1"/>
  <c r="Y109" i="11"/>
  <c r="X107" i="11"/>
  <c r="J51" i="11"/>
  <c r="J52" i="11" s="1"/>
  <c r="I7" i="11" s="1"/>
  <c r="I16" i="11" s="1"/>
  <c r="O40" i="4"/>
  <c r="Q40" i="4" s="1"/>
  <c r="J66" i="11" s="1" a="1"/>
  <c r="J66" i="11" s="1"/>
  <c r="F70" i="4"/>
  <c r="N31" i="13" a="1"/>
  <c r="N31" i="13" s="1"/>
  <c r="M85" i="4"/>
  <c r="H102" i="4"/>
  <c r="R134" i="4"/>
  <c r="R135" i="4"/>
  <c r="N85" i="4"/>
  <c r="I102" i="4"/>
  <c r="N102" i="4" s="1"/>
  <c r="N82" i="13" a="1"/>
  <c r="N82" i="13" s="1"/>
  <c r="H82" i="4"/>
  <c r="M82" i="4" s="1"/>
  <c r="R82" i="4" s="1"/>
  <c r="J66" i="4"/>
  <c r="O66" i="4" s="1"/>
  <c r="I74" i="4"/>
  <c r="I130" i="4"/>
  <c r="I59" i="4"/>
  <c r="AB65" i="4"/>
  <c r="E27" i="13" s="1" a="1"/>
  <c r="E27" i="13" s="1"/>
  <c r="AB59" i="4"/>
  <c r="E39" i="13" s="1" a="1"/>
  <c r="E39" i="13" s="1"/>
  <c r="AA59" i="4"/>
  <c r="BL141" i="1"/>
  <c r="U76" i="4"/>
  <c r="U85" i="4"/>
  <c r="U90" i="4"/>
  <c r="U111" i="4"/>
  <c r="U84" i="4"/>
  <c r="U83" i="4"/>
  <c r="U87" i="4"/>
  <c r="U82" i="4"/>
  <c r="U124" i="4"/>
  <c r="U75" i="4"/>
  <c r="U80" i="4"/>
  <c r="U81" i="4"/>
  <c r="U79" i="4"/>
  <c r="T117" i="4"/>
  <c r="U117" i="4" s="1"/>
  <c r="U109" i="4"/>
  <c r="U113" i="4"/>
  <c r="U74" i="4"/>
  <c r="U72" i="4"/>
  <c r="U73" i="4" s="1"/>
  <c r="U77" i="4"/>
  <c r="U108" i="4"/>
  <c r="J129" i="4"/>
  <c r="O129" i="4" s="1"/>
  <c r="J116" i="4"/>
  <c r="H113" i="4"/>
  <c r="M113" i="4" s="1"/>
  <c r="R113" i="4" s="1"/>
  <c r="I115" i="4"/>
  <c r="N115" i="4" s="1"/>
  <c r="P37" i="3"/>
  <c r="BK142" i="1"/>
  <c r="S20" i="8"/>
  <c r="BH146" i="1"/>
  <c r="BL146" i="1"/>
  <c r="BL142" i="1"/>
  <c r="T132" i="4"/>
  <c r="AA122" i="4"/>
  <c r="AA74" i="4"/>
  <c r="AA72" i="4"/>
  <c r="AA75" i="4"/>
  <c r="AA78" i="4"/>
  <c r="AA129" i="4"/>
  <c r="AA124" i="4"/>
  <c r="AB67" i="4"/>
  <c r="E28" i="13" s="1" a="1"/>
  <c r="E28" i="13" s="1"/>
  <c r="AA66" i="4"/>
  <c r="AA80" i="4"/>
  <c r="AA116" i="4"/>
  <c r="AA128" i="4"/>
  <c r="AA108" i="4"/>
  <c r="AA79" i="4"/>
  <c r="AA110" i="4"/>
  <c r="AA77" i="4"/>
  <c r="AA73" i="4"/>
  <c r="AA81" i="4"/>
  <c r="Y116" i="7"/>
  <c r="AS57" i="7"/>
  <c r="D192" i="7"/>
  <c r="C83" i="8"/>
  <c r="C99" i="8" s="1"/>
  <c r="D99" i="8" s="1"/>
  <c r="U133" i="4"/>
  <c r="C194" i="7"/>
  <c r="D194" i="7" s="1"/>
  <c r="C195" i="7"/>
  <c r="D195" i="7" s="1"/>
  <c r="C199" i="7"/>
  <c r="D199" i="7" s="1"/>
  <c r="BI146" i="1"/>
  <c r="AS21" i="7"/>
  <c r="AF21" i="7" a="1"/>
  <c r="AF21" i="7" s="1"/>
  <c r="AJ21" i="7"/>
  <c r="C196" i="7"/>
  <c r="D196" i="7" s="1"/>
  <c r="C193" i="7"/>
  <c r="D193" i="7" s="1"/>
  <c r="C198" i="7"/>
  <c r="D198" i="7" s="1"/>
  <c r="C197" i="7"/>
  <c r="D197" i="7" s="1"/>
  <c r="AJ39" i="7"/>
  <c r="AF39" i="7" a="1"/>
  <c r="AF39" i="7" s="1"/>
  <c r="Z26" i="7" a="1"/>
  <c r="Z26" i="7" s="1"/>
  <c r="Z28" i="7" a="1"/>
  <c r="Z28" i="7" s="1"/>
  <c r="Z24" i="7" a="1"/>
  <c r="Z24" i="7" s="1"/>
  <c r="Z25" i="7" a="1"/>
  <c r="Z25" i="7" s="1"/>
  <c r="Z21" i="7" a="1"/>
  <c r="Z21" i="7" s="1"/>
  <c r="Z20" i="7" a="1"/>
  <c r="Z20" i="7" s="1"/>
  <c r="Z27" i="7" a="1"/>
  <c r="Z27" i="7" s="1"/>
  <c r="Z23" i="7" a="1"/>
  <c r="Z23" i="7" s="1"/>
  <c r="Z29" i="7" a="1"/>
  <c r="Z29" i="7" s="1"/>
  <c r="Z22" i="7" a="1"/>
  <c r="Z22" i="7" s="1"/>
  <c r="AA18" i="7"/>
  <c r="C87" i="8"/>
  <c r="D87" i="8" s="1"/>
  <c r="BI142" i="1"/>
  <c r="U114" i="4"/>
  <c r="AG57" i="7" a="1"/>
  <c r="AG57" i="7" s="1"/>
  <c r="AE87" i="7" a="1"/>
  <c r="AE87" i="7" s="1"/>
  <c r="AE107" i="7" a="1"/>
  <c r="AE107" i="7" s="1"/>
  <c r="AE71" i="7" a="1"/>
  <c r="AE71" i="7" s="1"/>
  <c r="AE91" i="7" a="1"/>
  <c r="AE91" i="7" s="1"/>
  <c r="AE77" i="7" a="1"/>
  <c r="AE77" i="7" s="1"/>
  <c r="AH11" i="7"/>
  <c r="AH2" i="7" s="1"/>
  <c r="AG2" i="7"/>
  <c r="C88" i="8"/>
  <c r="C90" i="8"/>
  <c r="D90" i="8" s="1"/>
  <c r="BI141" i="1"/>
  <c r="C91" i="8"/>
  <c r="D91" i="8" s="1"/>
  <c r="C86" i="8"/>
  <c r="D86" i="8" s="1"/>
  <c r="X122" i="8"/>
  <c r="S27" i="8"/>
  <c r="V111" i="4"/>
  <c r="BM141" i="1"/>
  <c r="AR14" i="6"/>
  <c r="AM14" i="6"/>
  <c r="AS14" i="6" s="1"/>
  <c r="BH141" i="1"/>
  <c r="U121" i="4"/>
  <c r="V68" i="4"/>
  <c r="U127" i="4"/>
  <c r="U129" i="4"/>
  <c r="W53" i="4"/>
  <c r="X53" i="4" s="1"/>
  <c r="V81" i="4"/>
  <c r="V78" i="4"/>
  <c r="V62" i="4"/>
  <c r="U134" i="4"/>
  <c r="V109" i="4"/>
  <c r="BH140" i="1"/>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N23" i="13" s="1" a="1"/>
  <c r="N23" i="13" s="1"/>
  <c r="H125" i="4"/>
  <c r="M125" i="4" s="1"/>
  <c r="R125" i="4" s="1"/>
  <c r="F128" i="4"/>
  <c r="N25" i="13" s="1" a="1"/>
  <c r="N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N41" i="13" s="1" a="1"/>
  <c r="N41" i="13" s="1"/>
  <c r="M80" i="4"/>
  <c r="R80" i="4" s="1"/>
  <c r="I80" i="4"/>
  <c r="K85" i="4"/>
  <c r="M90" i="4"/>
  <c r="H107" i="4"/>
  <c r="H132" i="4"/>
  <c r="I132" i="4" s="1"/>
  <c r="J132" i="4" s="1"/>
  <c r="K132" i="4" s="1"/>
  <c r="L132" i="4" s="1"/>
  <c r="F133" i="4"/>
  <c r="N55" i="13" s="1" a="1"/>
  <c r="N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R24" i="7" a="1"/>
  <c r="AS39" i="7" a="1"/>
  <c r="AR20" i="20" a="1"/>
  <c r="AT57" i="7" a="1"/>
  <c r="AR22" i="20" a="1"/>
  <c r="AR52" i="20" a="1"/>
  <c r="Z90" i="11" l="1"/>
  <c r="J23" i="15" s="1"/>
  <c r="Z63" i="11"/>
  <c r="Z92" i="11"/>
  <c r="AR24" i="7"/>
  <c r="AA64" i="4"/>
  <c r="Z65" i="11"/>
  <c r="Z88" i="11"/>
  <c r="J21" i="15" s="1"/>
  <c r="AE24" i="7" a="1"/>
  <c r="AE24" i="7" s="1"/>
  <c r="Y72" i="11"/>
  <c r="Y73" i="11" s="1"/>
  <c r="Y65" i="11"/>
  <c r="AA68" i="4"/>
  <c r="Z82" i="11"/>
  <c r="Y63" i="11"/>
  <c r="Y83" i="11"/>
  <c r="W25" i="20" a="1"/>
  <c r="W25" i="20" s="1"/>
  <c r="V25" i="20" a="1"/>
  <c r="V25" i="20" s="1"/>
  <c r="AD25" i="7" a="1"/>
  <c r="AD25" i="7" s="1"/>
  <c r="X25" i="20" a="1"/>
  <c r="X25" i="20" s="1"/>
  <c r="Z85" i="11"/>
  <c r="Z70" i="11"/>
  <c r="Z72" i="11"/>
  <c r="J11" i="15" s="1"/>
  <c r="Y77" i="11"/>
  <c r="Z86" i="11"/>
  <c r="AF22" i="7" a="1"/>
  <c r="AF22" i="7" s="1"/>
  <c r="AS22" i="7"/>
  <c r="AJ22" i="7"/>
  <c r="Z89" i="11"/>
  <c r="AS23" i="7"/>
  <c r="AJ23" i="7"/>
  <c r="AF23" i="7" a="1"/>
  <c r="AF23" i="7" s="1"/>
  <c r="A11" i="6"/>
  <c r="X26" i="20" s="1" a="1"/>
  <c r="X26" i="20" s="1"/>
  <c r="X25" i="7" a="1"/>
  <c r="X25" i="7" s="1"/>
  <c r="W25" i="7" a="1"/>
  <c r="W25" i="7" s="1"/>
  <c r="AJ20" i="7"/>
  <c r="AS20" i="7"/>
  <c r="AF20" i="7" a="1"/>
  <c r="AF20" i="7" s="1"/>
  <c r="AB63" i="11"/>
  <c r="Z83" i="11"/>
  <c r="AC69" i="4"/>
  <c r="F31" i="13" s="1" a="1"/>
  <c r="F31" i="13" s="1"/>
  <c r="Z94" i="11"/>
  <c r="J27" i="15" s="1"/>
  <c r="Y90" i="11"/>
  <c r="Z64" i="11"/>
  <c r="P50" i="11"/>
  <c r="Z87" i="11"/>
  <c r="Z91" i="11"/>
  <c r="Z77" i="11"/>
  <c r="Z68" i="11"/>
  <c r="AB68" i="11" s="1"/>
  <c r="Y94" i="11"/>
  <c r="Z76" i="11"/>
  <c r="Y68" i="11"/>
  <c r="Z66" i="11"/>
  <c r="Z74" i="11"/>
  <c r="Z93" i="11"/>
  <c r="J26" i="15" s="1"/>
  <c r="Y76" i="11"/>
  <c r="Y87" i="11"/>
  <c r="AB87" i="11" s="1"/>
  <c r="Y74" i="11"/>
  <c r="Y75" i="11" s="1"/>
  <c r="Y70" i="11"/>
  <c r="AR52" i="20"/>
  <c r="AR22" i="20"/>
  <c r="AR20" i="20"/>
  <c r="N19" i="13" a="1"/>
  <c r="N19" i="13" s="1"/>
  <c r="N18" i="13" a="1"/>
  <c r="N18" i="13" s="1"/>
  <c r="N45" i="13" a="1"/>
  <c r="N45" i="13" s="1"/>
  <c r="N67" i="13" a="1"/>
  <c r="N67" i="13" s="1"/>
  <c r="N103" i="13" a="1"/>
  <c r="N103" i="13" s="1"/>
  <c r="N92" i="13" a="1"/>
  <c r="N92" i="13" s="1"/>
  <c r="Q26" i="13" a="1"/>
  <c r="Q26" i="13" s="1"/>
  <c r="V26" i="13" a="1"/>
  <c r="V26" i="13" s="1"/>
  <c r="E26" i="13" a="1"/>
  <c r="E26" i="13" s="1"/>
  <c r="T26" i="13" a="1"/>
  <c r="T26" i="13" s="1"/>
  <c r="O26" i="13" a="1"/>
  <c r="O26" i="13" s="1"/>
  <c r="X26" i="13" a="1"/>
  <c r="X26" i="13" s="1"/>
  <c r="Q35" i="13" a="1"/>
  <c r="Q35" i="13" s="1"/>
  <c r="V35" i="13" a="1"/>
  <c r="V35" i="13" s="1"/>
  <c r="N26" i="13" a="1"/>
  <c r="N26" i="13" s="1"/>
  <c r="H35" i="13" a="1"/>
  <c r="H35" i="13" s="1"/>
  <c r="P26" i="13" a="1"/>
  <c r="P26" i="13" s="1"/>
  <c r="R26" i="13" a="1"/>
  <c r="R26" i="13" s="1"/>
  <c r="S26" i="13" a="1"/>
  <c r="S26" i="13" s="1"/>
  <c r="E35" i="13" a="1"/>
  <c r="E35" i="13" s="1"/>
  <c r="U26" i="13" a="1"/>
  <c r="U26" i="13" s="1"/>
  <c r="W26" i="13" a="1"/>
  <c r="W26" i="13" s="1"/>
  <c r="G35" i="13" a="1"/>
  <c r="G35" i="13" s="1"/>
  <c r="T35" i="13" a="1"/>
  <c r="T35" i="13" s="1"/>
  <c r="N35" i="13" a="1"/>
  <c r="N35" i="13" s="1"/>
  <c r="U35" i="13" a="1"/>
  <c r="U35" i="13" s="1"/>
  <c r="O35" i="13" a="1"/>
  <c r="O35" i="13" s="1"/>
  <c r="W35" i="13" a="1"/>
  <c r="W35" i="13" s="1"/>
  <c r="P38" i="13" a="1"/>
  <c r="P38" i="13" s="1"/>
  <c r="R44" i="13" a="1"/>
  <c r="R44" i="13" s="1"/>
  <c r="P35" i="13" a="1"/>
  <c r="P35" i="13" s="1"/>
  <c r="X35" i="13" a="1"/>
  <c r="X35" i="13" s="1"/>
  <c r="Q38" i="13" a="1"/>
  <c r="Q38" i="13" s="1"/>
  <c r="F35" i="13" a="1"/>
  <c r="F35" i="13" s="1"/>
  <c r="E38" i="13" a="1"/>
  <c r="E38" i="13" s="1"/>
  <c r="G44" i="13" a="1"/>
  <c r="G44" i="13" s="1"/>
  <c r="U44" i="13" a="1"/>
  <c r="U44" i="13" s="1"/>
  <c r="S44" i="13" a="1"/>
  <c r="S44" i="13" s="1"/>
  <c r="R38" i="13" a="1"/>
  <c r="R38" i="13" s="1"/>
  <c r="E44" i="13" a="1"/>
  <c r="E44" i="13" s="1"/>
  <c r="T44" i="13" a="1"/>
  <c r="T44" i="13" s="1"/>
  <c r="R35" i="13" a="1"/>
  <c r="R35" i="13" s="1"/>
  <c r="F38" i="13" a="1"/>
  <c r="F38" i="13" s="1"/>
  <c r="V44" i="13" a="1"/>
  <c r="V44" i="13" s="1"/>
  <c r="H52" i="13" a="1"/>
  <c r="H52" i="13" s="1"/>
  <c r="P44" i="13" a="1"/>
  <c r="P44" i="13" s="1"/>
  <c r="Q44" i="13" a="1"/>
  <c r="Q44" i="13" s="1"/>
  <c r="S35" i="13" a="1"/>
  <c r="S35" i="13" s="1"/>
  <c r="O52" i="13" a="1"/>
  <c r="O52" i="13" s="1"/>
  <c r="G52" i="13" a="1"/>
  <c r="G52" i="13" s="1"/>
  <c r="R52" i="13" a="1"/>
  <c r="R52" i="13" s="1"/>
  <c r="G58" i="13" a="1"/>
  <c r="G58" i="13" s="1"/>
  <c r="N52" i="13" a="1"/>
  <c r="N52" i="13" s="1"/>
  <c r="G38" i="13" a="1"/>
  <c r="G38" i="13" s="1"/>
  <c r="U52" i="13" a="1"/>
  <c r="U52" i="13" s="1"/>
  <c r="T52" i="13" a="1"/>
  <c r="T52" i="13" s="1"/>
  <c r="E52" i="13" a="1"/>
  <c r="E52" i="13" s="1"/>
  <c r="Q60" i="13" a="1"/>
  <c r="Q60" i="13" s="1"/>
  <c r="V60" i="13" a="1"/>
  <c r="V60" i="13" s="1"/>
  <c r="T62" i="13" a="1"/>
  <c r="T62" i="13" s="1"/>
  <c r="G63" i="13" a="1"/>
  <c r="G63" i="13" s="1"/>
  <c r="R64" i="13" a="1"/>
  <c r="R64" i="13" s="1"/>
  <c r="W64" i="13" a="1"/>
  <c r="W64" i="13" s="1"/>
  <c r="F52" i="13" a="1"/>
  <c r="F52" i="13" s="1"/>
  <c r="E58" i="13" a="1"/>
  <c r="E58" i="13" s="1"/>
  <c r="O58" i="13" a="1"/>
  <c r="O58" i="13" s="1"/>
  <c r="H60" i="13" a="1"/>
  <c r="H60" i="13" s="1"/>
  <c r="E62" i="13" a="1"/>
  <c r="E62" i="13" s="1"/>
  <c r="Q63" i="13" a="1"/>
  <c r="Q63" i="13" s="1"/>
  <c r="V63" i="13" a="1"/>
  <c r="V63" i="13" s="1"/>
  <c r="F44" i="13" a="1"/>
  <c r="F44" i="13" s="1"/>
  <c r="V52" i="13" a="1"/>
  <c r="V52" i="13" s="1"/>
  <c r="W52" i="13" a="1"/>
  <c r="W52" i="13" s="1"/>
  <c r="W44" i="13" a="1"/>
  <c r="W44" i="13" s="1"/>
  <c r="X44" i="13" a="1"/>
  <c r="X44" i="13" s="1"/>
  <c r="X52" i="13" a="1"/>
  <c r="X52" i="13" s="1"/>
  <c r="W58" i="13" a="1"/>
  <c r="W58" i="13" s="1"/>
  <c r="G62" i="13" a="1"/>
  <c r="G62" i="13" s="1"/>
  <c r="N63" i="13" a="1"/>
  <c r="N63" i="13" s="1"/>
  <c r="S63" i="13" a="1"/>
  <c r="S63" i="13" s="1"/>
  <c r="X63" i="13" a="1"/>
  <c r="X63" i="13" s="1"/>
  <c r="E64" i="13" a="1"/>
  <c r="E64" i="13" s="1"/>
  <c r="H58" i="13" a="1"/>
  <c r="H58" i="13" s="1"/>
  <c r="R58" i="13" a="1"/>
  <c r="R58" i="13" s="1"/>
  <c r="T60" i="13" a="1"/>
  <c r="T60" i="13" s="1"/>
  <c r="Y60" i="13" a="1"/>
  <c r="Y60" i="13" s="1"/>
  <c r="Z60" i="13" s="1"/>
  <c r="Q62" i="13" a="1"/>
  <c r="Q62" i="13" s="1"/>
  <c r="V62" i="13" a="1"/>
  <c r="V62" i="13" s="1"/>
  <c r="O64" i="13" a="1"/>
  <c r="O64" i="13" s="1"/>
  <c r="S58" i="13" a="1"/>
  <c r="S58" i="13" s="1"/>
  <c r="O60" i="13" a="1"/>
  <c r="O60" i="13" s="1"/>
  <c r="R62" i="13" a="1"/>
  <c r="R62" i="13" s="1"/>
  <c r="W62" i="13" a="1"/>
  <c r="W62" i="13" s="1"/>
  <c r="P64" i="13" a="1"/>
  <c r="P64" i="13" s="1"/>
  <c r="U64" i="13" a="1"/>
  <c r="U64" i="13" s="1"/>
  <c r="U58" i="13" a="1"/>
  <c r="U58" i="13" s="1"/>
  <c r="F62" i="13" a="1"/>
  <c r="F62" i="13" s="1"/>
  <c r="V58" i="13" a="1"/>
  <c r="V58" i="13" s="1"/>
  <c r="R60" i="13" a="1"/>
  <c r="R60" i="13" s="1"/>
  <c r="R63" i="13" a="1"/>
  <c r="R63" i="13" s="1"/>
  <c r="N64" i="13" a="1"/>
  <c r="N64" i="13" s="1"/>
  <c r="N58" i="13" a="1"/>
  <c r="N58" i="13" s="1"/>
  <c r="E60" i="13" a="1"/>
  <c r="E60" i="13" s="1"/>
  <c r="H62" i="13" a="1"/>
  <c r="H62" i="13" s="1"/>
  <c r="V64" i="13" a="1"/>
  <c r="V64" i="13" s="1"/>
  <c r="F71" i="13" a="1"/>
  <c r="F71" i="13" s="1"/>
  <c r="X58" i="13" a="1"/>
  <c r="X58" i="13" s="1"/>
  <c r="N62" i="13" a="1"/>
  <c r="N62" i="13" s="1"/>
  <c r="G71" i="13" a="1"/>
  <c r="G71" i="13" s="1"/>
  <c r="V71" i="13" a="1"/>
  <c r="V71" i="13" s="1"/>
  <c r="G60" i="13" a="1"/>
  <c r="G60" i="13" s="1"/>
  <c r="H63" i="13" a="1"/>
  <c r="H63" i="13" s="1"/>
  <c r="P58" i="13" a="1"/>
  <c r="P58" i="13" s="1"/>
  <c r="U60" i="13" a="1"/>
  <c r="U60" i="13" s="1"/>
  <c r="O62" i="13" a="1"/>
  <c r="O62" i="13" s="1"/>
  <c r="X62" i="13" a="1"/>
  <c r="X62" i="13" s="1"/>
  <c r="U63" i="13" a="1"/>
  <c r="U63" i="13" s="1"/>
  <c r="Q64" i="13" a="1"/>
  <c r="Q64" i="13" s="1"/>
  <c r="Q58" i="13" a="1"/>
  <c r="Q58" i="13" s="1"/>
  <c r="R71" i="13" a="1"/>
  <c r="R71" i="13" s="1"/>
  <c r="N60" i="13" a="1"/>
  <c r="N60" i="13" s="1"/>
  <c r="W60" i="13" a="1"/>
  <c r="W60" i="13" s="1"/>
  <c r="P62" i="13" a="1"/>
  <c r="P62" i="13" s="1"/>
  <c r="W63" i="13" a="1"/>
  <c r="W63" i="13" s="1"/>
  <c r="S52" i="13" a="1"/>
  <c r="S52" i="13" s="1"/>
  <c r="P60" i="13" a="1"/>
  <c r="P60" i="13" s="1"/>
  <c r="S62" i="13" a="1"/>
  <c r="S62" i="13" s="1"/>
  <c r="P63" i="13" a="1"/>
  <c r="P63" i="13" s="1"/>
  <c r="H64" i="13" a="1"/>
  <c r="H64" i="13" s="1"/>
  <c r="T64" i="13" a="1"/>
  <c r="T64" i="13" s="1"/>
  <c r="T71" i="13" a="1"/>
  <c r="T71" i="13" s="1"/>
  <c r="U62" i="13" a="1"/>
  <c r="U62" i="13" s="1"/>
  <c r="X60" i="13" a="1"/>
  <c r="X60" i="13" s="1"/>
  <c r="X64" i="13" a="1"/>
  <c r="X64" i="13" s="1"/>
  <c r="S71" i="13" a="1"/>
  <c r="S71" i="13" s="1"/>
  <c r="F64" i="13" a="1"/>
  <c r="F64" i="13" s="1"/>
  <c r="G64" i="13" a="1"/>
  <c r="G64" i="13" s="1"/>
  <c r="F63" i="13" a="1"/>
  <c r="F63" i="13" s="1"/>
  <c r="N71" i="13" a="1"/>
  <c r="N71" i="13" s="1"/>
  <c r="U71" i="13"/>
  <c r="F60" i="13" a="1"/>
  <c r="F60" i="13" s="1"/>
  <c r="T61" i="13" a="1"/>
  <c r="T61" i="13" s="1"/>
  <c r="O63" i="13" a="1"/>
  <c r="O63" i="13" s="1"/>
  <c r="W71" i="13" a="1"/>
  <c r="W71" i="13" s="1"/>
  <c r="X61" i="13" a="1"/>
  <c r="X61" i="13" s="1"/>
  <c r="T63" i="13" a="1"/>
  <c r="T63" i="13" s="1"/>
  <c r="P71" i="13" a="1"/>
  <c r="P71" i="13" s="1"/>
  <c r="P52" i="13" a="1"/>
  <c r="P52" i="13" s="1"/>
  <c r="S64" i="13" a="1"/>
  <c r="S64" i="13" s="1"/>
  <c r="Q52" i="13" a="1"/>
  <c r="Q52" i="13" s="1"/>
  <c r="E71" i="13" a="1"/>
  <c r="E71" i="13" s="1"/>
  <c r="F58" i="13" a="1"/>
  <c r="F58" i="13" s="1"/>
  <c r="H71" i="13" a="1"/>
  <c r="H71" i="13" s="1"/>
  <c r="T58" i="13" a="1"/>
  <c r="T58" i="13" s="1"/>
  <c r="O71" i="13" a="1"/>
  <c r="O71" i="13" s="1"/>
  <c r="S60" i="13" a="1"/>
  <c r="S60" i="13" s="1"/>
  <c r="Q71" i="13" a="1"/>
  <c r="Q71" i="13" s="1"/>
  <c r="X71" i="13" a="1"/>
  <c r="X71" i="13" s="1"/>
  <c r="U110" i="13" a="1"/>
  <c r="U110" i="13" s="1"/>
  <c r="AA110" i="13" a="1"/>
  <c r="AA110" i="13" s="1"/>
  <c r="W108" i="13" a="1"/>
  <c r="W108" i="13" s="1"/>
  <c r="W114" i="13" a="1"/>
  <c r="W114" i="13" s="1"/>
  <c r="W119" i="13" a="1"/>
  <c r="W119" i="13" s="1"/>
  <c r="W120" i="13" a="1"/>
  <c r="W120" i="13" s="1"/>
  <c r="W121" i="13" a="1"/>
  <c r="W121" i="13" s="1"/>
  <c r="W122" i="13" a="1"/>
  <c r="W122" i="13" s="1"/>
  <c r="V110" i="13" a="1"/>
  <c r="V110" i="13" s="1"/>
  <c r="X108" i="13" a="1"/>
  <c r="X108" i="13" s="1"/>
  <c r="W110" i="13" a="1"/>
  <c r="W110" i="13" s="1"/>
  <c r="X110" i="13" a="1"/>
  <c r="X110" i="13" s="1"/>
  <c r="Y110" i="13" a="1"/>
  <c r="Y110" i="13" s="1"/>
  <c r="U108" i="13" a="1"/>
  <c r="U108" i="13" s="1"/>
  <c r="U114" i="13" a="1"/>
  <c r="U114" i="13" s="1"/>
  <c r="U119" i="13" a="1"/>
  <c r="U119" i="13" s="1"/>
  <c r="V108" i="13" a="1"/>
  <c r="V108" i="13" s="1"/>
  <c r="V114" i="13" a="1"/>
  <c r="V114" i="13" s="1"/>
  <c r="X122" i="13" a="1"/>
  <c r="X122" i="13" s="1"/>
  <c r="U118" i="13" a="1"/>
  <c r="U118" i="13" s="1"/>
  <c r="U121" i="13" a="1"/>
  <c r="U121" i="13" s="1"/>
  <c r="X114" i="13" a="1"/>
  <c r="X114" i="13" s="1"/>
  <c r="X121" i="13" a="1"/>
  <c r="X121" i="13" s="1"/>
  <c r="U120" i="13" a="1"/>
  <c r="U120" i="13" s="1"/>
  <c r="X120" i="13" a="1"/>
  <c r="X120" i="13" s="1"/>
  <c r="X115" i="13" a="1"/>
  <c r="X115" i="13" s="1"/>
  <c r="Z110" i="13" a="1"/>
  <c r="Z110" i="13" s="1"/>
  <c r="V113" i="13" a="1"/>
  <c r="V113" i="13" s="1"/>
  <c r="U122" i="13" a="1"/>
  <c r="U122" i="13" s="1"/>
  <c r="X119" i="13" a="1"/>
  <c r="X119" i="13" s="1"/>
  <c r="V118" i="13" a="1"/>
  <c r="V118" i="13" s="1"/>
  <c r="W118" i="13" a="1"/>
  <c r="W118" i="13" s="1"/>
  <c r="P61" i="13" a="1"/>
  <c r="P61" i="13" s="1"/>
  <c r="O61" i="13" a="1"/>
  <c r="O61" i="13" s="1"/>
  <c r="X118" i="13" a="1"/>
  <c r="X118" i="13" s="1"/>
  <c r="F109" i="13"/>
  <c r="W115" i="13" a="1"/>
  <c r="W115" i="13" s="1"/>
  <c r="U61" i="13" a="1"/>
  <c r="U61" i="13" s="1"/>
  <c r="Q61" i="13" a="1"/>
  <c r="Q61" i="13" s="1"/>
  <c r="E109" i="13"/>
  <c r="U111" i="13" a="1"/>
  <c r="U111" i="13" s="1"/>
  <c r="U109" i="13" a="1"/>
  <c r="U109" i="13" s="1"/>
  <c r="X109" i="13" a="1"/>
  <c r="X109" i="13" s="1"/>
  <c r="V111" i="13" a="1"/>
  <c r="V111" i="13" s="1"/>
  <c r="V122" i="13" a="1"/>
  <c r="V122" i="13" s="1"/>
  <c r="R61" i="13" a="1"/>
  <c r="R61" i="13" s="1"/>
  <c r="S61" i="13" a="1"/>
  <c r="S61" i="13" s="1"/>
  <c r="V61" i="13" a="1"/>
  <c r="V61" i="13" s="1"/>
  <c r="W111" i="13" a="1"/>
  <c r="W111" i="13" s="1"/>
  <c r="G109" i="13"/>
  <c r="U115" i="13" a="1"/>
  <c r="U115" i="13" s="1"/>
  <c r="V121" i="13" a="1"/>
  <c r="V121" i="13" s="1"/>
  <c r="W61" i="13" a="1"/>
  <c r="W61" i="13" s="1"/>
  <c r="X111" i="13" a="1"/>
  <c r="X111" i="13" s="1"/>
  <c r="V115" i="13" a="1"/>
  <c r="V115" i="13" s="1"/>
  <c r="V120" i="13" a="1"/>
  <c r="V120" i="13" s="1"/>
  <c r="X113" i="13" a="1"/>
  <c r="X113" i="13" s="1"/>
  <c r="H109" i="13"/>
  <c r="V119" i="13" a="1"/>
  <c r="V119" i="13" s="1"/>
  <c r="N61" i="13" a="1"/>
  <c r="N61" i="13" s="1"/>
  <c r="V109" i="13" a="1"/>
  <c r="V109" i="13" s="1"/>
  <c r="U113" i="13" a="1"/>
  <c r="U113" i="13" s="1"/>
  <c r="W113" i="13" a="1"/>
  <c r="W113" i="13" s="1"/>
  <c r="W109" i="13" a="1"/>
  <c r="W109" i="13" s="1"/>
  <c r="P59" i="13" a="1"/>
  <c r="P59" i="13" s="1"/>
  <c r="W59" i="13" a="1"/>
  <c r="W59" i="13" s="1"/>
  <c r="V59" i="13" a="1"/>
  <c r="V59" i="13" s="1"/>
  <c r="X59" i="13" a="1"/>
  <c r="X59" i="13" s="1"/>
  <c r="O59" i="13" a="1"/>
  <c r="O59" i="13" s="1"/>
  <c r="S59" i="13" a="1"/>
  <c r="S59" i="13" s="1"/>
  <c r="Q59" i="13" a="1"/>
  <c r="Q59" i="13" s="1"/>
  <c r="T59" i="13" a="1"/>
  <c r="T59" i="13" s="1"/>
  <c r="U59" i="13" a="1"/>
  <c r="U59" i="13" s="1"/>
  <c r="N59" i="13" a="1"/>
  <c r="N59" i="13" s="1"/>
  <c r="R59" i="13" a="1"/>
  <c r="R59" i="13" s="1"/>
  <c r="N36" i="13" a="1"/>
  <c r="N36" i="13" s="1"/>
  <c r="N53" i="13" a="1"/>
  <c r="N53" i="13" s="1"/>
  <c r="N65" i="13" a="1"/>
  <c r="N65" i="13" s="1"/>
  <c r="N46" i="13" a="1"/>
  <c r="N46" i="13" s="1"/>
  <c r="N37" i="13" a="1"/>
  <c r="N37" i="13" s="1"/>
  <c r="N21" i="13" a="1"/>
  <c r="N21" i="13" s="1"/>
  <c r="N68" i="13" a="1"/>
  <c r="N68" i="13" s="1"/>
  <c r="N69" i="13" a="1"/>
  <c r="N69" i="13" s="1"/>
  <c r="N51" i="13" a="1"/>
  <c r="N51" i="13" s="1"/>
  <c r="N20" i="13" a="1"/>
  <c r="N20" i="13" s="1"/>
  <c r="N47" i="13" a="1"/>
  <c r="N47" i="13" s="1"/>
  <c r="N54" i="13" a="1"/>
  <c r="N54" i="13" s="1"/>
  <c r="N24" i="13" a="1"/>
  <c r="N24" i="13" s="1"/>
  <c r="N22" i="13" a="1"/>
  <c r="N22" i="13" s="1"/>
  <c r="N66" i="13" a="1"/>
  <c r="N66" i="13" s="1"/>
  <c r="N70" i="13" a="1"/>
  <c r="N70" i="13" s="1"/>
  <c r="N107" i="13" a="1"/>
  <c r="N107" i="13" s="1"/>
  <c r="N105" i="13" a="1"/>
  <c r="N105" i="13" s="1"/>
  <c r="N48" i="13" a="1"/>
  <c r="N48" i="13" s="1"/>
  <c r="N50" i="13" a="1"/>
  <c r="N50" i="13" s="1"/>
  <c r="N102" i="13" a="1"/>
  <c r="N102" i="13" s="1"/>
  <c r="N49" i="13" a="1"/>
  <c r="N49" i="13" s="1"/>
  <c r="N100" i="13" a="1"/>
  <c r="N100" i="13" s="1"/>
  <c r="N104" i="13" a="1"/>
  <c r="N104" i="13" s="1"/>
  <c r="N93" i="13" a="1"/>
  <c r="N93" i="13" s="1"/>
  <c r="N106" i="13" a="1"/>
  <c r="N106" i="13" s="1"/>
  <c r="N101" i="13" a="1"/>
  <c r="N101" i="13" s="1"/>
  <c r="AE24" i="20" a="1"/>
  <c r="AE24" i="20" s="1"/>
  <c r="AE23" i="20" a="1"/>
  <c r="AE23" i="20" s="1"/>
  <c r="AE21" i="20" a="1"/>
  <c r="AE21" i="20" s="1"/>
  <c r="AF20" i="20" a="1"/>
  <c r="AF20" i="20" s="1"/>
  <c r="AF22" i="20" a="1"/>
  <c r="AF22" i="20" s="1"/>
  <c r="AF52" i="20" a="1"/>
  <c r="AF52" i="20" s="1"/>
  <c r="AE108" i="20" a="1"/>
  <c r="AE108" i="20" s="1"/>
  <c r="AJ108" i="20" s="1"/>
  <c r="AE107" i="20" a="1"/>
  <c r="AE107" i="20" s="1"/>
  <c r="AJ107" i="20" s="1"/>
  <c r="AE104" i="20" a="1"/>
  <c r="AE104" i="20" s="1"/>
  <c r="AJ104" i="20" s="1"/>
  <c r="AE100" i="20" a="1"/>
  <c r="AE100" i="20" s="1"/>
  <c r="AJ100" i="20" s="1"/>
  <c r="AE99" i="20" a="1"/>
  <c r="AE99" i="20" s="1"/>
  <c r="AJ99" i="20" s="1"/>
  <c r="AE96" i="20" a="1"/>
  <c r="AE96" i="20" s="1"/>
  <c r="AJ96" i="20" s="1"/>
  <c r="AE95" i="20" a="1"/>
  <c r="AE95" i="20" s="1"/>
  <c r="AJ95" i="20" s="1"/>
  <c r="AE92" i="20" a="1"/>
  <c r="AE92" i="20" s="1"/>
  <c r="AJ92" i="20" s="1"/>
  <c r="AE91" i="20" a="1"/>
  <c r="AE91" i="20" s="1"/>
  <c r="AJ91" i="20" s="1"/>
  <c r="AE88" i="20" a="1"/>
  <c r="AE88" i="20" s="1"/>
  <c r="AJ88" i="20" s="1"/>
  <c r="AE87" i="20" a="1"/>
  <c r="AE87" i="20" s="1"/>
  <c r="AJ87" i="20" s="1"/>
  <c r="AE83" i="20" a="1"/>
  <c r="AE83" i="20" s="1"/>
  <c r="AJ83" i="20" s="1"/>
  <c r="AE82" i="20" a="1"/>
  <c r="AE82" i="20" s="1"/>
  <c r="AJ82" i="20" s="1"/>
  <c r="AE78" i="20" a="1"/>
  <c r="AE78" i="20" s="1"/>
  <c r="AJ78" i="20" s="1"/>
  <c r="AE77" i="20" a="1"/>
  <c r="AE77" i="20" s="1"/>
  <c r="AJ77" i="20" s="1"/>
  <c r="AE73" i="20" a="1"/>
  <c r="AE73" i="20" s="1"/>
  <c r="AJ73" i="20" s="1"/>
  <c r="AE72" i="20" a="1"/>
  <c r="AE72" i="20" s="1"/>
  <c r="AJ72" i="20" s="1"/>
  <c r="AE71" i="20" a="1"/>
  <c r="AE71" i="20" s="1"/>
  <c r="AJ71" i="20" s="1"/>
  <c r="AE66" i="20" a="1"/>
  <c r="AE66" i="20" s="1"/>
  <c r="AJ66" i="20" s="1"/>
  <c r="AE64" i="20" a="1"/>
  <c r="AE64" i="20" s="1"/>
  <c r="AJ64" i="20" s="1"/>
  <c r="AE63" i="20" a="1"/>
  <c r="AE63" i="20" s="1"/>
  <c r="AJ63" i="20" s="1"/>
  <c r="AE57" i="20" a="1"/>
  <c r="AE57" i="20" s="1"/>
  <c r="AE51" i="20" a="1"/>
  <c r="AE51" i="20" s="1"/>
  <c r="AJ51" i="20" s="1"/>
  <c r="AE47" i="20" a="1"/>
  <c r="AE47" i="20" s="1"/>
  <c r="AJ47" i="20" s="1"/>
  <c r="AE46" i="20" a="1"/>
  <c r="AE46" i="20" s="1"/>
  <c r="AJ46" i="20" s="1"/>
  <c r="AE42" i="20" a="1"/>
  <c r="AE42" i="20" s="1"/>
  <c r="AJ42" i="20" s="1"/>
  <c r="AE40" i="20" a="1"/>
  <c r="AE40" i="20" s="1"/>
  <c r="AJ40" i="20" s="1"/>
  <c r="AE39" i="20" a="1"/>
  <c r="AE39" i="20" s="1"/>
  <c r="AJ39" i="20" s="1"/>
  <c r="AE36" i="20" a="1"/>
  <c r="AE36" i="20" s="1"/>
  <c r="AJ36" i="20" s="1"/>
  <c r="AE34" i="20" a="1"/>
  <c r="AE34" i="20" s="1"/>
  <c r="AJ34" i="20" s="1"/>
  <c r="AE31" i="20" a="1"/>
  <c r="AE31" i="20" s="1"/>
  <c r="AJ31" i="20" s="1"/>
  <c r="AR30" i="20"/>
  <c r="AE30" i="20" a="1"/>
  <c r="AE30" i="20" s="1"/>
  <c r="AF30" i="20" s="1" a="1"/>
  <c r="AF30" i="20" s="1"/>
  <c r="AG30" i="20" s="1" a="1"/>
  <c r="AG30" i="20" s="1"/>
  <c r="AH30" i="20" s="1" a="1"/>
  <c r="AH30" i="20" s="1"/>
  <c r="AK30" i="20" s="1"/>
  <c r="J12" i="15"/>
  <c r="Z69" i="11"/>
  <c r="J20" i="15"/>
  <c r="J22" i="15"/>
  <c r="J25" i="15"/>
  <c r="X114" i="11"/>
  <c r="Y66" i="11"/>
  <c r="Y93" i="11"/>
  <c r="Y85" i="11"/>
  <c r="Y64" i="11"/>
  <c r="X113" i="11"/>
  <c r="Y86" i="11"/>
  <c r="Y92" i="11"/>
  <c r="AB92" i="11" s="1"/>
  <c r="Y89" i="11"/>
  <c r="AB89" i="11" s="1"/>
  <c r="Y91" i="11"/>
  <c r="E44" i="11"/>
  <c r="Y69" i="11"/>
  <c r="Y8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A76" i="4"/>
  <c r="V77" i="4"/>
  <c r="V74" i="4"/>
  <c r="X74" i="4" s="1"/>
  <c r="V113" i="4"/>
  <c r="W113" i="4" s="1"/>
  <c r="X113" i="4" s="1"/>
  <c r="V59" i="4"/>
  <c r="W59" i="4" s="1"/>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AC65" i="4"/>
  <c r="F27" i="13" s="1" a="1"/>
  <c r="F27" i="13" s="1"/>
  <c r="V72" i="4"/>
  <c r="V73" i="4" s="1"/>
  <c r="V90" i="4"/>
  <c r="W90" i="4" s="1"/>
  <c r="X90" i="4" s="1"/>
  <c r="AJ52" i="8"/>
  <c r="AC59" i="4"/>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N33" i="13" s="1" a="1"/>
  <c r="N33" i="13" s="1"/>
  <c r="N32" i="13" a="1"/>
  <c r="N32" i="13" s="1"/>
  <c r="O30" i="3"/>
  <c r="O32" i="3"/>
  <c r="O27" i="3"/>
  <c r="AD27" i="3" s="1"/>
  <c r="AA115" i="4"/>
  <c r="AA114" i="4"/>
  <c r="AK68" i="1"/>
  <c r="D53" i="11" s="1"/>
  <c r="P37" i="10"/>
  <c r="D88" i="9"/>
  <c r="I114" i="4"/>
  <c r="N114" i="4" s="1"/>
  <c r="I127" i="4"/>
  <c r="O116" i="4"/>
  <c r="K116" i="4"/>
  <c r="J125" i="4"/>
  <c r="O125" i="4" s="1"/>
  <c r="AJ20" i="8"/>
  <c r="V70" i="4"/>
  <c r="X81" i="4"/>
  <c r="W80" i="4"/>
  <c r="V124" i="4"/>
  <c r="W78" i="4"/>
  <c r="AD65" i="4"/>
  <c r="G27" i="13" s="1" a="1"/>
  <c r="G27" i="13" s="1"/>
  <c r="W76" i="4"/>
  <c r="V64" i="4"/>
  <c r="W77" i="4"/>
  <c r="AB81" i="4"/>
  <c r="E81" i="13" s="1" a="1"/>
  <c r="E81" i="13" s="1"/>
  <c r="AB74" i="4"/>
  <c r="E74" i="13" s="1" a="1"/>
  <c r="E74" i="13" s="1"/>
  <c r="AB73" i="4"/>
  <c r="AB68" i="4"/>
  <c r="E34" i="13" s="1" a="1"/>
  <c r="E34" i="13" s="1"/>
  <c r="AJ63" i="8"/>
  <c r="AJ71" i="8"/>
  <c r="AJ57" i="8"/>
  <c r="O36" i="3"/>
  <c r="AD36" i="3" s="1"/>
  <c r="AJ87" i="8"/>
  <c r="AJ92" i="8"/>
  <c r="AJ82" i="8"/>
  <c r="AB124" i="4"/>
  <c r="E19" i="13" s="1" a="1"/>
  <c r="E19" i="13" s="1"/>
  <c r="AJ97" i="8"/>
  <c r="AB64" i="4"/>
  <c r="E29" i="13" s="1" a="1"/>
  <c r="E29" i="13" s="1"/>
  <c r="AB66" i="4"/>
  <c r="E30" i="13" s="1" a="1"/>
  <c r="E30" i="13" s="1"/>
  <c r="AJ77" i="8"/>
  <c r="AB75" i="4"/>
  <c r="E75" i="13" s="1" a="1"/>
  <c r="E75" i="13" s="1"/>
  <c r="AJ112" i="8"/>
  <c r="AJ102" i="8"/>
  <c r="AC67" i="4"/>
  <c r="F28" i="13" s="1" a="1"/>
  <c r="F28" i="13" s="1"/>
  <c r="AJ39" i="8"/>
  <c r="AB108" i="4"/>
  <c r="E65" i="13" s="1" a="1"/>
  <c r="E65" i="13" s="1"/>
  <c r="AB116" i="4"/>
  <c r="E46" i="13" s="1" a="1"/>
  <c r="E46" i="13" s="1"/>
  <c r="AB72" i="4"/>
  <c r="E72" i="13" s="1" a="1"/>
  <c r="E72" i="13" s="1"/>
  <c r="E73" i="13" s="1"/>
  <c r="AS39" i="7"/>
  <c r="AT57" i="7"/>
  <c r="AG39" i="7" a="1"/>
  <c r="AG39" i="7" s="1"/>
  <c r="AJ77" i="7"/>
  <c r="AF77" i="7" a="1"/>
  <c r="AF77" i="7" s="1"/>
  <c r="AJ71" i="7"/>
  <c r="AF71" i="7" a="1"/>
  <c r="AF71" i="7" s="1"/>
  <c r="AD59" i="4"/>
  <c r="G39" i="13" s="1" a="1"/>
  <c r="G39" i="13" s="1"/>
  <c r="AA25" i="7" a="1"/>
  <c r="AA25" i="7" s="1"/>
  <c r="AA28" i="7" a="1"/>
  <c r="AA28" i="7" s="1"/>
  <c r="AA24" i="7" a="1"/>
  <c r="AA24" i="7" s="1"/>
  <c r="AA23" i="7" a="1"/>
  <c r="AA23" i="7" s="1"/>
  <c r="AA26" i="7" a="1"/>
  <c r="AA26" i="7" s="1"/>
  <c r="AA21" i="7" a="1"/>
  <c r="AA21" i="7" s="1"/>
  <c r="AA22" i="7" a="1"/>
  <c r="AA22" i="7" s="1"/>
  <c r="AA29" i="7" a="1"/>
  <c r="AA29" i="7" s="1"/>
  <c r="AA20" i="7" a="1"/>
  <c r="AA20" i="7" s="1"/>
  <c r="AA27" i="7" a="1"/>
  <c r="AA27" i="7" s="1"/>
  <c r="AB18" i="7"/>
  <c r="W110" i="4"/>
  <c r="X110" i="4" s="1"/>
  <c r="AJ91" i="7"/>
  <c r="AF91" i="7" a="1"/>
  <c r="AF91" i="7" s="1"/>
  <c r="AJ107" i="7"/>
  <c r="AF107" i="7" a="1"/>
  <c r="AF107" i="7" s="1"/>
  <c r="C92" i="8"/>
  <c r="D83" i="8"/>
  <c r="D92" i="8" s="1"/>
  <c r="D82" i="8" s="1"/>
  <c r="AH57" i="7" a="1"/>
  <c r="AH57" i="7" s="1"/>
  <c r="W81" i="4"/>
  <c r="AJ87" i="7"/>
  <c r="AF87" i="7" a="1"/>
  <c r="AF87" i="7" s="1"/>
  <c r="W86" i="4"/>
  <c r="X86" i="4" s="1"/>
  <c r="D200" i="7"/>
  <c r="D191" i="7" s="1"/>
  <c r="U125" i="4"/>
  <c r="AT21" i="7"/>
  <c r="AG21" i="7" a="1"/>
  <c r="AG21" i="7" s="1"/>
  <c r="C200" i="7"/>
  <c r="V115" i="4"/>
  <c r="V114" i="4"/>
  <c r="V130" i="4"/>
  <c r="V123" i="4"/>
  <c r="V69" i="4"/>
  <c r="W75" i="4"/>
  <c r="V65" i="4"/>
  <c r="X78" i="4"/>
  <c r="W112" i="4"/>
  <c r="X112" i="4" s="1"/>
  <c r="V116" i="4"/>
  <c r="V133" i="4"/>
  <c r="W108" i="4"/>
  <c r="X108" i="4" s="1"/>
  <c r="V66" i="4"/>
  <c r="X77" i="4"/>
  <c r="V131" i="4"/>
  <c r="V122" i="4"/>
  <c r="W82" i="4"/>
  <c r="X82" i="4" s="1"/>
  <c r="V119" i="4"/>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N57" i="13" s="1" a="1"/>
  <c r="N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N42" i="13" s="1" a="1"/>
  <c r="N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25" i="7" a="1"/>
  <c r="AR46" i="20" a="1"/>
  <c r="AR72" i="20" a="1"/>
  <c r="AR47" i="20" a="1"/>
  <c r="AR71" i="20" a="1"/>
  <c r="AS22" i="20" a="1"/>
  <c r="AS77" i="7" a="1"/>
  <c r="AR88" i="20" a="1"/>
  <c r="AR73" i="20" a="1"/>
  <c r="AR51" i="20" a="1"/>
  <c r="AR31" i="20" a="1"/>
  <c r="AR107" i="20" a="1"/>
  <c r="AS71" i="7" a="1"/>
  <c r="AR40" i="20" a="1"/>
  <c r="AR92" i="20" a="1"/>
  <c r="AS52" i="20" a="1"/>
  <c r="AR95" i="20" a="1"/>
  <c r="AU57" i="7" a="1"/>
  <c r="AR21" i="20" a="1"/>
  <c r="AR63" i="20" a="1"/>
  <c r="AT39" i="7" a="1"/>
  <c r="AS20" i="20" a="1"/>
  <c r="AR100" i="20" a="1"/>
  <c r="AR91" i="20" a="1"/>
  <c r="AR96" i="20" a="1"/>
  <c r="AR78" i="20" a="1"/>
  <c r="AS107" i="7" a="1"/>
  <c r="AR77" i="20" a="1"/>
  <c r="AR87" i="20" a="1"/>
  <c r="AR34" i="20" a="1"/>
  <c r="AR83" i="20" a="1"/>
  <c r="AR23" i="20" a="1"/>
  <c r="AR24" i="20" a="1"/>
  <c r="AR64" i="20" a="1"/>
  <c r="AR99" i="20" a="1"/>
  <c r="AR36" i="20" a="1"/>
  <c r="AR57" i="20" a="1"/>
  <c r="AR42" i="20" a="1"/>
  <c r="AR39" i="20" a="1"/>
  <c r="AS87" i="7" a="1"/>
  <c r="AR104" i="20" a="1"/>
  <c r="AR66" i="20" a="1"/>
  <c r="AR108" i="20" a="1"/>
  <c r="AS91" i="7" a="1"/>
  <c r="AR82" i="20" a="1"/>
  <c r="AB86" i="11" l="1"/>
  <c r="AB88" i="11"/>
  <c r="J19" i="15"/>
  <c r="AB90" i="11"/>
  <c r="J18" i="15"/>
  <c r="Y71" i="11"/>
  <c r="Y78" i="11"/>
  <c r="AB72" i="11"/>
  <c r="AB70" i="11"/>
  <c r="AB77" i="11"/>
  <c r="AB83" i="11"/>
  <c r="J9" i="15"/>
  <c r="Z84" i="11"/>
  <c r="AB65" i="11"/>
  <c r="AS24" i="7"/>
  <c r="AF24" i="7" a="1"/>
  <c r="AF24" i="7" s="1"/>
  <c r="AJ24" i="7"/>
  <c r="X26" i="7" a="1"/>
  <c r="X26" i="7" s="1"/>
  <c r="AR25" i="7"/>
  <c r="AB66" i="11"/>
  <c r="AD25" i="20"/>
  <c r="AB94" i="11"/>
  <c r="AE25" i="7" a="1"/>
  <c r="AE25" i="7" s="1"/>
  <c r="AS25" i="7" s="1"/>
  <c r="Z95" i="11"/>
  <c r="AG20" i="7" a="1"/>
  <c r="AG20" i="7" s="1"/>
  <c r="AT20" i="7"/>
  <c r="AT22" i="7"/>
  <c r="AG22" i="7" a="1"/>
  <c r="AG22" i="7" s="1"/>
  <c r="AT23" i="7"/>
  <c r="AG23" i="7" a="1"/>
  <c r="AG23" i="7" s="1"/>
  <c r="AF25" i="7" a="1"/>
  <c r="AF25" i="7" s="1"/>
  <c r="A12" i="6"/>
  <c r="V26" i="7" a="1"/>
  <c r="V26" i="7" s="1"/>
  <c r="W26" i="7" a="1"/>
  <c r="W26" i="7" s="1"/>
  <c r="V26" i="20" a="1"/>
  <c r="V26" i="20" s="1"/>
  <c r="W26" i="20" a="1"/>
  <c r="W26" i="20" s="1"/>
  <c r="AD26" i="7" a="1"/>
  <c r="AD26" i="7" s="1"/>
  <c r="AB91" i="11"/>
  <c r="AE69" i="4"/>
  <c r="H31" i="13" s="1" a="1"/>
  <c r="H31" i="13" s="1"/>
  <c r="AD69" i="4"/>
  <c r="G31" i="13" s="1" a="1"/>
  <c r="G31" i="13" s="1"/>
  <c r="AB76" i="11"/>
  <c r="AB93" i="11"/>
  <c r="J13" i="15"/>
  <c r="J24" i="15"/>
  <c r="AB74" i="11"/>
  <c r="AR73" i="20"/>
  <c r="AR88" i="20"/>
  <c r="AS22" i="20"/>
  <c r="AR71" i="20"/>
  <c r="AR77" i="20"/>
  <c r="AR100" i="20"/>
  <c r="AR34" i="20"/>
  <c r="AR108" i="20"/>
  <c r="AS20" i="20"/>
  <c r="AR40" i="20"/>
  <c r="AR47" i="20"/>
  <c r="AR91" i="20"/>
  <c r="AR31" i="20"/>
  <c r="AR95" i="20"/>
  <c r="AR83" i="20"/>
  <c r="AR96" i="20"/>
  <c r="AS52" i="20"/>
  <c r="AR21" i="20"/>
  <c r="AR36" i="20"/>
  <c r="AR82" i="20"/>
  <c r="AR42" i="20"/>
  <c r="AR51" i="20"/>
  <c r="AR104" i="20"/>
  <c r="AR23" i="20"/>
  <c r="AR57" i="20"/>
  <c r="AR64" i="20"/>
  <c r="AR72" i="20"/>
  <c r="AR78" i="20"/>
  <c r="AR87" i="20"/>
  <c r="AR99" i="20"/>
  <c r="AR66" i="20"/>
  <c r="AR39" i="20"/>
  <c r="AR92" i="20"/>
  <c r="AR24" i="20"/>
  <c r="AR46" i="20"/>
  <c r="AR63" i="20"/>
  <c r="AR107" i="20"/>
  <c r="AJ30" i="20"/>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69" i="11"/>
  <c r="J10" i="15"/>
  <c r="AF31" i="20" a="1"/>
  <c r="AF31" i="20" s="1"/>
  <c r="AF34" i="20" a="1"/>
  <c r="AF34" i="20" s="1"/>
  <c r="AF36" i="20" a="1"/>
  <c r="AF36" i="20" s="1"/>
  <c r="AF39" i="20" a="1"/>
  <c r="AF39" i="20" s="1"/>
  <c r="AF40" i="20" a="1"/>
  <c r="AF40" i="20" s="1"/>
  <c r="AF42" i="20" a="1"/>
  <c r="AF42" i="20" s="1"/>
  <c r="AF46" i="20" a="1"/>
  <c r="AF46" i="20" s="1"/>
  <c r="AF47" i="20" a="1"/>
  <c r="AF47" i="20" s="1"/>
  <c r="AF51" i="20" a="1"/>
  <c r="AF51" i="20" s="1"/>
  <c r="AJ57" i="20"/>
  <c r="AF57" i="20" a="1"/>
  <c r="AF57" i="20" s="1"/>
  <c r="AF63" i="20" a="1"/>
  <c r="AF63" i="20" s="1"/>
  <c r="AF64" i="20" a="1"/>
  <c r="AF64" i="20" s="1"/>
  <c r="AF66" i="20" a="1"/>
  <c r="AF66" i="20" s="1"/>
  <c r="AF71" i="20" a="1"/>
  <c r="AF71" i="20" s="1"/>
  <c r="AF72" i="20" a="1"/>
  <c r="AF72" i="20" s="1"/>
  <c r="AF73" i="20" a="1"/>
  <c r="AF73" i="20" s="1"/>
  <c r="AF77" i="20" a="1"/>
  <c r="AF77" i="20" s="1"/>
  <c r="AF78" i="20" a="1"/>
  <c r="AF78" i="20" s="1"/>
  <c r="AF82" i="20" a="1"/>
  <c r="AF82" i="20" s="1"/>
  <c r="AF83" i="20" a="1"/>
  <c r="AF83" i="20" s="1"/>
  <c r="AF87" i="20" a="1"/>
  <c r="AF87" i="20" s="1"/>
  <c r="AF88" i="20" a="1"/>
  <c r="AF88" i="20" s="1"/>
  <c r="AF91" i="20" a="1"/>
  <c r="AF91" i="20" s="1"/>
  <c r="AF92" i="20" a="1"/>
  <c r="AF92" i="20" s="1"/>
  <c r="AF95" i="20" a="1"/>
  <c r="AF95" i="20" s="1"/>
  <c r="AF96" i="20" a="1"/>
  <c r="AF96" i="20" s="1"/>
  <c r="AF99" i="20" a="1"/>
  <c r="AF99" i="20" s="1"/>
  <c r="AF100" i="20" a="1"/>
  <c r="AF100" i="20" s="1"/>
  <c r="AF104" i="20" a="1"/>
  <c r="AF104" i="20" s="1"/>
  <c r="AF107" i="20" a="1"/>
  <c r="AF107" i="20" s="1"/>
  <c r="AF108" i="20" a="1"/>
  <c r="AF108" i="20" s="1"/>
  <c r="AG52" i="20" a="1"/>
  <c r="AG52" i="20" s="1"/>
  <c r="AG22" i="20" a="1"/>
  <c r="AG22" i="20" s="1"/>
  <c r="AG20" i="20" a="1"/>
  <c r="AG20" i="20" s="1"/>
  <c r="AJ21" i="20"/>
  <c r="AF21" i="20" a="1"/>
  <c r="AF21" i="20" s="1"/>
  <c r="AJ23" i="20"/>
  <c r="AF23" i="20" a="1"/>
  <c r="AF23" i="20" s="1"/>
  <c r="AJ24" i="20"/>
  <c r="AF24" i="20" a="1"/>
  <c r="AF24" i="20" s="1"/>
  <c r="W72" i="4"/>
  <c r="X72" i="4" s="1"/>
  <c r="X73" i="4" s="1"/>
  <c r="O110" i="4"/>
  <c r="K110" i="4"/>
  <c r="N82" i="4"/>
  <c r="J82" i="4"/>
  <c r="AB109" i="11"/>
  <c r="AB107" i="11"/>
  <c r="J33" i="15"/>
  <c r="P27" i="3"/>
  <c r="P36" i="3"/>
  <c r="J113" i="4"/>
  <c r="K113" i="4" s="1"/>
  <c r="O130" i="4"/>
  <c r="K130" i="4"/>
  <c r="O59" i="4"/>
  <c r="O131" i="4" s="1"/>
  <c r="O132" i="4" s="1"/>
  <c r="O133" i="4" s="1"/>
  <c r="K59" i="4"/>
  <c r="N135" i="4"/>
  <c r="N134" i="4"/>
  <c r="AG44" i="3"/>
  <c r="E102" i="11"/>
  <c r="AJ73" i="8"/>
  <c r="P41" i="10"/>
  <c r="AJ47" i="8"/>
  <c r="AB129" i="4"/>
  <c r="E36" i="13" s="1" a="1"/>
  <c r="E36" i="13" s="1"/>
  <c r="AJ78" i="8"/>
  <c r="AJ42" i="8"/>
  <c r="AB115" i="4"/>
  <c r="E45" i="13" s="1" a="1"/>
  <c r="E45" i="13" s="1"/>
  <c r="AB114" i="4"/>
  <c r="E47" i="13" s="1" a="1"/>
  <c r="E47" i="13" s="1"/>
  <c r="AJ34" i="8"/>
  <c r="AB122" i="4"/>
  <c r="E18" i="13" s="1" a="1"/>
  <c r="E18" i="13" s="1"/>
  <c r="AJ64" i="8"/>
  <c r="AB110" i="4"/>
  <c r="E67" i="13" s="1" a="1"/>
  <c r="E67" i="13" s="1"/>
  <c r="AJ36" i="8"/>
  <c r="AB128" i="4"/>
  <c r="E25" i="13" s="1" a="1"/>
  <c r="E25" i="13" s="1"/>
  <c r="L116" i="4"/>
  <c r="Q116" i="4" s="1"/>
  <c r="P116" i="4"/>
  <c r="N127" i="4"/>
  <c r="J127" i="4"/>
  <c r="AJ23" i="8"/>
  <c r="AJ103" i="8"/>
  <c r="AB79" i="4"/>
  <c r="E79" i="13" s="1" a="1"/>
  <c r="E79" i="13" s="1"/>
  <c r="AJ83" i="8"/>
  <c r="AJ88" i="8"/>
  <c r="AB76" i="4"/>
  <c r="E76" i="13" s="1" a="1"/>
  <c r="E76" i="13" s="1"/>
  <c r="AJ108" i="8"/>
  <c r="AB80" i="4"/>
  <c r="E80" i="13" s="1" a="1"/>
  <c r="E80" i="13" s="1"/>
  <c r="AJ93" i="8"/>
  <c r="AB77" i="4"/>
  <c r="E77" i="13" s="1" a="1"/>
  <c r="E77" i="13" s="1"/>
  <c r="AJ98" i="8"/>
  <c r="AB78" i="4"/>
  <c r="E78" i="13" s="1" a="1"/>
  <c r="E78" i="13" s="1"/>
  <c r="E88" i="9"/>
  <c r="AE65" i="4"/>
  <c r="H27" i="13" s="1" a="1"/>
  <c r="H27" i="13" s="1"/>
  <c r="AK22" i="8"/>
  <c r="AJ24" i="8"/>
  <c r="AC129" i="4"/>
  <c r="F36" i="13" s="1" a="1"/>
  <c r="F36" i="13" s="1"/>
  <c r="AC73" i="4"/>
  <c r="AC81" i="4"/>
  <c r="F81" i="13" s="1" a="1"/>
  <c r="F81" i="13" s="1"/>
  <c r="AJ40" i="8"/>
  <c r="AC116" i="4"/>
  <c r="F46" i="13" s="1" a="1"/>
  <c r="F46" i="13" s="1"/>
  <c r="AC78" i="4"/>
  <c r="F78" i="13" s="1" a="1"/>
  <c r="F78" i="13" s="1"/>
  <c r="AC108" i="4"/>
  <c r="F65" i="13" s="1" a="1"/>
  <c r="F65" i="13" s="1"/>
  <c r="AK30" i="8"/>
  <c r="AC122" i="4"/>
  <c r="F18" i="13" s="1" a="1"/>
  <c r="F18" i="13" s="1"/>
  <c r="AJ72" i="8"/>
  <c r="AC72" i="4"/>
  <c r="F72" i="13" s="1" a="1"/>
  <c r="F72" i="13" s="1"/>
  <c r="F73" i="13" s="1"/>
  <c r="AJ66" i="8"/>
  <c r="AC75" i="4"/>
  <c r="F75" i="13" s="1" a="1"/>
  <c r="F75" i="13" s="1"/>
  <c r="AC66" i="4"/>
  <c r="F30" i="13" s="1" a="1"/>
  <c r="F30" i="13" s="1"/>
  <c r="AJ30" i="8"/>
  <c r="AC77" i="4"/>
  <c r="F77" i="13" s="1" a="1"/>
  <c r="F77" i="13" s="1"/>
  <c r="AC68" i="4"/>
  <c r="F34" i="13" s="1" a="1"/>
  <c r="F34" i="13" s="1"/>
  <c r="AJ21" i="8"/>
  <c r="AC74" i="4"/>
  <c r="F74" i="13" s="1" a="1"/>
  <c r="F74" i="13" s="1"/>
  <c r="AC64" i="4"/>
  <c r="F29" i="13" s="1" a="1"/>
  <c r="F29" i="13" s="1"/>
  <c r="AC80" i="4"/>
  <c r="F80" i="13" s="1" a="1"/>
  <c r="F80" i="13" s="1"/>
  <c r="AJ51" i="8"/>
  <c r="AC110" i="4"/>
  <c r="F67" i="13" s="1" a="1"/>
  <c r="F67" i="13" s="1"/>
  <c r="AD67" i="4"/>
  <c r="G28" i="13" s="1" a="1"/>
  <c r="G28" i="13" s="1"/>
  <c r="AC79" i="4"/>
  <c r="F79" i="13" s="1" a="1"/>
  <c r="F79" i="13" s="1"/>
  <c r="AC124" i="4"/>
  <c r="F19" i="13" s="1" a="1"/>
  <c r="F19" i="13" s="1"/>
  <c r="AJ31" i="8"/>
  <c r="AJ46" i="8"/>
  <c r="AC128" i="4"/>
  <c r="F25" i="13" s="1" a="1"/>
  <c r="F25" i="13" s="1"/>
  <c r="AC76" i="4"/>
  <c r="F76" i="13" s="1" a="1"/>
  <c r="F76" i="13" s="1"/>
  <c r="AJ113" i="8"/>
  <c r="Z116" i="7"/>
  <c r="AS91" i="7"/>
  <c r="AS77" i="7"/>
  <c r="AU57" i="7"/>
  <c r="AS107" i="7"/>
  <c r="AT39" i="7"/>
  <c r="AS71" i="7"/>
  <c r="AS87" i="7"/>
  <c r="AH21" i="7" a="1"/>
  <c r="AH21" i="7" s="1"/>
  <c r="AU21" i="7"/>
  <c r="AB28" i="7" a="1"/>
  <c r="AB28" i="7" s="1"/>
  <c r="AB23" i="7" a="1"/>
  <c r="AB23" i="7" s="1"/>
  <c r="AB22" i="7" a="1"/>
  <c r="AB22" i="7" s="1"/>
  <c r="AB21" i="7" a="1"/>
  <c r="AB21" i="7" s="1"/>
  <c r="AB29" i="7" a="1"/>
  <c r="AB29" i="7" s="1"/>
  <c r="AB26" i="7" a="1"/>
  <c r="AB26" i="7" s="1"/>
  <c r="AB25" i="7" a="1"/>
  <c r="AB25" i="7" s="1"/>
  <c r="AB24" i="7" a="1"/>
  <c r="AB24" i="7" s="1"/>
  <c r="AB20" i="7" a="1"/>
  <c r="AB20" i="7" s="1"/>
  <c r="AB27" i="7" a="1"/>
  <c r="AB27" i="7" s="1"/>
  <c r="AG87" i="7" a="1"/>
  <c r="AG87" i="7" s="1"/>
  <c r="Y122" i="8"/>
  <c r="AG77" i="7" a="1"/>
  <c r="AG77" i="7" s="1"/>
  <c r="W121" i="4"/>
  <c r="X121" i="4" s="1"/>
  <c r="W122" i="4"/>
  <c r="X122" i="4" s="1"/>
  <c r="AK57" i="7"/>
  <c r="AG107" i="7" a="1"/>
  <c r="AG107" i="7" s="1"/>
  <c r="W127" i="4"/>
  <c r="X127" i="4" s="1"/>
  <c r="W124" i="4"/>
  <c r="X124" i="4" s="1"/>
  <c r="AK27" i="8"/>
  <c r="AG71" i="7" a="1"/>
  <c r="AG71" i="7" s="1"/>
  <c r="AH39" i="7" a="1"/>
  <c r="AH39" i="7" s="1"/>
  <c r="AE59" i="4"/>
  <c r="H39" i="13" s="1" a="1"/>
  <c r="H39" i="13" s="1"/>
  <c r="W114" i="4"/>
  <c r="X114" i="4" s="1"/>
  <c r="AG91" i="7" a="1"/>
  <c r="AG91"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N43" i="13" s="1" a="1"/>
  <c r="N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N56" i="13" s="1" a="1"/>
  <c r="N56" i="13" s="1"/>
  <c r="O109" i="4"/>
  <c r="K109" i="4"/>
  <c r="P28" i="3"/>
  <c r="AD28" i="3"/>
  <c r="N121" i="4"/>
  <c r="J121" i="4"/>
  <c r="R83" i="4"/>
  <c r="M100" i="4"/>
  <c r="H122" i="3"/>
  <c r="Q86" i="4"/>
  <c r="L103" i="4"/>
  <c r="Q103" i="4" s="1"/>
  <c r="K77" i="4"/>
  <c r="O77" i="4"/>
  <c r="AR25" i="20" a="1"/>
  <c r="AR26" i="7" a="1"/>
  <c r="AS73" i="20" a="1"/>
  <c r="AT87" i="7" a="1"/>
  <c r="AS96" i="20" a="1"/>
  <c r="AS31" i="20" a="1"/>
  <c r="AS99" i="20" a="1"/>
  <c r="AS66" i="20" a="1"/>
  <c r="AT20" i="20" a="1"/>
  <c r="AS88" i="20" a="1"/>
  <c r="AV57" i="7" a="1"/>
  <c r="AS21" i="20" a="1"/>
  <c r="AS42" i="20" a="1"/>
  <c r="AS40" i="20" a="1"/>
  <c r="AS71" i="20" a="1"/>
  <c r="AT52" i="20" a="1"/>
  <c r="AS92" i="20" a="1"/>
  <c r="AS83" i="20" a="1"/>
  <c r="AS47" i="20" a="1"/>
  <c r="AS34" i="20" a="1"/>
  <c r="AS39" i="20" a="1"/>
  <c r="AS87" i="20" a="1"/>
  <c r="AS91" i="20" a="1"/>
  <c r="AS51" i="20" a="1"/>
  <c r="AS57" i="20" a="1"/>
  <c r="AS63" i="20" a="1"/>
  <c r="AS78" i="20" a="1"/>
  <c r="AS104" i="20" a="1"/>
  <c r="AS24" i="20" a="1"/>
  <c r="AT91" i="7" a="1"/>
  <c r="AS23" i="20" a="1"/>
  <c r="AT77" i="7" a="1"/>
  <c r="AS82" i="20" a="1"/>
  <c r="AT22" i="20" a="1"/>
  <c r="AS77" i="20" a="1"/>
  <c r="AS64" i="20" a="1"/>
  <c r="AS100" i="20" a="1"/>
  <c r="AS108" i="20" a="1"/>
  <c r="AT71" i="7" a="1"/>
  <c r="AS95" i="20" a="1"/>
  <c r="AT107" i="7" a="1"/>
  <c r="AS107" i="20" a="1"/>
  <c r="AS36" i="20" a="1"/>
  <c r="AU39" i="7" a="1"/>
  <c r="AS46" i="20" a="1"/>
  <c r="AS72" i="20" a="1"/>
  <c r="AB84" i="11" l="1"/>
  <c r="AB95" i="11"/>
  <c r="AJ25" i="7"/>
  <c r="AT24" i="7"/>
  <c r="AG24" i="7" a="1"/>
  <c r="AG24" i="7" s="1"/>
  <c r="AR25" i="20"/>
  <c r="AE25" i="20" a="1"/>
  <c r="AE25" i="20" s="1"/>
  <c r="AR26" i="7"/>
  <c r="AE26" i="7" a="1"/>
  <c r="AE26" i="7" s="1"/>
  <c r="AJ26" i="7" s="1"/>
  <c r="AD26" i="20"/>
  <c r="A13" i="6"/>
  <c r="AU22" i="7"/>
  <c r="AH22" i="7" a="1"/>
  <c r="AH22" i="7" s="1"/>
  <c r="AT25" i="7"/>
  <c r="AG25" i="7" a="1"/>
  <c r="AG25" i="7" s="1"/>
  <c r="AH23" i="7" a="1"/>
  <c r="AH23" i="7" s="1"/>
  <c r="AU23" i="7"/>
  <c r="AU20" i="7"/>
  <c r="AH20" i="7" a="1"/>
  <c r="AH20" i="7" s="1"/>
  <c r="W73" i="4"/>
  <c r="AT52" i="20"/>
  <c r="AS99" i="20"/>
  <c r="AS87" i="20"/>
  <c r="AS78" i="20"/>
  <c r="AS72" i="20"/>
  <c r="AS64" i="20"/>
  <c r="AS63" i="20"/>
  <c r="AS21" i="20"/>
  <c r="AS108" i="20"/>
  <c r="AS96" i="20"/>
  <c r="AS83" i="20"/>
  <c r="AS57" i="20"/>
  <c r="AS100" i="20"/>
  <c r="AS91" i="20"/>
  <c r="AT20" i="20"/>
  <c r="AS51" i="20"/>
  <c r="AS42" i="20"/>
  <c r="AS39" i="20"/>
  <c r="AS46" i="20"/>
  <c r="AS88" i="20"/>
  <c r="AT22" i="20"/>
  <c r="AS47" i="20"/>
  <c r="AS40" i="20"/>
  <c r="AS36" i="20"/>
  <c r="AS24" i="20"/>
  <c r="AS107" i="20"/>
  <c r="AS95" i="20"/>
  <c r="AS77" i="20"/>
  <c r="AS71" i="20"/>
  <c r="AS34" i="20"/>
  <c r="AS104" i="20"/>
  <c r="AS92" i="20"/>
  <c r="AS82" i="20"/>
  <c r="AS73" i="20"/>
  <c r="AS66" i="20"/>
  <c r="AS23" i="20"/>
  <c r="AS31" i="20"/>
  <c r="AG24" i="20" a="1"/>
  <c r="AG24" i="20" s="1"/>
  <c r="AG23" i="20" a="1"/>
  <c r="AG23" i="20" s="1"/>
  <c r="AG21" i="20" a="1"/>
  <c r="AG21" i="20" s="1"/>
  <c r="AH20" i="20" a="1"/>
  <c r="AH20" i="20" s="1"/>
  <c r="AH22" i="20" a="1"/>
  <c r="AH22" i="20" s="1"/>
  <c r="AH52" i="20" a="1"/>
  <c r="AH52" i="20" s="1"/>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63" i="20" a="1"/>
  <c r="AG63" i="20" s="1"/>
  <c r="AG57" i="20" a="1"/>
  <c r="AG57"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W132" i="4"/>
  <c r="AC115" i="4"/>
  <c r="F45" i="13" s="1" a="1"/>
  <c r="F45" i="13" s="1"/>
  <c r="AC114" i="4"/>
  <c r="F47" i="13" s="1" a="1"/>
  <c r="F47" i="13" s="1"/>
  <c r="L113" i="4"/>
  <c r="Q113" i="4" s="1"/>
  <c r="P113" i="4"/>
  <c r="O127" i="4"/>
  <c r="K127" i="4"/>
  <c r="AD45" i="3"/>
  <c r="AE46" i="3" s="1"/>
  <c r="AD77" i="4"/>
  <c r="G77" i="13" s="1" a="1"/>
  <c r="G77" i="13" s="1"/>
  <c r="AD122" i="4"/>
  <c r="G18" i="13" s="1" a="1"/>
  <c r="G18" i="13" s="1"/>
  <c r="AD110" i="4"/>
  <c r="G67" i="13" s="1" a="1"/>
  <c r="G67" i="13" s="1"/>
  <c r="AD78" i="4"/>
  <c r="G78" i="13" s="1" a="1"/>
  <c r="G78" i="13" s="1"/>
  <c r="AD66" i="4"/>
  <c r="G30" i="13" s="1" a="1"/>
  <c r="G30" i="13" s="1"/>
  <c r="AD75" i="4"/>
  <c r="G75" i="13" s="1" a="1"/>
  <c r="G75" i="13" s="1"/>
  <c r="AD124" i="4"/>
  <c r="G19" i="13" s="1" a="1"/>
  <c r="G19" i="13" s="1"/>
  <c r="AD116" i="4"/>
  <c r="G46" i="13" s="1" a="1"/>
  <c r="G46" i="13" s="1"/>
  <c r="AD129" i="4"/>
  <c r="G36" i="13" s="1" a="1"/>
  <c r="G36" i="13" s="1"/>
  <c r="AD79" i="4"/>
  <c r="G79" i="13" s="1" a="1"/>
  <c r="G79" i="13" s="1"/>
  <c r="AD72" i="4"/>
  <c r="G72" i="13" s="1" a="1"/>
  <c r="G72" i="13" s="1"/>
  <c r="G73" i="13" s="1"/>
  <c r="AD108" i="4"/>
  <c r="G65" i="13" s="1" a="1"/>
  <c r="G65" i="13" s="1"/>
  <c r="AD64" i="4"/>
  <c r="G29" i="13" s="1" a="1"/>
  <c r="G29" i="13" s="1"/>
  <c r="AE67" i="4"/>
  <c r="H28" i="13" s="1" a="1"/>
  <c r="H28" i="13" s="1"/>
  <c r="AD74" i="4"/>
  <c r="G74" i="13" s="1" a="1"/>
  <c r="G74" i="13" s="1"/>
  <c r="AD81" i="4"/>
  <c r="G81" i="13" s="1" a="1"/>
  <c r="G81" i="13" s="1"/>
  <c r="AD80" i="4"/>
  <c r="G80" i="13" s="1" a="1"/>
  <c r="G80" i="13" s="1"/>
  <c r="AD128" i="4"/>
  <c r="G25" i="13" s="1" a="1"/>
  <c r="G25" i="13" s="1"/>
  <c r="AD76" i="4"/>
  <c r="G76" i="13" s="1" a="1"/>
  <c r="G76" i="13" s="1"/>
  <c r="AD68" i="4"/>
  <c r="G34" i="13" s="1" a="1"/>
  <c r="G34" i="13" s="1"/>
  <c r="AD73" i="4"/>
  <c r="AT91" i="7"/>
  <c r="AT87" i="7"/>
  <c r="AV57" i="7"/>
  <c r="AT107" i="7"/>
  <c r="AT77" i="7"/>
  <c r="AT71" i="7"/>
  <c r="AU39" i="7"/>
  <c r="AH71" i="7" a="1"/>
  <c r="AH71" i="7" s="1"/>
  <c r="AH91" i="7" a="1"/>
  <c r="AH91" i="7" s="1"/>
  <c r="AH87" i="7" a="1"/>
  <c r="AH87" i="7" s="1"/>
  <c r="AV21" i="7"/>
  <c r="AK21" i="7"/>
  <c r="AH107" i="7" a="1"/>
  <c r="AH107" i="7" s="1"/>
  <c r="AH77" i="7" a="1"/>
  <c r="AH77" i="7" s="1"/>
  <c r="AA116" i="7"/>
  <c r="AK52" i="8"/>
  <c r="AK39" i="7"/>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S25" i="20" a="1"/>
  <c r="AR26" i="20" a="1"/>
  <c r="AT88" i="20" a="1"/>
  <c r="AU22" i="20" a="1"/>
  <c r="AU91" i="7" a="1"/>
  <c r="AT95" i="20" a="1"/>
  <c r="AT47" i="20" a="1"/>
  <c r="AT36" i="20" a="1"/>
  <c r="AT72" i="20" a="1"/>
  <c r="AT51" i="20" a="1"/>
  <c r="AT87" i="20" a="1"/>
  <c r="AU77" i="7" a="1"/>
  <c r="AT78" i="20" a="1"/>
  <c r="AT77" i="20" a="1"/>
  <c r="AT99" i="20" a="1"/>
  <c r="AT21" i="20" a="1"/>
  <c r="AT57" i="20" a="1"/>
  <c r="AT104" i="20" a="1"/>
  <c r="AT34" i="20" a="1"/>
  <c r="AU87" i="7" a="1"/>
  <c r="AU20" i="20" a="1"/>
  <c r="AT82" i="20" a="1"/>
  <c r="AT107" i="20" a="1"/>
  <c r="AT92" i="20" a="1"/>
  <c r="AU71" i="7" a="1"/>
  <c r="AV39" i="7" a="1"/>
  <c r="AT31" i="20" a="1"/>
  <c r="AT83" i="20" a="1"/>
  <c r="AT96" i="20" a="1"/>
  <c r="AT63" i="20" a="1"/>
  <c r="AT39" i="20" a="1"/>
  <c r="AT71" i="20" a="1"/>
  <c r="AT24" i="20" a="1"/>
  <c r="AT46" i="20" a="1"/>
  <c r="AU107" i="7" a="1"/>
  <c r="AT23" i="20" a="1"/>
  <c r="AT91" i="20" a="1"/>
  <c r="AT108" i="20" a="1"/>
  <c r="AT40" i="20" a="1"/>
  <c r="AT73" i="20" a="1"/>
  <c r="AT42" i="20" a="1"/>
  <c r="AT100" i="20" a="1"/>
  <c r="AU52" i="20" a="1"/>
  <c r="AT64" i="20" a="1"/>
  <c r="AT66" i="20" a="1"/>
  <c r="AU24" i="7" l="1"/>
  <c r="AH24" i="7" a="1"/>
  <c r="AH24" i="7" s="1"/>
  <c r="AS25" i="20"/>
  <c r="AJ25" i="20"/>
  <c r="AF25" i="20" a="1"/>
  <c r="AF25" i="20" s="1"/>
  <c r="AJ25" i="8"/>
  <c r="AR26" i="20"/>
  <c r="AV20" i="7"/>
  <c r="AK20" i="7"/>
  <c r="AH25" i="7" a="1"/>
  <c r="AH25" i="7" s="1"/>
  <c r="AU25" i="7"/>
  <c r="AV23" i="7"/>
  <c r="AK23" i="7"/>
  <c r="AV22" i="7"/>
  <c r="AK22" i="7"/>
  <c r="A14" i="6"/>
  <c r="V27" i="7" s="1" a="1"/>
  <c r="V27" i="7" s="1"/>
  <c r="V116" i="7" s="1"/>
  <c r="AE26" i="20" a="1"/>
  <c r="AE26" i="20" s="1"/>
  <c r="AJ26" i="20" s="1"/>
  <c r="AS26" i="7"/>
  <c r="AF26" i="7" a="1"/>
  <c r="AF26" i="7" s="1"/>
  <c r="AT96" i="20"/>
  <c r="AT31" i="20"/>
  <c r="AT46" i="20"/>
  <c r="AT66" i="20"/>
  <c r="AT100" i="20"/>
  <c r="AT24" i="20"/>
  <c r="AT51" i="20"/>
  <c r="AT72" i="20"/>
  <c r="AT92" i="20"/>
  <c r="AT99" i="20"/>
  <c r="AT34" i="20"/>
  <c r="AT71" i="20"/>
  <c r="AT57" i="20"/>
  <c r="AT73" i="20"/>
  <c r="AT88" i="20"/>
  <c r="AT95" i="20"/>
  <c r="AT36" i="20"/>
  <c r="AT78" i="20"/>
  <c r="AU22" i="20"/>
  <c r="AT63" i="20"/>
  <c r="AT77" i="20"/>
  <c r="AT83" i="20"/>
  <c r="AT91" i="20"/>
  <c r="AT47" i="20"/>
  <c r="AT39" i="20"/>
  <c r="AT82" i="20"/>
  <c r="AT108" i="20"/>
  <c r="AU20" i="20"/>
  <c r="AT87" i="20"/>
  <c r="AT40" i="20"/>
  <c r="AT104" i="20"/>
  <c r="AU52" i="20"/>
  <c r="AT21" i="20"/>
  <c r="AT42" i="20"/>
  <c r="AT64" i="20"/>
  <c r="AT107" i="20"/>
  <c r="AT23" i="20"/>
  <c r="AT42" i="4"/>
  <c r="AU42" i="4" s="1"/>
  <c r="Q79" i="11" a="1"/>
  <c r="Q79" i="11" s="1"/>
  <c r="M112" i="10"/>
  <c r="L80" i="10"/>
  <c r="L116" i="10"/>
  <c r="N116" i="10" s="1"/>
  <c r="L118" i="10"/>
  <c r="K112" i="10"/>
  <c r="L114" i="10"/>
  <c r="N114" i="10" s="1"/>
  <c r="M109" i="10"/>
  <c r="K109" i="10" s="1"/>
  <c r="M79" i="10"/>
  <c r="M78" i="10"/>
  <c r="AH31" i="20" a="1"/>
  <c r="AH31" i="20" s="1"/>
  <c r="AH34" i="20" a="1"/>
  <c r="AH34" i="20" s="1"/>
  <c r="AH36" i="20" a="1"/>
  <c r="AH36" i="20" s="1"/>
  <c r="AH39" i="20" a="1"/>
  <c r="AH39" i="20" s="1"/>
  <c r="AH40" i="20" a="1"/>
  <c r="AH40" i="20" s="1"/>
  <c r="AH42" i="20" a="1"/>
  <c r="AH42" i="20" s="1"/>
  <c r="AH46" i="20" a="1"/>
  <c r="AH46" i="20" s="1"/>
  <c r="AH47" i="20" a="1"/>
  <c r="AH47" i="20" s="1"/>
  <c r="AH51" i="20" a="1"/>
  <c r="AH51" i="20" s="1"/>
  <c r="AH57" i="20" a="1"/>
  <c r="AH57" i="20" s="1"/>
  <c r="AH63" i="20" a="1"/>
  <c r="AH63"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AK52" i="20"/>
  <c r="AK22" i="20"/>
  <c r="AN20" i="20"/>
  <c r="AK20" i="20"/>
  <c r="AH21" i="20" a="1"/>
  <c r="AH21" i="20" s="1"/>
  <c r="AH23" i="20" a="1"/>
  <c r="AH23" i="20" s="1"/>
  <c r="AH24" i="20" a="1"/>
  <c r="AH24" i="20" s="1"/>
  <c r="P16" i="10"/>
  <c r="S16" i="10" s="1"/>
  <c r="Q18" i="10"/>
  <c r="Q22" i="10"/>
  <c r="Q23" i="10"/>
  <c r="Q20" i="10"/>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F88" i="9"/>
  <c r="AD115" i="4"/>
  <c r="G45" i="13" s="1" a="1"/>
  <c r="G45" i="13" s="1"/>
  <c r="AD114" i="4"/>
  <c r="G47" i="13" s="1" a="1"/>
  <c r="G47" i="13" s="1"/>
  <c r="L127" i="4"/>
  <c r="Q127" i="4" s="1"/>
  <c r="P127" i="4"/>
  <c r="AE116" i="4"/>
  <c r="H46" i="13" s="1" a="1"/>
  <c r="H46" i="13" s="1"/>
  <c r="AE122" i="4"/>
  <c r="H18" i="13" s="1" a="1"/>
  <c r="H18" i="13" s="1"/>
  <c r="AE108" i="4"/>
  <c r="H65" i="13" s="1" a="1"/>
  <c r="H65" i="13" s="1"/>
  <c r="AE77" i="4"/>
  <c r="H77" i="13" s="1" a="1"/>
  <c r="H77" i="13" s="1"/>
  <c r="AE73" i="4"/>
  <c r="AE72" i="4"/>
  <c r="H72" i="13" s="1" a="1"/>
  <c r="H72" i="13" s="1"/>
  <c r="H73" i="13" s="1"/>
  <c r="AE76" i="4"/>
  <c r="H76" i="13" s="1" a="1"/>
  <c r="H76" i="13" s="1"/>
  <c r="AE81" i="4"/>
  <c r="H81" i="13" s="1" a="1"/>
  <c r="H81" i="13" s="1"/>
  <c r="AE128" i="4"/>
  <c r="H25" i="13" s="1" a="1"/>
  <c r="H25" i="13" s="1"/>
  <c r="AE74" i="4"/>
  <c r="H74" i="13" s="1" a="1"/>
  <c r="H74" i="13" s="1"/>
  <c r="AE124" i="4"/>
  <c r="H19" i="13" s="1" a="1"/>
  <c r="H19" i="13" s="1"/>
  <c r="AE78" i="4"/>
  <c r="H78" i="13" s="1" a="1"/>
  <c r="H78" i="13" s="1"/>
  <c r="AE110" i="4"/>
  <c r="H67" i="13" s="1" a="1"/>
  <c r="H67" i="13" s="1"/>
  <c r="AE79" i="4"/>
  <c r="H79" i="13" s="1" a="1"/>
  <c r="H79" i="13" s="1"/>
  <c r="AK20" i="8"/>
  <c r="AN20" i="8"/>
  <c r="AE66" i="4"/>
  <c r="H30" i="13" s="1" a="1"/>
  <c r="H30" i="13" s="1"/>
  <c r="AE64" i="4"/>
  <c r="H29" i="13" s="1" a="1"/>
  <c r="H29" i="13" s="1"/>
  <c r="AE80" i="4"/>
  <c r="H80" i="13" s="1" a="1"/>
  <c r="H80" i="13" s="1"/>
  <c r="AE68" i="4"/>
  <c r="H34" i="13" s="1" a="1"/>
  <c r="H34" i="13" s="1"/>
  <c r="AE129" i="4"/>
  <c r="H36" i="13" s="1" a="1"/>
  <c r="H36" i="13" s="1"/>
  <c r="AE75" i="4"/>
  <c r="H75" i="13" s="1" a="1"/>
  <c r="H75" i="13" s="1"/>
  <c r="AU107" i="7"/>
  <c r="AV39" i="7"/>
  <c r="AU77" i="7"/>
  <c r="AU87" i="7"/>
  <c r="AU71" i="7"/>
  <c r="AU91" i="7"/>
  <c r="AL42" i="3"/>
  <c r="AK71" i="7"/>
  <c r="AK87" i="7"/>
  <c r="Z122" i="8"/>
  <c r="AK91" i="7"/>
  <c r="AK77" i="7"/>
  <c r="AK107"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T25" i="20" a="1"/>
  <c r="AS26" i="20" a="1"/>
  <c r="AU47" i="20" a="1"/>
  <c r="AU77" i="20" a="1"/>
  <c r="AV71" i="7" a="1"/>
  <c r="AU71" i="20" a="1"/>
  <c r="AV22" i="20" a="1"/>
  <c r="AU99" i="20" a="1"/>
  <c r="AU66" i="20" a="1"/>
  <c r="AV20" i="20" a="1"/>
  <c r="AU92" i="20" a="1"/>
  <c r="AU46" i="20" a="1"/>
  <c r="AU23" i="20" a="1"/>
  <c r="AU34" i="20" a="1"/>
  <c r="AU36" i="20" a="1"/>
  <c r="AU39" i="20" a="1"/>
  <c r="AU24" i="20" a="1"/>
  <c r="AU57" i="20" a="1"/>
  <c r="AU82" i="20" a="1"/>
  <c r="AV91" i="7" a="1"/>
  <c r="AU42" i="20" a="1"/>
  <c r="AU64" i="20" a="1"/>
  <c r="AU88" i="20" a="1"/>
  <c r="AU87" i="20" a="1"/>
  <c r="AV77" i="7" a="1"/>
  <c r="AU83" i="20" a="1"/>
  <c r="AU91" i="20" a="1"/>
  <c r="AU104" i="20" a="1"/>
  <c r="AU72" i="20" a="1"/>
  <c r="AU51" i="20" a="1"/>
  <c r="AU21" i="20" a="1"/>
  <c r="AU95" i="20" a="1"/>
  <c r="AU63" i="20" a="1"/>
  <c r="AU31" i="20" a="1"/>
  <c r="AU100" i="20" a="1"/>
  <c r="AV87" i="7" a="1"/>
  <c r="AU78" i="20" a="1"/>
  <c r="AU40" i="20" a="1"/>
  <c r="AU96" i="20" a="1"/>
  <c r="AU107" i="20" a="1"/>
  <c r="AU108" i="20" a="1"/>
  <c r="AV52" i="20" a="1"/>
  <c r="AV107" i="7" a="1"/>
  <c r="AU73" i="20" a="1"/>
  <c r="X27" i="7" l="1" a="1"/>
  <c r="X27" i="7" s="1"/>
  <c r="AV24" i="7"/>
  <c r="AK24" i="7"/>
  <c r="X27" i="20" a="1"/>
  <c r="X27" i="20" s="1"/>
  <c r="AT25" i="20"/>
  <c r="AJ26" i="8"/>
  <c r="AG25" i="20" a="1"/>
  <c r="AG25" i="20" s="1"/>
  <c r="AS26" i="20"/>
  <c r="AF26" i="20" a="1"/>
  <c r="AF26" i="20" s="1"/>
  <c r="AV25" i="7"/>
  <c r="AK25" i="7"/>
  <c r="AT26" i="7"/>
  <c r="AG26" i="7" a="1"/>
  <c r="AG26" i="7" s="1"/>
  <c r="A15" i="6"/>
  <c r="W28" i="7" s="1" a="1"/>
  <c r="W28" i="7" s="1"/>
  <c r="W27" i="7" a="1"/>
  <c r="W27" i="7" s="1"/>
  <c r="W27" i="20" a="1"/>
  <c r="W27" i="20" s="1"/>
  <c r="V27" i="20" a="1"/>
  <c r="V27" i="20" s="1"/>
  <c r="V116" i="20" s="1"/>
  <c r="AD27" i="7" a="1"/>
  <c r="AD27" i="7" s="1"/>
  <c r="AU95" i="20"/>
  <c r="AU23" i="20"/>
  <c r="AU34" i="20"/>
  <c r="AU104" i="20"/>
  <c r="AU92" i="20"/>
  <c r="AU82" i="20"/>
  <c r="AU73" i="20"/>
  <c r="AU66" i="20"/>
  <c r="AU31" i="20"/>
  <c r="AU107" i="20"/>
  <c r="AU71" i="20"/>
  <c r="AU21" i="20"/>
  <c r="AU77" i="20"/>
  <c r="AU99" i="20"/>
  <c r="AU87" i="20"/>
  <c r="AU78" i="20"/>
  <c r="AU72" i="20"/>
  <c r="AU64" i="20"/>
  <c r="AU63" i="20"/>
  <c r="AV52" i="20"/>
  <c r="AV20" i="20"/>
  <c r="AU108" i="20"/>
  <c r="AU96" i="20"/>
  <c r="AU83" i="20"/>
  <c r="AU57" i="20"/>
  <c r="AU46" i="20"/>
  <c r="AU100" i="20"/>
  <c r="AU91" i="20"/>
  <c r="AU51" i="20"/>
  <c r="AU42" i="20"/>
  <c r="AU39" i="20"/>
  <c r="AV22" i="20"/>
  <c r="AU88" i="20"/>
  <c r="AU47" i="20"/>
  <c r="AU40" i="20"/>
  <c r="AU36" i="20"/>
  <c r="AU24" i="20"/>
  <c r="AK24" i="20"/>
  <c r="AK23" i="20"/>
  <c r="AK21" i="20"/>
  <c r="AK108" i="20"/>
  <c r="AK107" i="20"/>
  <c r="AK104" i="20"/>
  <c r="AK100" i="20"/>
  <c r="AK99" i="20"/>
  <c r="AK96" i="20"/>
  <c r="AK95" i="20"/>
  <c r="AK92" i="20"/>
  <c r="AK91" i="20"/>
  <c r="AK88" i="20"/>
  <c r="AK87" i="20"/>
  <c r="AK83" i="20"/>
  <c r="AK82" i="20"/>
  <c r="AK78" i="20"/>
  <c r="AK77" i="20"/>
  <c r="AK73" i="20"/>
  <c r="AK72" i="20"/>
  <c r="AK71" i="20"/>
  <c r="AK66" i="20"/>
  <c r="AK64" i="20"/>
  <c r="AK63" i="20"/>
  <c r="AK57" i="20"/>
  <c r="AK51" i="20"/>
  <c r="AK47" i="20"/>
  <c r="AK46" i="20"/>
  <c r="AK42" i="20"/>
  <c r="AK40" i="20"/>
  <c r="AK39" i="20"/>
  <c r="AK36" i="20"/>
  <c r="AK34" i="20"/>
  <c r="AK31" i="20"/>
  <c r="L109" i="10"/>
  <c r="K111" i="10"/>
  <c r="K107" i="10"/>
  <c r="L110" i="10"/>
  <c r="K115" i="10"/>
  <c r="L115" i="10" s="1"/>
  <c r="L113" i="10"/>
  <c r="L112" i="10"/>
  <c r="N112" i="10" s="1"/>
  <c r="M77" i="10"/>
  <c r="M108" i="10"/>
  <c r="AK42" i="4"/>
  <c r="R79" i="11" s="1" a="1"/>
  <c r="R79" i="11" s="1"/>
  <c r="AV42" i="4"/>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G88" i="9"/>
  <c r="AE115" i="4"/>
  <c r="H45" i="13" s="1" a="1"/>
  <c r="H45" i="13" s="1"/>
  <c r="AE114" i="4"/>
  <c r="H47" i="13" s="1" a="1"/>
  <c r="H47" i="13" s="1"/>
  <c r="AA122" i="8"/>
  <c r="AK39" i="8"/>
  <c r="AK36" i="8"/>
  <c r="AK21" i="8"/>
  <c r="AK77" i="8"/>
  <c r="AK25" i="8"/>
  <c r="AK103" i="8"/>
  <c r="AK34" i="8"/>
  <c r="AK102" i="8"/>
  <c r="AK92" i="8"/>
  <c r="AK97" i="8"/>
  <c r="AK26" i="8"/>
  <c r="AK87" i="8"/>
  <c r="M78" i="3"/>
  <c r="AK66" i="8"/>
  <c r="AK71" i="8"/>
  <c r="AK72" i="8"/>
  <c r="AK64" i="8"/>
  <c r="AK42" i="8"/>
  <c r="AK40" i="8"/>
  <c r="AK24" i="8"/>
  <c r="AK98" i="8"/>
  <c r="AK73" i="8"/>
  <c r="AK113" i="8"/>
  <c r="AK93" i="8"/>
  <c r="AK63" i="8"/>
  <c r="AK31" i="8"/>
  <c r="AK88" i="8"/>
  <c r="AK112" i="8"/>
  <c r="AK82" i="8"/>
  <c r="AK83" i="8"/>
  <c r="AK108" i="8"/>
  <c r="AK51" i="8"/>
  <c r="AK57" i="8"/>
  <c r="AK47" i="8"/>
  <c r="AK23" i="8"/>
  <c r="AK46" i="8"/>
  <c r="AK78" i="8"/>
  <c r="AV71" i="7"/>
  <c r="AV91" i="7"/>
  <c r="AV107" i="7"/>
  <c r="AV87" i="7"/>
  <c r="AV77"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AU25" i="20" a="1"/>
  <c r="AT26" i="20" a="1"/>
  <c r="AR27" i="7" a="1"/>
  <c r="AV24" i="20" a="1"/>
  <c r="AV40" i="20" a="1"/>
  <c r="AV34" i="20" a="1"/>
  <c r="AV63" i="20" a="1"/>
  <c r="AV92" i="20" a="1"/>
  <c r="AV71" i="20" a="1"/>
  <c r="AV73" i="20" a="1"/>
  <c r="AV96" i="20" a="1"/>
  <c r="AV51" i="20" a="1"/>
  <c r="AV107" i="20" a="1"/>
  <c r="AV46" i="20" a="1"/>
  <c r="AV82" i="20" a="1"/>
  <c r="AV57" i="20" a="1"/>
  <c r="AV88" i="20" a="1"/>
  <c r="AV83" i="20" a="1"/>
  <c r="AV23" i="20" a="1"/>
  <c r="AV77" i="20" a="1"/>
  <c r="AV64" i="20" a="1"/>
  <c r="AV39" i="20" a="1"/>
  <c r="AV36" i="20" a="1"/>
  <c r="AV100" i="20" a="1"/>
  <c r="AV66" i="20" a="1"/>
  <c r="AV104" i="20" a="1"/>
  <c r="AV99" i="20" a="1"/>
  <c r="AV42" i="20" a="1"/>
  <c r="AV21" i="20" a="1"/>
  <c r="AV108" i="20" a="1"/>
  <c r="AV91" i="20" a="1"/>
  <c r="AV78" i="20" a="1"/>
  <c r="AV95" i="20" a="1"/>
  <c r="AV47" i="20" a="1"/>
  <c r="AV87" i="20" a="1"/>
  <c r="AV31" i="20" a="1"/>
  <c r="AV72" i="20" a="1"/>
  <c r="V28" i="7" l="1" a="1"/>
  <c r="V28" i="7" s="1"/>
  <c r="AD28" i="7" a="1"/>
  <c r="AD28" i="7" s="1"/>
  <c r="AE28" i="7" s="1" a="1"/>
  <c r="AE28" i="7" s="1"/>
  <c r="AF28" i="7" s="1" a="1"/>
  <c r="AF28" i="7" s="1"/>
  <c r="AG28" i="7" s="1" a="1"/>
  <c r="AG28" i="7" s="1"/>
  <c r="AH28" i="7" s="1" a="1"/>
  <c r="AH28" i="7" s="1"/>
  <c r="AK28" i="7" s="1"/>
  <c r="W28" i="20" a="1"/>
  <c r="W28" i="20" s="1"/>
  <c r="AU25" i="20"/>
  <c r="AH25" i="20" a="1"/>
  <c r="AH25" i="20" s="1"/>
  <c r="AR27" i="7"/>
  <c r="AT26" i="20"/>
  <c r="A16" i="6"/>
  <c r="X28" i="20" a="1"/>
  <c r="X28" i="20" s="1"/>
  <c r="X28" i="7" a="1"/>
  <c r="X28" i="7" s="1"/>
  <c r="AU26" i="7"/>
  <c r="AH26" i="7" a="1"/>
  <c r="AH26" i="7" s="1"/>
  <c r="S27" i="20"/>
  <c r="X116" i="20"/>
  <c r="AE27" i="7" a="1"/>
  <c r="AE27" i="7" s="1"/>
  <c r="AJ27" i="7" s="1"/>
  <c r="S27" i="7"/>
  <c r="X116" i="7"/>
  <c r="AG26" i="20" a="1"/>
  <c r="AG26" i="20" s="1"/>
  <c r="AV39" i="20"/>
  <c r="AV42" i="20"/>
  <c r="AV51" i="20"/>
  <c r="AV91" i="20"/>
  <c r="AV100" i="20"/>
  <c r="AV24" i="20"/>
  <c r="AV46" i="20"/>
  <c r="AV57" i="20"/>
  <c r="AV83" i="20"/>
  <c r="AV96" i="20"/>
  <c r="AV108" i="20"/>
  <c r="AV63" i="20"/>
  <c r="AV64" i="20"/>
  <c r="AV72" i="20"/>
  <c r="AV78" i="20"/>
  <c r="AV87" i="20"/>
  <c r="AV99" i="20"/>
  <c r="AV23" i="20"/>
  <c r="AV31" i="20"/>
  <c r="AV66" i="20"/>
  <c r="AV73" i="20"/>
  <c r="AV82" i="20"/>
  <c r="AV92" i="20"/>
  <c r="AV104" i="20"/>
  <c r="AV34" i="20"/>
  <c r="AV71" i="20"/>
  <c r="AV77" i="20"/>
  <c r="AV95" i="20"/>
  <c r="AV107" i="20"/>
  <c r="AV21" i="20"/>
  <c r="AV36" i="20"/>
  <c r="AV40" i="20"/>
  <c r="AV47" i="20"/>
  <c r="AV88" i="20"/>
  <c r="AW42" i="4"/>
  <c r="AM42" i="4" s="1"/>
  <c r="T79" i="11" s="1" a="1"/>
  <c r="T79" i="11" s="1"/>
  <c r="AL42" i="4"/>
  <c r="S79" i="11" s="1" a="1"/>
  <c r="S79" i="11" s="1"/>
  <c r="M113" i="10"/>
  <c r="N108" i="10"/>
  <c r="K117" i="10"/>
  <c r="L117" i="10" s="1"/>
  <c r="N117" i="10" s="1"/>
  <c r="L111" i="10"/>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M113" i="3"/>
  <c r="N108" i="3"/>
  <c r="AD136" i="4"/>
  <c r="AC137" i="4"/>
  <c r="F61" i="13" s="1" a="1"/>
  <c r="F61" i="13" s="1"/>
  <c r="L111" i="3"/>
  <c r="K117" i="3"/>
  <c r="L117" i="3" s="1"/>
  <c r="N117" i="3" s="1"/>
  <c r="AE42" i="4"/>
  <c r="I120" i="3"/>
  <c r="L118" i="3"/>
  <c r="N118" i="3" s="1"/>
  <c r="AV25" i="20" a="1"/>
  <c r="AS27" i="7" a="1"/>
  <c r="AU26" i="20" a="1"/>
  <c r="AD28" i="20" l="1"/>
  <c r="AV25" i="20"/>
  <c r="AK25" i="20"/>
  <c r="AU26" i="20"/>
  <c r="AS27" i="7"/>
  <c r="AV26" i="7"/>
  <c r="AK26" i="7"/>
  <c r="AH26" i="20" a="1"/>
  <c r="AH26" i="20" s="1"/>
  <c r="AE28" i="20" a="1"/>
  <c r="AE28" i="20" s="1"/>
  <c r="AF28" i="20" s="1" a="1"/>
  <c r="AF28" i="20" s="1"/>
  <c r="AG28" i="20" s="1" a="1"/>
  <c r="AG28" i="20" s="1"/>
  <c r="AH28" i="20" s="1" a="1"/>
  <c r="AH28" i="20" s="1"/>
  <c r="AK28" i="20" s="1"/>
  <c r="AJ28" i="7"/>
  <c r="A17" i="6"/>
  <c r="AF27" i="7" a="1"/>
  <c r="AF27" i="7" s="1"/>
  <c r="AJ28" i="8"/>
  <c r="AA71" i="4"/>
  <c r="L63" i="4"/>
  <c r="Q63" i="4" s="1"/>
  <c r="P63" i="4"/>
  <c r="J28" i="15"/>
  <c r="AF99" i="11"/>
  <c r="AB99" i="11"/>
  <c r="F115" i="13"/>
  <c r="G115" i="13" s="1"/>
  <c r="H115" i="13" s="1"/>
  <c r="Y98" i="11"/>
  <c r="Y104" i="11"/>
  <c r="F111" i="13"/>
  <c r="G111" i="13" s="1"/>
  <c r="H111" i="13" s="1"/>
  <c r="B55" i="11"/>
  <c r="D54" i="11"/>
  <c r="AB96" i="11"/>
  <c r="D7" i="11"/>
  <c r="P52" i="11"/>
  <c r="F113" i="13"/>
  <c r="G113" i="13" s="1"/>
  <c r="H113" i="13" s="1"/>
  <c r="AF102" i="11"/>
  <c r="AB102" i="11"/>
  <c r="Y101" i="11"/>
  <c r="AD137" i="4"/>
  <c r="G61" i="13" s="1" a="1"/>
  <c r="G61" i="13" s="1"/>
  <c r="AE136" i="4"/>
  <c r="AE137" i="4" s="1"/>
  <c r="H61" i="13" s="1" a="1"/>
  <c r="H61" i="13" s="1"/>
  <c r="AT27" i="7" a="1"/>
  <c r="AV26" i="20" a="1"/>
  <c r="AV26" i="20" l="1"/>
  <c r="AT27" i="7"/>
  <c r="AJ28" i="20"/>
  <c r="AK26" i="20"/>
  <c r="AB71" i="4"/>
  <c r="E33" i="13" s="1" a="1"/>
  <c r="E33" i="13" s="1"/>
  <c r="AG27" i="7" a="1"/>
  <c r="AG27" i="7" s="1"/>
  <c r="A18" i="6"/>
  <c r="X29" i="7" s="1" a="1"/>
  <c r="X29" i="7" s="1"/>
  <c r="AF96" i="11"/>
  <c r="Z98" i="11"/>
  <c r="AB98" i="11" s="1"/>
  <c r="AB97" i="11"/>
  <c r="D16" i="11"/>
  <c r="M7" i="11"/>
  <c r="J29" i="15"/>
  <c r="J30" i="15"/>
  <c r="AU27" i="7" a="1"/>
  <c r="AU27" i="7" l="1"/>
  <c r="AC71" i="4"/>
  <c r="F33" i="13" s="1" a="1"/>
  <c r="F33" i="13" s="1"/>
  <c r="A19" i="6"/>
  <c r="AH27" i="7" a="1"/>
  <c r="AH27" i="7" s="1"/>
  <c r="AF97" i="11"/>
  <c r="AF98" i="11" s="1"/>
  <c r="AB100" i="11"/>
  <c r="AF103" i="11"/>
  <c r="AF104" i="11" s="1"/>
  <c r="AB103" i="11"/>
  <c r="Z104" i="11"/>
  <c r="AB104" i="11" s="1"/>
  <c r="AF100" i="11"/>
  <c r="AF101" i="11" s="1"/>
  <c r="Z128" i="4"/>
  <c r="AV27" i="7" a="1"/>
  <c r="AV27" i="7" l="1"/>
  <c r="AK27" i="7"/>
  <c r="A20" i="6"/>
  <c r="Y58" i="7" s="1" a="1"/>
  <c r="Y58" i="7" s="1"/>
  <c r="AB104" i="7" a="1"/>
  <c r="AB104" i="7" s="1"/>
  <c r="Z34" i="7" a="1"/>
  <c r="Z34" i="7" s="1"/>
  <c r="AB77" i="7" a="1"/>
  <c r="AB77" i="7" s="1"/>
  <c r="Z31" i="7" a="1"/>
  <c r="Z31" i="7" s="1"/>
  <c r="AB51" i="7" a="1"/>
  <c r="AB51" i="7" s="1"/>
  <c r="X70" i="7" a="1"/>
  <c r="X70" i="7" s="1"/>
  <c r="AB71" i="7" a="1"/>
  <c r="AB71" i="7" s="1"/>
  <c r="AB46" i="7" a="1"/>
  <c r="AB46" i="7" s="1"/>
  <c r="X91" i="7" a="1"/>
  <c r="X91" i="7" s="1"/>
  <c r="Z51" i="7" a="1"/>
  <c r="Z51" i="7" s="1"/>
  <c r="Y50" i="7" a="1"/>
  <c r="Y50" i="7" s="1"/>
  <c r="Z44" i="7" a="1"/>
  <c r="Z44" i="7" s="1"/>
  <c r="Y67" i="7" a="1"/>
  <c r="Y67" i="7" s="1"/>
  <c r="Z47" i="7" a="1"/>
  <c r="Z47" i="7" s="1"/>
  <c r="Z56" i="7" a="1"/>
  <c r="Z56" i="7" s="1"/>
  <c r="X92" i="7" a="1"/>
  <c r="X92" i="7" s="1"/>
  <c r="Z92" i="7" a="1"/>
  <c r="Z92" i="7" s="1"/>
  <c r="Z40" i="7" a="1"/>
  <c r="Z40" i="7" s="1"/>
  <c r="Z32" i="7" a="1"/>
  <c r="Z32" i="7" s="1"/>
  <c r="AB100" i="7" a="1"/>
  <c r="AB100" i="7" s="1"/>
  <c r="AB47" i="7" a="1"/>
  <c r="AB47" i="7" s="1"/>
  <c r="AB108" i="7" a="1"/>
  <c r="AB108" i="7" s="1"/>
  <c r="AB54" i="7" a="1"/>
  <c r="AB54" i="7" s="1"/>
  <c r="Y93" i="7" a="1"/>
  <c r="Y93" i="7" s="1"/>
  <c r="Z59" i="7" a="1"/>
  <c r="Z59" i="7" s="1"/>
  <c r="X48" i="7" a="1"/>
  <c r="X48" i="7" s="1"/>
  <c r="X59" i="7" a="1"/>
  <c r="X59" i="7" s="1"/>
  <c r="Z82" i="7" a="1"/>
  <c r="Z82" i="7" s="1"/>
  <c r="X107" i="7" a="1"/>
  <c r="X107" i="7" s="1"/>
  <c r="Z94" i="7" a="1"/>
  <c r="Z94" i="7" s="1"/>
  <c r="AB33" i="7" a="1"/>
  <c r="AB33" i="7" s="1"/>
  <c r="X33" i="7" a="1"/>
  <c r="X33" i="7" s="1"/>
  <c r="Z67" i="7" a="1"/>
  <c r="Z67" i="7" s="1"/>
  <c r="Z35" i="7" a="1"/>
  <c r="Z35" i="7" s="1"/>
  <c r="Y84" i="7" a="1"/>
  <c r="Y84" i="7" s="1"/>
  <c r="X30" i="7" a="1"/>
  <c r="X30" i="7" s="1"/>
  <c r="Z50" i="7" a="1"/>
  <c r="Z50" i="7" s="1"/>
  <c r="AB110" i="7" a="1"/>
  <c r="AB110" i="7" s="1"/>
  <c r="Z39" i="7" a="1"/>
  <c r="Z39" i="7" s="1"/>
  <c r="AB57" i="7" a="1"/>
  <c r="AB57" i="7" s="1"/>
  <c r="AB89" i="7" a="1"/>
  <c r="AB89" i="7" s="1"/>
  <c r="Y78" i="7" a="1"/>
  <c r="Y78" i="7" s="1"/>
  <c r="X66" i="7" a="1"/>
  <c r="X66" i="7" s="1"/>
  <c r="AB35" i="7" a="1"/>
  <c r="AB35" i="7" s="1"/>
  <c r="AB80" i="7" a="1"/>
  <c r="AB80" i="7" s="1"/>
  <c r="AB56" i="7" a="1"/>
  <c r="AB56" i="7" s="1"/>
  <c r="Z60" i="7" a="1"/>
  <c r="Z60" i="7" s="1"/>
  <c r="AB52" i="7" a="1"/>
  <c r="AB52" i="7" s="1"/>
  <c r="AB43" i="7" a="1"/>
  <c r="AB43" i="7" s="1"/>
  <c r="AB61" i="7" a="1"/>
  <c r="AB61" i="7" s="1"/>
  <c r="Z45" i="7" a="1"/>
  <c r="Z45" i="7" s="1"/>
  <c r="X83" i="7" a="1"/>
  <c r="X83" i="7" s="1"/>
  <c r="AB74" i="7" a="1"/>
  <c r="AB74" i="7" s="1"/>
  <c r="AB84" i="7" a="1"/>
  <c r="AB84" i="7" s="1"/>
  <c r="Z95" i="7" a="1"/>
  <c r="Z95" i="7" s="1"/>
  <c r="AB76" i="7" a="1"/>
  <c r="AB76" i="7" s="1"/>
  <c r="Z63" i="7" a="1"/>
  <c r="Z63" i="7" s="1"/>
  <c r="Z83" i="7" a="1"/>
  <c r="Z83" i="7" s="1"/>
  <c r="Z103" i="7" a="1"/>
  <c r="Z103" i="7" s="1"/>
  <c r="Y104" i="7" a="1"/>
  <c r="Y104" i="7" s="1"/>
  <c r="Z30" i="7" a="1"/>
  <c r="Z30" i="7" s="1"/>
  <c r="AB65" i="7" a="1"/>
  <c r="AB65" i="7" s="1"/>
  <c r="Z76" i="7" a="1"/>
  <c r="Z76" i="7" s="1"/>
  <c r="X72" i="7" a="1"/>
  <c r="X72" i="7" s="1"/>
  <c r="AB90" i="7" a="1"/>
  <c r="AB90" i="7" s="1"/>
  <c r="AB106" i="7" a="1"/>
  <c r="AB106" i="7" s="1"/>
  <c r="Z41" i="7" a="1"/>
  <c r="Z41" i="7" s="1"/>
  <c r="Z89" i="7" a="1"/>
  <c r="Z89" i="7" s="1"/>
  <c r="Z91" i="7" a="1"/>
  <c r="Z91" i="7" s="1"/>
  <c r="Y108" i="7" a="1"/>
  <c r="Y108" i="7" s="1"/>
  <c r="Z33" i="7" a="1"/>
  <c r="Z33" i="7" s="1"/>
  <c r="AB49" i="7" a="1"/>
  <c r="AB49" i="7" s="1"/>
  <c r="AB102" i="7" a="1"/>
  <c r="AB102" i="7" s="1"/>
  <c r="X67" i="7" a="1"/>
  <c r="X67" i="7" s="1"/>
  <c r="AB66" i="7" a="1"/>
  <c r="AB66" i="7" s="1"/>
  <c r="Y32" i="7" a="1"/>
  <c r="Y32" i="7" s="1"/>
  <c r="AB85" i="7" a="1"/>
  <c r="AB85" i="7" s="1"/>
  <c r="Z110" i="7" a="1"/>
  <c r="Z110" i="7" s="1"/>
  <c r="Y77" i="7" a="1"/>
  <c r="Y77" i="7" s="1"/>
  <c r="AB87" i="7" a="1"/>
  <c r="AB87" i="7" s="1"/>
  <c r="Y43" i="7" a="1"/>
  <c r="Y43" i="7" s="1"/>
  <c r="Z43" i="7" a="1"/>
  <c r="Z43" i="7" s="1"/>
  <c r="Y85" i="7" a="1"/>
  <c r="Y85" i="7" s="1"/>
  <c r="Z81" i="7" a="1"/>
  <c r="Z81" i="7" s="1"/>
  <c r="Z101" i="7" a="1"/>
  <c r="Z101" i="7" s="1"/>
  <c r="AB105" i="7" a="1"/>
  <c r="AB105" i="7" s="1"/>
  <c r="AB79" i="7" a="1"/>
  <c r="AB79" i="7" s="1"/>
  <c r="Z64" i="7" a="1"/>
  <c r="Z64" i="7" s="1"/>
  <c r="Z65" i="7" a="1"/>
  <c r="Z65" i="7" s="1"/>
  <c r="AB50" i="7" a="1"/>
  <c r="AB50" i="7" s="1"/>
  <c r="Z46" i="7" a="1"/>
  <c r="Z46" i="7" s="1"/>
  <c r="X57" i="7" a="1"/>
  <c r="X57" i="7" s="1"/>
  <c r="Z80" i="7" a="1"/>
  <c r="Z80" i="7" s="1"/>
  <c r="X41" i="7" a="1"/>
  <c r="X41" i="7" s="1"/>
  <c r="Y55" i="7" a="1"/>
  <c r="Y55" i="7" s="1"/>
  <c r="AB95" i="7" a="1"/>
  <c r="AB95" i="7" s="1"/>
  <c r="AB98" i="7" a="1"/>
  <c r="AB98" i="7" s="1"/>
  <c r="AB55" i="7" a="1"/>
  <c r="AB55" i="7" s="1"/>
  <c r="AB42" i="7" a="1"/>
  <c r="AB42" i="7" s="1"/>
  <c r="AB62" i="7" a="1"/>
  <c r="AB62" i="7" s="1"/>
  <c r="Z107" i="7" a="1"/>
  <c r="Z107" i="7" s="1"/>
  <c r="X49" i="7" a="1"/>
  <c r="X49" i="7" s="1"/>
  <c r="AB53" i="7" a="1"/>
  <c r="AB53" i="7" s="1"/>
  <c r="AB109" i="7" a="1"/>
  <c r="AB109" i="7" s="1"/>
  <c r="AB93" i="7" a="1"/>
  <c r="AB93" i="7" s="1"/>
  <c r="X79" i="7" a="1"/>
  <c r="X79" i="7" s="1"/>
  <c r="Z105" i="7" a="1"/>
  <c r="Z105" i="7" s="1"/>
  <c r="AB72" i="7" a="1"/>
  <c r="AB72" i="7" s="1"/>
  <c r="Z52" i="7" a="1"/>
  <c r="Z52" i="7" s="1"/>
  <c r="Z87" i="7" a="1"/>
  <c r="Z87" i="7" s="1"/>
  <c r="X76" i="7" a="1"/>
  <c r="X76" i="7" s="1"/>
  <c r="Z93" i="7" a="1"/>
  <c r="Z93" i="7" s="1"/>
  <c r="Z53" i="7" a="1"/>
  <c r="Z53" i="7" s="1"/>
  <c r="AB88" i="7" a="1"/>
  <c r="AB88" i="7" s="1"/>
  <c r="AB45" i="7" a="1"/>
  <c r="AB45" i="7" s="1"/>
  <c r="V73" i="7" a="1"/>
  <c r="V73" i="7" s="1"/>
  <c r="Y109" i="7" a="1"/>
  <c r="Y109" i="7" s="1"/>
  <c r="AB58" i="7" a="1"/>
  <c r="AB58" i="7" s="1"/>
  <c r="Z69" i="7" a="1"/>
  <c r="Z69" i="7" s="1"/>
  <c r="AB64" i="7" a="1"/>
  <c r="AB64" i="7" s="1"/>
  <c r="Y82" i="7" a="1"/>
  <c r="Y82" i="7" s="1"/>
  <c r="AB36" i="7" a="1"/>
  <c r="AB36" i="7" s="1"/>
  <c r="Y90" i="7" a="1"/>
  <c r="Y90" i="7" s="1"/>
  <c r="Y89" i="7" a="1"/>
  <c r="Y89" i="7" s="1"/>
  <c r="AB32" i="7" a="1"/>
  <c r="AB32" i="7" s="1"/>
  <c r="Z57" i="7" a="1"/>
  <c r="Z57" i="7" s="1"/>
  <c r="Y69" i="7" a="1"/>
  <c r="Y69" i="7" s="1"/>
  <c r="AB40" i="7" a="1"/>
  <c r="AB40" i="7" s="1"/>
  <c r="Z61" i="7" a="1"/>
  <c r="Z61" i="7" s="1"/>
  <c r="AB94" i="7" a="1"/>
  <c r="AB94" i="7" s="1"/>
  <c r="AB39" i="7" a="1"/>
  <c r="AB39" i="7" s="1"/>
  <c r="Z104" i="7" a="1"/>
  <c r="Z104" i="7" s="1"/>
  <c r="AB81" i="7" a="1"/>
  <c r="AB81" i="7" s="1"/>
  <c r="Z75" i="7" a="1"/>
  <c r="Z75" i="7" s="1"/>
  <c r="Z84" i="7" a="1"/>
  <c r="Z84" i="7" s="1"/>
  <c r="Z71" i="7" a="1"/>
  <c r="Z71" i="7" s="1"/>
  <c r="X89" i="7" a="1"/>
  <c r="X89" i="7" s="1"/>
  <c r="Z100" i="7" a="1"/>
  <c r="Z100" i="7" s="1"/>
  <c r="Z62" i="7" a="1"/>
  <c r="Z62" i="7" s="1"/>
  <c r="Z97" i="7" a="1"/>
  <c r="Z97" i="7" s="1"/>
  <c r="Y106" i="7" a="1"/>
  <c r="Y106" i="7" s="1"/>
  <c r="AB70" i="7" a="1"/>
  <c r="AB70" i="7" s="1"/>
  <c r="X86" i="7" a="1"/>
  <c r="X86" i="7" s="1"/>
  <c r="AB92" i="7" a="1"/>
  <c r="AB92" i="7" s="1"/>
  <c r="Z109" i="7" a="1"/>
  <c r="Z109" i="7" s="1"/>
  <c r="AA44" i="7" a="1"/>
  <c r="AA44" i="7" s="1"/>
  <c r="Y49" i="7" a="1"/>
  <c r="Y49" i="7" s="1"/>
  <c r="Z106" i="7" a="1"/>
  <c r="Z106" i="7" s="1"/>
  <c r="AB97" i="7" a="1"/>
  <c r="AB97" i="7" s="1"/>
  <c r="Z73" i="7" a="1"/>
  <c r="Z73" i="7" s="1"/>
  <c r="X90" i="7" a="1"/>
  <c r="X90" i="7" s="1"/>
  <c r="AB68" i="7" a="1"/>
  <c r="AB68" i="7" s="1"/>
  <c r="AB41" i="7" a="1"/>
  <c r="AB41" i="7" s="1"/>
  <c r="AB103" i="7" a="1"/>
  <c r="AB103" i="7" s="1"/>
  <c r="Z37" i="7" a="1"/>
  <c r="Z37" i="7" s="1"/>
  <c r="Z108" i="7" a="1"/>
  <c r="Z108" i="7" s="1"/>
  <c r="AB38" i="7" a="1"/>
  <c r="AB38" i="7" s="1"/>
  <c r="Z58" i="7" a="1"/>
  <c r="Z58" i="7" s="1"/>
  <c r="AB48" i="7" a="1"/>
  <c r="AB48" i="7" s="1"/>
  <c r="Z74" i="7" a="1"/>
  <c r="Z74" i="7" s="1"/>
  <c r="AB107" i="7" a="1"/>
  <c r="AB107" i="7" s="1"/>
  <c r="Y76" i="7" a="1"/>
  <c r="Y76" i="7" s="1"/>
  <c r="AB63" i="7" a="1"/>
  <c r="AB63" i="7" s="1"/>
  <c r="AB73" i="7" a="1"/>
  <c r="AB73" i="7" s="1"/>
  <c r="Y30" i="7" a="1"/>
  <c r="Y30" i="7" s="1"/>
  <c r="AB37" i="7" a="1"/>
  <c r="AB37" i="7" s="1"/>
  <c r="X81" i="7" a="1"/>
  <c r="X81" i="7" s="1"/>
  <c r="Y44" i="7" a="1"/>
  <c r="Y44" i="7" s="1"/>
  <c r="Z42" i="7" a="1"/>
  <c r="Z42" i="7" s="1"/>
  <c r="Y72" i="7" a="1"/>
  <c r="Y72" i="7" s="1"/>
  <c r="Y97" i="7" a="1"/>
  <c r="Y97" i="7" s="1"/>
  <c r="X99" i="7" a="1"/>
  <c r="X99" i="7" s="1"/>
  <c r="Z85" i="7" a="1"/>
  <c r="Z85" i="7" s="1"/>
  <c r="Z102" i="7" a="1"/>
  <c r="Z102" i="7" s="1"/>
  <c r="AB86" i="7" a="1"/>
  <c r="AB86" i="7" s="1"/>
  <c r="Z90" i="7" a="1"/>
  <c r="Z90" i="7" s="1"/>
  <c r="AB31" i="7" a="1"/>
  <c r="AB31" i="7" s="1"/>
  <c r="Y91" i="7" a="1"/>
  <c r="Y91" i="7" s="1"/>
  <c r="Z55" i="7" a="1"/>
  <c r="Z55" i="7" s="1"/>
  <c r="AB96" i="7" a="1"/>
  <c r="AB96" i="7" s="1"/>
  <c r="Z54" i="7" a="1"/>
  <c r="Z54" i="7" s="1"/>
  <c r="Z38" i="7" a="1"/>
  <c r="Z38" i="7" s="1"/>
  <c r="Z98" i="7" a="1"/>
  <c r="Z98" i="7" s="1"/>
  <c r="Z36" i="7" a="1"/>
  <c r="Z36" i="7" s="1"/>
  <c r="X42" i="7" a="1"/>
  <c r="X42" i="7" s="1"/>
  <c r="AB60" i="7" a="1"/>
  <c r="AB60" i="7" s="1"/>
  <c r="Z49" i="7" a="1"/>
  <c r="Z49" i="7" s="1"/>
  <c r="AB99" i="7" a="1"/>
  <c r="AB99" i="7" s="1"/>
  <c r="AB82" i="7" a="1"/>
  <c r="AB82" i="7" s="1"/>
  <c r="Z96" i="7" a="1"/>
  <c r="Z96" i="7" s="1"/>
  <c r="AB101" i="7" a="1"/>
  <c r="AB101" i="7" s="1"/>
  <c r="X88" i="7" a="1"/>
  <c r="X88" i="7" s="1"/>
  <c r="AB69" i="7" a="1"/>
  <c r="AB69" i="7" s="1"/>
  <c r="AB91" i="7" a="1"/>
  <c r="AB91" i="7" s="1"/>
  <c r="Z66" i="7" a="1"/>
  <c r="Z66" i="7" s="1"/>
  <c r="Z99" i="7" a="1"/>
  <c r="Z99" i="7" s="1"/>
  <c r="X104" i="7" a="1"/>
  <c r="X104" i="7" s="1"/>
  <c r="AB75" i="7" a="1"/>
  <c r="AB75" i="7" s="1"/>
  <c r="Z72" i="7" a="1"/>
  <c r="Z72" i="7" s="1"/>
  <c r="AB30" i="7" a="1"/>
  <c r="AB30" i="7" s="1"/>
  <c r="AB67" i="7" a="1"/>
  <c r="AB67" i="7" s="1"/>
  <c r="AB44" i="7" a="1"/>
  <c r="AB44" i="7" s="1"/>
  <c r="AB34" i="7" a="1"/>
  <c r="AB34" i="7" s="1"/>
  <c r="Y81" i="7" a="1"/>
  <c r="Y81" i="7" s="1"/>
  <c r="AD71" i="4"/>
  <c r="G33" i="13" s="1" a="1"/>
  <c r="G33" i="13" s="1"/>
  <c r="Z69" i="4"/>
  <c r="Z124" i="4"/>
  <c r="Z114" i="4"/>
  <c r="Z115" i="4"/>
  <c r="Z129" i="4"/>
  <c r="Z116" i="4"/>
  <c r="Z122" i="4"/>
  <c r="AB78" i="7" l="1" a="1"/>
  <c r="AB78" i="7" s="1"/>
  <c r="Z78" i="7" a="1"/>
  <c r="Z78" i="7" s="1"/>
  <c r="AB83" i="7" a="1"/>
  <c r="AB83" i="7" s="1"/>
  <c r="Y51" i="7" a="1"/>
  <c r="Y51" i="7" s="1"/>
  <c r="AE71" i="4"/>
  <c r="H33" i="13" s="1" a="1"/>
  <c r="H33" i="13" s="1"/>
  <c r="AK28" i="8"/>
  <c r="W77" i="20" a="1"/>
  <c r="W77" i="20" s="1"/>
  <c r="W90" i="7" a="1"/>
  <c r="W90" i="7" s="1"/>
  <c r="AD100" i="7" a="1"/>
  <c r="AD100" i="7" s="1"/>
  <c r="Z97" i="20" a="1"/>
  <c r="Z97" i="20" s="1"/>
  <c r="AA72" i="20" a="1"/>
  <c r="AA72" i="20" s="1"/>
  <c r="X52" i="20" a="1"/>
  <c r="X52" i="20" s="1"/>
  <c r="Y88" i="20" a="1"/>
  <c r="Y88" i="20" s="1"/>
  <c r="W54" i="20" a="1"/>
  <c r="W54" i="20" s="1"/>
  <c r="AD48" i="7" a="1"/>
  <c r="AD48" i="7" s="1"/>
  <c r="V82" i="7" a="1"/>
  <c r="V82" i="7" s="1"/>
  <c r="Y89" i="20" a="1"/>
  <c r="Y89" i="20" s="1"/>
  <c r="W75" i="20" a="1"/>
  <c r="W75" i="20" s="1"/>
  <c r="X93" i="20" a="1"/>
  <c r="X93" i="20" s="1"/>
  <c r="AB80" i="20" a="1"/>
  <c r="AB80" i="20" s="1"/>
  <c r="AD54" i="7" a="1"/>
  <c r="AD54" i="7" s="1"/>
  <c r="AD31" i="7" a="1"/>
  <c r="AD31" i="7" s="1"/>
  <c r="AB74" i="20" a="1"/>
  <c r="AB74" i="20" s="1"/>
  <c r="AD36" i="7" a="1"/>
  <c r="AD36" i="7" s="1"/>
  <c r="W75" i="7" a="1"/>
  <c r="W75" i="7" s="1"/>
  <c r="AD89" i="7" a="1"/>
  <c r="AD89" i="7" s="1"/>
  <c r="AD41" i="7" a="1"/>
  <c r="AD41" i="7" s="1"/>
  <c r="V41" i="20" a="1"/>
  <c r="V41" i="20" s="1"/>
  <c r="V73" i="20" a="1"/>
  <c r="V73" i="20" s="1"/>
  <c r="AD46" i="7" a="1"/>
  <c r="AD46" i="7" s="1"/>
  <c r="V34" i="7" a="1"/>
  <c r="V34" i="7" s="1"/>
  <c r="X99" i="20" a="1"/>
  <c r="X99" i="20" s="1"/>
  <c r="AB79" i="20" a="1"/>
  <c r="AB79" i="20" s="1"/>
  <c r="W105" i="20" a="1"/>
  <c r="W105" i="20" s="1"/>
  <c r="Y95" i="20" a="1"/>
  <c r="Y95" i="20" s="1"/>
  <c r="Z84" i="20" a="1"/>
  <c r="Z84" i="20" s="1"/>
  <c r="V100" i="7" a="1"/>
  <c r="V100" i="7" s="1"/>
  <c r="Y101" i="7" a="1"/>
  <c r="Y101" i="7" s="1"/>
  <c r="AB83" i="20" a="1"/>
  <c r="AB83" i="20" s="1"/>
  <c r="W72" i="7" a="1"/>
  <c r="W72" i="7" s="1"/>
  <c r="X106" i="20" a="1"/>
  <c r="X106" i="20" s="1"/>
  <c r="AD110" i="7" a="1"/>
  <c r="AD110" i="7" s="1"/>
  <c r="AB43" i="20" a="1"/>
  <c r="AB43" i="20" s="1"/>
  <c r="AD99" i="7" a="1"/>
  <c r="AD99" i="7" s="1"/>
  <c r="W92" i="20" a="1"/>
  <c r="W92" i="20" s="1"/>
  <c r="V28" i="20" a="1"/>
  <c r="V28" i="20" s="1"/>
  <c r="AD94" i="7" a="1"/>
  <c r="AD94" i="7" s="1"/>
  <c r="Z101" i="20" a="1"/>
  <c r="Z101" i="20" s="1"/>
  <c r="V60" i="7" a="1"/>
  <c r="V60" i="7" s="1"/>
  <c r="V103" i="7" a="1"/>
  <c r="V103" i="7" s="1"/>
  <c r="AA62" i="20" a="1"/>
  <c r="AA62" i="20" s="1"/>
  <c r="W57" i="20" a="1"/>
  <c r="W57" i="20" s="1"/>
  <c r="V71" i="7" a="1"/>
  <c r="V71" i="7" s="1"/>
  <c r="W44" i="20" a="1"/>
  <c r="W44" i="20" s="1"/>
  <c r="Y81" i="20" a="1"/>
  <c r="Y81" i="20" s="1"/>
  <c r="AB69" i="20" a="1"/>
  <c r="AB69" i="20" s="1"/>
  <c r="W60" i="20" a="1"/>
  <c r="W60" i="20" s="1"/>
  <c r="Y53" i="20" a="1"/>
  <c r="Y53" i="20" s="1"/>
  <c r="AD90" i="7" a="1"/>
  <c r="AD90" i="7" s="1"/>
  <c r="Y93" i="20" a="1"/>
  <c r="Y93" i="20" s="1"/>
  <c r="V95" i="7" a="1"/>
  <c r="V95" i="7" s="1"/>
  <c r="Z38" i="20" a="1"/>
  <c r="Z38" i="20" s="1"/>
  <c r="AD109" i="7" a="1"/>
  <c r="AD109" i="7" s="1"/>
  <c r="W102" i="7" a="1"/>
  <c r="W102" i="7" s="1"/>
  <c r="AD97" i="7" a="1"/>
  <c r="AD97" i="7" s="1"/>
  <c r="Z88" i="20" a="1"/>
  <c r="Z88" i="20" s="1"/>
  <c r="X47" i="20" a="1"/>
  <c r="X47" i="20" s="1"/>
  <c r="Z48" i="20" a="1"/>
  <c r="Z48" i="20" s="1"/>
  <c r="Z102" i="20" a="1"/>
  <c r="Z102" i="20" s="1"/>
  <c r="AB61" i="20" a="1"/>
  <c r="AB61" i="20" s="1"/>
  <c r="Y45" i="20" a="1"/>
  <c r="Y45" i="20" s="1"/>
  <c r="X77" i="20" a="1"/>
  <c r="X77" i="20" s="1"/>
  <c r="Z69" i="20" a="1"/>
  <c r="Z69" i="20" s="1"/>
  <c r="V51" i="20" a="1"/>
  <c r="V51" i="20" s="1"/>
  <c r="AD56" i="7" a="1"/>
  <c r="AD56" i="7" s="1"/>
  <c r="AA34" i="20" a="1"/>
  <c r="AA34" i="20" s="1"/>
  <c r="AA93" i="20" a="1"/>
  <c r="AA93" i="20" s="1"/>
  <c r="X70" i="20" a="1"/>
  <c r="X70" i="20" s="1"/>
  <c r="V94" i="20" a="1"/>
  <c r="V94" i="20" s="1"/>
  <c r="AB51" i="20" a="1"/>
  <c r="AB51" i="20" s="1"/>
  <c r="W59" i="20" a="1"/>
  <c r="W59" i="20" s="1"/>
  <c r="AD61" i="7" a="1"/>
  <c r="AD61" i="7" s="1"/>
  <c r="V93" i="20" a="1"/>
  <c r="V93" i="20" s="1"/>
  <c r="V64" i="20" a="1"/>
  <c r="V64" i="20" s="1"/>
  <c r="W36" i="20" a="1"/>
  <c r="W36" i="20" s="1"/>
  <c r="X105" i="20" a="1"/>
  <c r="X105" i="20" s="1"/>
  <c r="V38" i="20" a="1"/>
  <c r="V38" i="20" s="1"/>
  <c r="V56" i="7" a="1"/>
  <c r="V56" i="7" s="1"/>
  <c r="V65" i="7" a="1"/>
  <c r="V65" i="7" s="1"/>
  <c r="V57" i="7" a="1"/>
  <c r="V57" i="7" s="1"/>
  <c r="Y90" i="20" a="1"/>
  <c r="Y90" i="20" s="1"/>
  <c r="W70" i="20" a="1"/>
  <c r="W70" i="20" s="1"/>
  <c r="X97" i="20" a="1"/>
  <c r="X97" i="20" s="1"/>
  <c r="X40" i="20" a="1"/>
  <c r="X40" i="20" s="1"/>
  <c r="W40" i="20" a="1"/>
  <c r="W40" i="20" s="1"/>
  <c r="Z37" i="20" a="1"/>
  <c r="Z37" i="20" s="1"/>
  <c r="X92" i="20" a="1"/>
  <c r="X92" i="20" s="1"/>
  <c r="V107" i="20" a="1"/>
  <c r="V107" i="20" s="1"/>
  <c r="V39" i="20" a="1"/>
  <c r="V39" i="20" s="1"/>
  <c r="V57" i="20" a="1"/>
  <c r="V57" i="20" s="1"/>
  <c r="X88" i="20" a="1"/>
  <c r="X88" i="20" s="1"/>
  <c r="V102" i="20" a="1"/>
  <c r="V102" i="20" s="1"/>
  <c r="X68" i="20" a="1"/>
  <c r="X68" i="20" s="1"/>
  <c r="AD53" i="7" a="1"/>
  <c r="AD53" i="7" s="1"/>
  <c r="Z60" i="20" a="1"/>
  <c r="Z60" i="20" s="1"/>
  <c r="W81" i="20" a="1"/>
  <c r="W81" i="20" s="1"/>
  <c r="AD88" i="7" a="1"/>
  <c r="AD88" i="7" s="1"/>
  <c r="Z103" i="20" a="1"/>
  <c r="Z103" i="20" s="1"/>
  <c r="Z98" i="20" a="1"/>
  <c r="Z98" i="20" s="1"/>
  <c r="W70" i="7" a="1"/>
  <c r="W70" i="7" s="1"/>
  <c r="V110" i="7" a="1"/>
  <c r="V110" i="7" s="1"/>
  <c r="AA45" i="20" a="1"/>
  <c r="AA45" i="20" s="1"/>
  <c r="Z108" i="20" a="1"/>
  <c r="Z108" i="20" s="1"/>
  <c r="X30" i="20" a="1"/>
  <c r="X30" i="20" s="1"/>
  <c r="AB103" i="20" a="1"/>
  <c r="AB103" i="20" s="1"/>
  <c r="AB41" i="20" a="1"/>
  <c r="AB41" i="20" s="1"/>
  <c r="AA33" i="20" a="1"/>
  <c r="AA33" i="20" s="1"/>
  <c r="AB77" i="20" a="1"/>
  <c r="AB77" i="20" s="1"/>
  <c r="Z56" i="20" a="1"/>
  <c r="Z56" i="20" s="1"/>
  <c r="W47" i="20" a="1"/>
  <c r="W47" i="20" s="1"/>
  <c r="AD45" i="7" a="1"/>
  <c r="AD45" i="7" s="1"/>
  <c r="X35" i="20" a="1"/>
  <c r="X35" i="20" s="1"/>
  <c r="AA42" i="20" a="1"/>
  <c r="AA42" i="20" s="1"/>
  <c r="AA102" i="20" a="1"/>
  <c r="AA102" i="20" s="1"/>
  <c r="V31" i="20" a="1"/>
  <c r="V31" i="20" s="1"/>
  <c r="X45" i="20" a="1"/>
  <c r="X45" i="20" s="1"/>
  <c r="AB37" i="20" a="1"/>
  <c r="AB37" i="20" s="1"/>
  <c r="Z41" i="20" a="1"/>
  <c r="Z41" i="20" s="1"/>
  <c r="AD67" i="7" a="1"/>
  <c r="AD67" i="7" s="1"/>
  <c r="AA85" i="20" a="1"/>
  <c r="AA85" i="20" s="1"/>
  <c r="V76" i="20" a="1"/>
  <c r="V76" i="20" s="1"/>
  <c r="Z94" i="20" a="1"/>
  <c r="Z94" i="20" s="1"/>
  <c r="AD30" i="7" a="1"/>
  <c r="AD30" i="7" s="1"/>
  <c r="Y66" i="20" a="1"/>
  <c r="Y66" i="20" s="1"/>
  <c r="V75" i="20" a="1"/>
  <c r="V75" i="20" s="1"/>
  <c r="V86" i="20" a="1"/>
  <c r="V86" i="20" s="1"/>
  <c r="AB101" i="20" a="1"/>
  <c r="AB101" i="20" s="1"/>
  <c r="Z30" i="20" a="1"/>
  <c r="Z30" i="20" s="1"/>
  <c r="AD29" i="7" a="1"/>
  <c r="AD29" i="7" s="1"/>
  <c r="W89" i="7" a="1"/>
  <c r="W89" i="7" s="1"/>
  <c r="X55" i="20" a="1"/>
  <c r="X55" i="20" s="1"/>
  <c r="W80" i="20" a="1"/>
  <c r="W80" i="20" s="1"/>
  <c r="AA98" i="20" a="1"/>
  <c r="AA98" i="20" s="1"/>
  <c r="AA66" i="20" a="1"/>
  <c r="AA66" i="20" s="1"/>
  <c r="V105" i="20" a="1"/>
  <c r="V105" i="20" s="1"/>
  <c r="Y43" i="20" a="1"/>
  <c r="Y43" i="20" s="1"/>
  <c r="X51" i="7" a="1"/>
  <c r="X51" i="7" s="1"/>
  <c r="Z73" i="20" a="1"/>
  <c r="Z73" i="20" s="1"/>
  <c r="V49" i="20" a="1"/>
  <c r="V49" i="20" s="1"/>
  <c r="V91" i="20" a="1"/>
  <c r="V91" i="20" s="1"/>
  <c r="AD103" i="7" a="1"/>
  <c r="AD103" i="7" s="1"/>
  <c r="AA55" i="20" a="1"/>
  <c r="AA55" i="20" s="1"/>
  <c r="Z46" i="20" a="1"/>
  <c r="Z46" i="20" s="1"/>
  <c r="AD63" i="7" a="1"/>
  <c r="AD63" i="7" s="1"/>
  <c r="AB87" i="20" a="1"/>
  <c r="AB87" i="20" s="1"/>
  <c r="X36" i="7" a="1"/>
  <c r="X36" i="7" s="1"/>
  <c r="V93" i="7" a="1"/>
  <c r="V93" i="7" s="1"/>
  <c r="X100" i="20" a="1"/>
  <c r="X100" i="20" s="1"/>
  <c r="AB67" i="20" a="1"/>
  <c r="AB67" i="20" s="1"/>
  <c r="AB106" i="20" a="1"/>
  <c r="AB106" i="20" s="1"/>
  <c r="W51" i="20" a="1"/>
  <c r="W51" i="20" s="1"/>
  <c r="Z89" i="20" a="1"/>
  <c r="Z89" i="20" s="1"/>
  <c r="X57" i="20" a="1"/>
  <c r="X57" i="20" s="1"/>
  <c r="V89" i="20" a="1"/>
  <c r="V89" i="20" s="1"/>
  <c r="V30" i="7" a="1"/>
  <c r="V30" i="7" s="1"/>
  <c r="V81" i="20" a="1"/>
  <c r="V81" i="20" s="1"/>
  <c r="Z93" i="20" a="1"/>
  <c r="Z93" i="20" s="1"/>
  <c r="V98" i="20" a="1"/>
  <c r="V98" i="20" s="1"/>
  <c r="W90" i="20" a="1"/>
  <c r="W90" i="20" s="1"/>
  <c r="X104" i="20" a="1"/>
  <c r="X104" i="20" s="1"/>
  <c r="AA67" i="20" a="1"/>
  <c r="AA67" i="20" s="1"/>
  <c r="Y74" i="20" a="1"/>
  <c r="Y74" i="20" s="1"/>
  <c r="W60" i="7" a="1"/>
  <c r="W60" i="7" s="1"/>
  <c r="X63" i="20" a="1"/>
  <c r="X63" i="20" s="1"/>
  <c r="Y109" i="20" a="1"/>
  <c r="Y109" i="20" s="1"/>
  <c r="AB97" i="20" a="1"/>
  <c r="AB97" i="20" s="1"/>
  <c r="AA54" i="20" a="1"/>
  <c r="AA54" i="20" s="1"/>
  <c r="V43" i="7" a="1"/>
  <c r="V43" i="7" s="1"/>
  <c r="Z70" i="20" a="1"/>
  <c r="Z70" i="20" s="1"/>
  <c r="AA81" i="20" a="1"/>
  <c r="AA81" i="20" s="1"/>
  <c r="Z72" i="20" a="1"/>
  <c r="Z72" i="20" s="1"/>
  <c r="V63" i="20" a="1"/>
  <c r="V63" i="20" s="1"/>
  <c r="W53" i="20" a="1"/>
  <c r="W53" i="20" s="1"/>
  <c r="X71" i="20" a="1"/>
  <c r="X71" i="20" s="1"/>
  <c r="X41" i="20" a="1"/>
  <c r="X41" i="20" s="1"/>
  <c r="Z53" i="20" a="1"/>
  <c r="Z53" i="20" s="1"/>
  <c r="AA52" i="20" a="1"/>
  <c r="AA52" i="20" s="1"/>
  <c r="Z77" i="20" a="1"/>
  <c r="Z77" i="20" s="1"/>
  <c r="X67" i="20" a="1"/>
  <c r="X67" i="20" s="1"/>
  <c r="W79" i="20" a="1"/>
  <c r="W79" i="20" s="1"/>
  <c r="X46" i="20" a="1"/>
  <c r="X46" i="20" s="1"/>
  <c r="X84" i="20" a="1"/>
  <c r="X84" i="20" s="1"/>
  <c r="AD102" i="7" a="1"/>
  <c r="AD102" i="7" s="1"/>
  <c r="W55" i="20" a="1"/>
  <c r="W55" i="20" s="1"/>
  <c r="W69" i="20" a="1"/>
  <c r="W69" i="20" s="1"/>
  <c r="AA30" i="20" a="1"/>
  <c r="AA30" i="20" s="1"/>
  <c r="AB66" i="20" a="1"/>
  <c r="AB66" i="20" s="1"/>
  <c r="Z74" i="20" a="1"/>
  <c r="Z74" i="20" s="1"/>
  <c r="AB71" i="20" a="1"/>
  <c r="AB71" i="20" s="1"/>
  <c r="X90" i="20" a="1"/>
  <c r="X90" i="20" s="1"/>
  <c r="AB33" i="20" a="1"/>
  <c r="AB33" i="20" s="1"/>
  <c r="X107" i="20" a="1"/>
  <c r="X107" i="20" s="1"/>
  <c r="X74" i="7" a="1"/>
  <c r="X74" i="7" s="1"/>
  <c r="AB56" i="20" a="1"/>
  <c r="AB56" i="20" s="1"/>
  <c r="W91" i="7" a="1"/>
  <c r="W91" i="7" s="1"/>
  <c r="X82" i="20" a="1"/>
  <c r="X82" i="20" s="1"/>
  <c r="AA65" i="20" a="1"/>
  <c r="AA65" i="20" s="1"/>
  <c r="AD98" i="7" a="1"/>
  <c r="AD98" i="7" s="1"/>
  <c r="AA90" i="20" a="1"/>
  <c r="AA90" i="20" s="1"/>
  <c r="V68" i="7" a="1"/>
  <c r="V68" i="7" s="1"/>
  <c r="AB102" i="20" a="1"/>
  <c r="AB102" i="20" s="1"/>
  <c r="AA50" i="20" a="1"/>
  <c r="AA50" i="20" s="1"/>
  <c r="X58" i="7" a="1"/>
  <c r="X58" i="7" s="1"/>
  <c r="W54" i="7" a="1"/>
  <c r="W54" i="7" s="1"/>
  <c r="W63" i="20" a="1"/>
  <c r="W63" i="20" s="1"/>
  <c r="W84" i="20" a="1"/>
  <c r="W84" i="20" s="1"/>
  <c r="W100" i="20" a="1"/>
  <c r="W100" i="20" s="1"/>
  <c r="W78" i="20" a="1"/>
  <c r="W78" i="20" s="1"/>
  <c r="AA63" i="20" a="1"/>
  <c r="AA63" i="20" s="1"/>
  <c r="V95" i="20" a="1"/>
  <c r="V95" i="20" s="1"/>
  <c r="Y110" i="20" a="1"/>
  <c r="Y110" i="20" s="1"/>
  <c r="X69" i="20" a="1"/>
  <c r="X69" i="20" s="1"/>
  <c r="AB76" i="20" a="1"/>
  <c r="AB76" i="20" s="1"/>
  <c r="V29" i="20" a="1"/>
  <c r="V29" i="20" s="1"/>
  <c r="V68" i="20" a="1"/>
  <c r="V68" i="20" s="1"/>
  <c r="AA86" i="20" a="1"/>
  <c r="AA86" i="20" s="1"/>
  <c r="Y85" i="20" a="1"/>
  <c r="Y85" i="20" s="1"/>
  <c r="AA101" i="20" a="1"/>
  <c r="AA101" i="20" s="1"/>
  <c r="V35" i="7" a="1"/>
  <c r="V35" i="7" s="1"/>
  <c r="Y65" i="20" a="1"/>
  <c r="Y65" i="20" s="1"/>
  <c r="AB88" i="20" a="1"/>
  <c r="AB88" i="20" s="1"/>
  <c r="Y54" i="20" a="1"/>
  <c r="Y54" i="20" s="1"/>
  <c r="W94" i="20" a="1"/>
  <c r="W94" i="20" s="1"/>
  <c r="V85" i="20" a="1"/>
  <c r="V85" i="20" s="1"/>
  <c r="AA31" i="20" a="1"/>
  <c r="AA31" i="20" s="1"/>
  <c r="V47" i="7" a="1"/>
  <c r="V47" i="7" s="1"/>
  <c r="Y32" i="20" a="1"/>
  <c r="Y32" i="20" s="1"/>
  <c r="AB40" i="20" a="1"/>
  <c r="AB40" i="20" s="1"/>
  <c r="V48" i="20" a="1"/>
  <c r="V48" i="20" s="1"/>
  <c r="AD74" i="7" a="1"/>
  <c r="AD74" i="7" s="1"/>
  <c r="AA96" i="20" a="1"/>
  <c r="AA96" i="20" s="1"/>
  <c r="AA37" i="20" a="1"/>
  <c r="AA37" i="20" s="1"/>
  <c r="X60" i="20" a="1"/>
  <c r="X60" i="20" s="1"/>
  <c r="W99" i="20" a="1"/>
  <c r="W99" i="20" s="1"/>
  <c r="W31" i="20" a="1"/>
  <c r="W31" i="20" s="1"/>
  <c r="AD73" i="7" a="1"/>
  <c r="AD73" i="7" s="1"/>
  <c r="W62" i="20" a="1"/>
  <c r="W62" i="20" s="1"/>
  <c r="X98" i="20" a="1"/>
  <c r="X98" i="20" s="1"/>
  <c r="V44" i="20" a="1"/>
  <c r="V44" i="20" s="1"/>
  <c r="AD104" i="7" a="1"/>
  <c r="AD104" i="7" s="1"/>
  <c r="X50" i="7" a="1"/>
  <c r="X50" i="7" s="1"/>
  <c r="AB108" i="20" a="1"/>
  <c r="AB108" i="20" s="1"/>
  <c r="W86" i="20" a="1"/>
  <c r="W86" i="20" s="1"/>
  <c r="X94" i="20" a="1"/>
  <c r="X94" i="20" s="1"/>
  <c r="AB57" i="20" a="1"/>
  <c r="AB57" i="20" s="1"/>
  <c r="Y92" i="20" a="1"/>
  <c r="Y92" i="20" s="1"/>
  <c r="AD52" i="7" a="1"/>
  <c r="AD52" i="7" s="1"/>
  <c r="AA51" i="20" a="1"/>
  <c r="AA51" i="20" s="1"/>
  <c r="Z105" i="20" a="1"/>
  <c r="Z105" i="20" s="1"/>
  <c r="V59" i="20" a="1"/>
  <c r="V59" i="20" s="1"/>
  <c r="Y50" i="20" a="1"/>
  <c r="Y50" i="20" s="1"/>
  <c r="W65" i="20" a="1"/>
  <c r="W65" i="20" s="1"/>
  <c r="W64" i="20" a="1"/>
  <c r="W64" i="20" s="1"/>
  <c r="Z62" i="20" a="1"/>
  <c r="Z62" i="20" s="1"/>
  <c r="AA57" i="20" a="1"/>
  <c r="AA57" i="20" s="1"/>
  <c r="X69" i="7" a="1"/>
  <c r="X69" i="7" s="1"/>
  <c r="V69" i="20" a="1"/>
  <c r="V69" i="20" s="1"/>
  <c r="AB107" i="20" a="1"/>
  <c r="AB107" i="20" s="1"/>
  <c r="AB50" i="20" a="1"/>
  <c r="AB50" i="20" s="1"/>
  <c r="V87" i="20" a="1"/>
  <c r="V87" i="20" s="1"/>
  <c r="AB55" i="20" a="1"/>
  <c r="AB55" i="20" s="1"/>
  <c r="X65" i="20" a="1"/>
  <c r="X65" i="20" s="1"/>
  <c r="Y54" i="7" a="1"/>
  <c r="Y54" i="7" s="1"/>
  <c r="Y31" i="20" a="1"/>
  <c r="Y31" i="20" s="1"/>
  <c r="AA107" i="20" a="1"/>
  <c r="AA107" i="20" s="1"/>
  <c r="AB48" i="20" a="1"/>
  <c r="AB48" i="20" s="1"/>
  <c r="W32" i="20" a="1"/>
  <c r="W32" i="20" s="1"/>
  <c r="Z57" i="20" a="1"/>
  <c r="Z57" i="20" s="1"/>
  <c r="AB110" i="20" a="1"/>
  <c r="AB110" i="20" s="1"/>
  <c r="AA40" i="20" a="1"/>
  <c r="AA40" i="20" s="1"/>
  <c r="W71" i="20" a="1"/>
  <c r="W71" i="20" s="1"/>
  <c r="AA74" i="20" a="1"/>
  <c r="AA74" i="20" s="1"/>
  <c r="AD83" i="7" a="1"/>
  <c r="AD83" i="7" s="1"/>
  <c r="V78" i="20" a="1"/>
  <c r="V78" i="20" s="1"/>
  <c r="Y108" i="20" a="1"/>
  <c r="Y108" i="20" s="1"/>
  <c r="Y105" i="20" a="1"/>
  <c r="Y105" i="20" s="1"/>
  <c r="W108" i="20" a="1"/>
  <c r="W108" i="20" s="1"/>
  <c r="X103" i="20" a="1"/>
  <c r="X103" i="20" s="1"/>
  <c r="X38" i="20" a="1"/>
  <c r="X38" i="20" s="1"/>
  <c r="Y44" i="20" a="1"/>
  <c r="Y44" i="20" s="1"/>
  <c r="AA103" i="20" a="1"/>
  <c r="AA103" i="20" s="1"/>
  <c r="W61" i="7" a="1"/>
  <c r="W61" i="7" s="1"/>
  <c r="AD92" i="7" a="1"/>
  <c r="AD92" i="7" s="1"/>
  <c r="Z44" i="20" a="1"/>
  <c r="Z44" i="20" s="1"/>
  <c r="X89" i="20" a="1"/>
  <c r="X89" i="20" s="1"/>
  <c r="V55" i="20" a="1"/>
  <c r="V55" i="20" s="1"/>
  <c r="AB63" i="20" a="1"/>
  <c r="AB63" i="20" s="1"/>
  <c r="X37" i="20" a="1"/>
  <c r="X37" i="20" s="1"/>
  <c r="Y37" i="20" a="1"/>
  <c r="Y37" i="20" s="1"/>
  <c r="V46" i="20" a="1"/>
  <c r="V46" i="20" s="1"/>
  <c r="AD60" i="7" a="1"/>
  <c r="AD60" i="7" s="1"/>
  <c r="W52" i="20" a="1"/>
  <c r="W52" i="20" s="1"/>
  <c r="Y73" i="20" a="1"/>
  <c r="Y73" i="20" s="1"/>
  <c r="AB68" i="20" a="1"/>
  <c r="AB68" i="20" s="1"/>
  <c r="AB53" i="20" a="1"/>
  <c r="AB53" i="20" s="1"/>
  <c r="W101" i="20" a="1"/>
  <c r="W101" i="20" s="1"/>
  <c r="X110" i="20" a="1"/>
  <c r="X110" i="20" s="1"/>
  <c r="W104" i="20" a="1"/>
  <c r="W104" i="20" s="1"/>
  <c r="X95" i="20" a="1"/>
  <c r="X95" i="20" s="1"/>
  <c r="W49" i="20" a="1"/>
  <c r="W49" i="20" s="1"/>
  <c r="AB46" i="20" a="1"/>
  <c r="AB46" i="20" s="1"/>
  <c r="Z81" i="20" a="1"/>
  <c r="Z81" i="20" s="1"/>
  <c r="Y79" i="20" a="1"/>
  <c r="Y79" i="20" s="1"/>
  <c r="W93" i="7" a="1"/>
  <c r="W93" i="7" s="1"/>
  <c r="W39" i="20" a="1"/>
  <c r="W39" i="20" s="1"/>
  <c r="V33" i="20" a="1"/>
  <c r="V33" i="20" s="1"/>
  <c r="V40" i="20" a="1"/>
  <c r="V40" i="20" s="1"/>
  <c r="X85" i="20" a="1"/>
  <c r="X85" i="20" s="1"/>
  <c r="AB35" i="20" a="1"/>
  <c r="AB35" i="20" s="1"/>
  <c r="Z80" i="20" a="1"/>
  <c r="Z80" i="20" s="1"/>
  <c r="Y98" i="20" a="1"/>
  <c r="Y98" i="20" s="1"/>
  <c r="W67" i="20" a="1"/>
  <c r="W67" i="20" s="1"/>
  <c r="AA73" i="20" a="1"/>
  <c r="AA73" i="20" s="1"/>
  <c r="Y40" i="20" a="1"/>
  <c r="Y40" i="20" s="1"/>
  <c r="Z67" i="20" a="1"/>
  <c r="Z67" i="20" s="1"/>
  <c r="AB44" i="20" a="1"/>
  <c r="AB44" i="20" s="1"/>
  <c r="V103" i="20" a="1"/>
  <c r="V103" i="20" s="1"/>
  <c r="Y99" i="20" a="1"/>
  <c r="Y99" i="20" s="1"/>
  <c r="Y59" i="20" a="1"/>
  <c r="Y59" i="20" s="1"/>
  <c r="AA106" i="20" a="1"/>
  <c r="AA106" i="20" s="1"/>
  <c r="V34" i="20" a="1"/>
  <c r="V34" i="20" s="1"/>
  <c r="AA44" i="20" a="1"/>
  <c r="AA44" i="20" s="1"/>
  <c r="AD86" i="7" a="1"/>
  <c r="AD86" i="7" s="1"/>
  <c r="Y76" i="20" a="1"/>
  <c r="Y76" i="20" s="1"/>
  <c r="AD34" i="7" a="1"/>
  <c r="AD34" i="7" s="1"/>
  <c r="Z58" i="20" a="1"/>
  <c r="Z58" i="20" s="1"/>
  <c r="Z52" i="20" a="1"/>
  <c r="Z52" i="20" s="1"/>
  <c r="W72" i="20" a="1"/>
  <c r="W72" i="20" s="1"/>
  <c r="AD32" i="7" a="1"/>
  <c r="AD32" i="7" s="1"/>
  <c r="AD85" i="7" a="1"/>
  <c r="AD85" i="7" s="1"/>
  <c r="X74" i="20" a="1"/>
  <c r="X74" i="20" s="1"/>
  <c r="AB38" i="20" a="1"/>
  <c r="AB38" i="20" s="1"/>
  <c r="AA58" i="20" a="1"/>
  <c r="AA58" i="20" s="1"/>
  <c r="AB105" i="20" a="1"/>
  <c r="AB105" i="20" s="1"/>
  <c r="AD40" i="7" a="1"/>
  <c r="AD40" i="7" s="1"/>
  <c r="Y52" i="20" a="1"/>
  <c r="Y52" i="20" s="1"/>
  <c r="V30" i="20" a="1"/>
  <c r="V30" i="20" s="1"/>
  <c r="W40" i="7" a="1"/>
  <c r="W40" i="7" s="1"/>
  <c r="AA108" i="20" a="1"/>
  <c r="AA108" i="20" s="1"/>
  <c r="X31" i="20" a="1"/>
  <c r="X31" i="20" s="1"/>
  <c r="W97" i="20" a="1"/>
  <c r="W97" i="20" s="1"/>
  <c r="Y101" i="20" a="1"/>
  <c r="Y101" i="20" s="1"/>
  <c r="AD80" i="7" a="1"/>
  <c r="AD80" i="7" s="1"/>
  <c r="W83" i="7" a="1"/>
  <c r="W83" i="7" s="1"/>
  <c r="V77" i="20" a="1"/>
  <c r="V77" i="20" s="1"/>
  <c r="W76" i="20" a="1"/>
  <c r="W76" i="20" s="1"/>
  <c r="Y87" i="20" a="1"/>
  <c r="Y87" i="20" s="1"/>
  <c r="W81" i="7" a="1"/>
  <c r="W81" i="7" s="1"/>
  <c r="V47" i="20" a="1"/>
  <c r="V47" i="20" s="1"/>
  <c r="X46" i="7" a="1"/>
  <c r="X46" i="7" s="1"/>
  <c r="Z83" i="20" a="1"/>
  <c r="Z83" i="20" s="1"/>
  <c r="AA35" i="20" a="1"/>
  <c r="AA35" i="20" s="1"/>
  <c r="Y67" i="20" a="1"/>
  <c r="Y67" i="20" s="1"/>
  <c r="Z61" i="20" a="1"/>
  <c r="Z61" i="20" s="1"/>
  <c r="Z63" i="20" a="1"/>
  <c r="Z63" i="20" s="1"/>
  <c r="X93" i="7" a="1"/>
  <c r="X93" i="7" s="1"/>
  <c r="AA70" i="20" a="1"/>
  <c r="AA70" i="20" s="1"/>
  <c r="Y61" i="20" a="1"/>
  <c r="Y61" i="20" s="1"/>
  <c r="X77" i="7" a="1"/>
  <c r="X77" i="7" s="1"/>
  <c r="AD81" i="7" a="1"/>
  <c r="AD81" i="7" s="1"/>
  <c r="AB31" i="20" a="1"/>
  <c r="AB31" i="20" s="1"/>
  <c r="Z36" i="20" a="1"/>
  <c r="Z36" i="20" s="1"/>
  <c r="AA60" i="20" a="1"/>
  <c r="AA60" i="20" s="1"/>
  <c r="AA71" i="20" a="1"/>
  <c r="AA71" i="20" s="1"/>
  <c r="W104" i="7" a="1"/>
  <c r="W104" i="7" s="1"/>
  <c r="AB95" i="20" a="1"/>
  <c r="AB95" i="20" s="1"/>
  <c r="V61" i="20" a="1"/>
  <c r="V61" i="20" s="1"/>
  <c r="V88" i="20" a="1"/>
  <c r="V88" i="20" s="1"/>
  <c r="Z34" i="20" a="1"/>
  <c r="Z34" i="20" s="1"/>
  <c r="Y41" i="20" a="1"/>
  <c r="Y41" i="20" s="1"/>
  <c r="Z47" i="20" a="1"/>
  <c r="Z47" i="20" s="1"/>
  <c r="W96" i="20" a="1"/>
  <c r="W96" i="20" s="1"/>
  <c r="X87" i="20" a="1"/>
  <c r="X87" i="20" s="1"/>
  <c r="Y97" i="20" a="1"/>
  <c r="Y97" i="20" s="1"/>
  <c r="W83" i="20" a="1"/>
  <c r="W83" i="20" s="1"/>
  <c r="X75" i="20" a="1"/>
  <c r="X75" i="20" s="1"/>
  <c r="X73" i="20" a="1"/>
  <c r="X73" i="20" s="1"/>
  <c r="Y86" i="20" a="1"/>
  <c r="Y86" i="20" s="1"/>
  <c r="V97" i="20" a="1"/>
  <c r="V97" i="20" s="1"/>
  <c r="AD42" i="7" a="1"/>
  <c r="AD42" i="7" s="1"/>
  <c r="X76" i="20" a="1"/>
  <c r="X76" i="20" s="1"/>
  <c r="Z95" i="20" a="1"/>
  <c r="Z95" i="20" s="1"/>
  <c r="AD95" i="7" a="1"/>
  <c r="AD95" i="7" s="1"/>
  <c r="AD105" i="7" a="1"/>
  <c r="AD105" i="7" s="1"/>
  <c r="V63" i="7" a="1"/>
  <c r="V63" i="7" s="1"/>
  <c r="AA59" i="20" a="1"/>
  <c r="AA59" i="20" s="1"/>
  <c r="Z107" i="20" a="1"/>
  <c r="Z107" i="20" s="1"/>
  <c r="V50" i="20" a="1"/>
  <c r="V50" i="20" s="1"/>
  <c r="V52" i="20" a="1"/>
  <c r="V52" i="20" s="1"/>
  <c r="Y49" i="20" a="1"/>
  <c r="Y49" i="20" s="1"/>
  <c r="W66" i="20" a="1"/>
  <c r="W66" i="20" s="1"/>
  <c r="Y96" i="20" a="1"/>
  <c r="Y96" i="20" s="1"/>
  <c r="X91" i="20" a="1"/>
  <c r="X91" i="20" s="1"/>
  <c r="W56" i="20" a="1"/>
  <c r="W56" i="20" s="1"/>
  <c r="Y57" i="20" a="1"/>
  <c r="Y57" i="20" s="1"/>
  <c r="AB59" i="20" a="1"/>
  <c r="AB59" i="20" s="1"/>
  <c r="Z106" i="20" a="1"/>
  <c r="Z106" i="20" s="1"/>
  <c r="Z40" i="20" a="1"/>
  <c r="Z40" i="20" s="1"/>
  <c r="Y55" i="20" a="1"/>
  <c r="Y55" i="20" s="1"/>
  <c r="Z43" i="20" a="1"/>
  <c r="Z43" i="20" s="1"/>
  <c r="X96" i="20" a="1"/>
  <c r="X96" i="20" s="1"/>
  <c r="Z86" i="20" a="1"/>
  <c r="Z86" i="20" s="1"/>
  <c r="Z91" i="20" a="1"/>
  <c r="Z91" i="20" s="1"/>
  <c r="Z55" i="20" a="1"/>
  <c r="Z55" i="20" s="1"/>
  <c r="AD70" i="7" a="1"/>
  <c r="AD70" i="7" s="1"/>
  <c r="V101" i="20" a="1"/>
  <c r="V101" i="20" s="1"/>
  <c r="Y56" i="7" a="1"/>
  <c r="Y56" i="7" s="1"/>
  <c r="V43" i="20" a="1"/>
  <c r="V43" i="20" s="1"/>
  <c r="AB36" i="20" a="1"/>
  <c r="AB36" i="20" s="1"/>
  <c r="V92" i="20" a="1"/>
  <c r="V92" i="20" s="1"/>
  <c r="AA36" i="20" a="1"/>
  <c r="AA36" i="20" s="1"/>
  <c r="AD78" i="7" a="1"/>
  <c r="AD78" i="7" s="1"/>
  <c r="Z76" i="20" a="1"/>
  <c r="Z76" i="20" s="1"/>
  <c r="W91" i="20" a="1"/>
  <c r="W91" i="20" s="1"/>
  <c r="AA84" i="20" a="1"/>
  <c r="AA84" i="20" s="1"/>
  <c r="AA99" i="20" a="1"/>
  <c r="AA99" i="20" s="1"/>
  <c r="AD96" i="7" a="1"/>
  <c r="AD96" i="7" s="1"/>
  <c r="V45" i="20" a="1"/>
  <c r="V45" i="20" s="1"/>
  <c r="AA46" i="20" a="1"/>
  <c r="AA46" i="20" s="1"/>
  <c r="X102" i="20" a="1"/>
  <c r="X102" i="20" s="1"/>
  <c r="AA75" i="20" a="1"/>
  <c r="AA75" i="20" s="1"/>
  <c r="Y106" i="20" a="1"/>
  <c r="Y106" i="20" s="1"/>
  <c r="AD69" i="7" a="1"/>
  <c r="AD69" i="7" s="1"/>
  <c r="AB49" i="20" a="1"/>
  <c r="AB49" i="20" s="1"/>
  <c r="V106" i="7" a="1"/>
  <c r="V106" i="7" s="1"/>
  <c r="Z82" i="20" a="1"/>
  <c r="Z82" i="20" s="1"/>
  <c r="AB78" i="20" a="1"/>
  <c r="AB78" i="20" s="1"/>
  <c r="AA94" i="20" a="1"/>
  <c r="AA94" i="20" s="1"/>
  <c r="AB91" i="20" a="1"/>
  <c r="AB91" i="20" s="1"/>
  <c r="V49" i="7" a="1"/>
  <c r="V49" i="7" s="1"/>
  <c r="AD44" i="7" a="1"/>
  <c r="AD44" i="7" s="1"/>
  <c r="W33" i="20" a="1"/>
  <c r="W33" i="20" s="1"/>
  <c r="AD33" i="7" a="1"/>
  <c r="AD33" i="7" s="1"/>
  <c r="X49" i="20" a="1"/>
  <c r="X49" i="20" s="1"/>
  <c r="AA68" i="20" a="1"/>
  <c r="AA68" i="20" s="1"/>
  <c r="AA76" i="20" a="1"/>
  <c r="AA76" i="20" s="1"/>
  <c r="V84" i="20" a="1"/>
  <c r="V84" i="20" s="1"/>
  <c r="W85" i="20" a="1"/>
  <c r="W85" i="20" s="1"/>
  <c r="AB104" i="20" a="1"/>
  <c r="AB104" i="20" s="1"/>
  <c r="W87" i="7" a="1"/>
  <c r="W87" i="7" s="1"/>
  <c r="Y100" i="20" a="1"/>
  <c r="Y100" i="20" s="1"/>
  <c r="Z75" i="20" a="1"/>
  <c r="Z75" i="20" s="1"/>
  <c r="AB65" i="20" a="1"/>
  <c r="AB65" i="20" s="1"/>
  <c r="Y62" i="20" a="1"/>
  <c r="Y62" i="20" s="1"/>
  <c r="W46" i="20" a="1"/>
  <c r="W46" i="20" s="1"/>
  <c r="AB42" i="20" a="1"/>
  <c r="AB42" i="20" s="1"/>
  <c r="Y34" i="20" a="1"/>
  <c r="Y34" i="20" s="1"/>
  <c r="W88" i="20" a="1"/>
  <c r="W88" i="20" s="1"/>
  <c r="V36" i="20" a="1"/>
  <c r="V36" i="20" s="1"/>
  <c r="Y51" i="20" a="1"/>
  <c r="Y51" i="20" s="1"/>
  <c r="W103" i="20" a="1"/>
  <c r="W103" i="20" s="1"/>
  <c r="W41" i="20" a="1"/>
  <c r="W41" i="20" s="1"/>
  <c r="Z33" i="20" a="1"/>
  <c r="Z33" i="20" s="1"/>
  <c r="W73" i="20" a="1"/>
  <c r="W73" i="20" s="1"/>
  <c r="W68" i="20" a="1"/>
  <c r="W68" i="20" s="1"/>
  <c r="V82" i="20" a="1"/>
  <c r="V82" i="20" s="1"/>
  <c r="Z65" i="20" a="1"/>
  <c r="Z65" i="20" s="1"/>
  <c r="AB54" i="20" a="1"/>
  <c r="AB54" i="20" s="1"/>
  <c r="Y104" i="20" a="1"/>
  <c r="Y104" i="20" s="1"/>
  <c r="Z92" i="20" a="1"/>
  <c r="Z92" i="20" s="1"/>
  <c r="W110" i="20" a="1"/>
  <c r="W110" i="20" s="1"/>
  <c r="V99" i="7" a="1"/>
  <c r="V99" i="7" s="1"/>
  <c r="AB96" i="20" a="1"/>
  <c r="AB96" i="20" s="1"/>
  <c r="AB72" i="20" a="1"/>
  <c r="AB72" i="20" s="1"/>
  <c r="V108" i="20" a="1"/>
  <c r="V108" i="20" s="1"/>
  <c r="X81" i="20" a="1"/>
  <c r="X81" i="20" s="1"/>
  <c r="Z78" i="20" a="1"/>
  <c r="Z78" i="20" s="1"/>
  <c r="AA82" i="20" a="1"/>
  <c r="AA82" i="20" s="1"/>
  <c r="V70" i="20" a="1"/>
  <c r="V70" i="20" s="1"/>
  <c r="Z96" i="20" a="1"/>
  <c r="Z96" i="20" s="1"/>
  <c r="AB64" i="20" a="1"/>
  <c r="AB64" i="20" s="1"/>
  <c r="X34" i="7" a="1"/>
  <c r="X34" i="7" s="1"/>
  <c r="AB52" i="20" a="1"/>
  <c r="AB52" i="20" s="1"/>
  <c r="W93" i="20" a="1"/>
  <c r="W93" i="20" s="1"/>
  <c r="AB32" i="20" a="1"/>
  <c r="AB32" i="20" s="1"/>
  <c r="AB82" i="20" a="1"/>
  <c r="AB82" i="20" s="1"/>
  <c r="Y80" i="20" a="1"/>
  <c r="Y80" i="20" s="1"/>
  <c r="X75" i="7" a="1"/>
  <c r="X75" i="7" s="1"/>
  <c r="V51" i="7" a="1"/>
  <c r="V51" i="7" s="1"/>
  <c r="Z45" i="20" a="1"/>
  <c r="Z45" i="20" s="1"/>
  <c r="AA79" i="20" a="1"/>
  <c r="AA79" i="20" s="1"/>
  <c r="AB99" i="20" a="1"/>
  <c r="AB99" i="20" s="1"/>
  <c r="Y33" i="20" a="1"/>
  <c r="Y33" i="20" s="1"/>
  <c r="Z39" i="20" a="1"/>
  <c r="Z39" i="20" s="1"/>
  <c r="V71" i="20" a="1"/>
  <c r="V71" i="20" s="1"/>
  <c r="AA83" i="20" a="1"/>
  <c r="AA83" i="20" s="1"/>
  <c r="Y82" i="20" a="1"/>
  <c r="Y82" i="20" s="1"/>
  <c r="Y103" i="20" a="1"/>
  <c r="Y103" i="20" s="1"/>
  <c r="Y71" i="20" a="1"/>
  <c r="Y71" i="20" s="1"/>
  <c r="Y58" i="20" a="1"/>
  <c r="Y58" i="20" s="1"/>
  <c r="X62" i="20" a="1"/>
  <c r="X62" i="20" s="1"/>
  <c r="X64" i="20" a="1"/>
  <c r="X64" i="20" s="1"/>
  <c r="AA95" i="20" a="1"/>
  <c r="AA95" i="20" s="1"/>
  <c r="Z59" i="20" a="1"/>
  <c r="Z59" i="20" s="1"/>
  <c r="AD43" i="7" a="1"/>
  <c r="AD43" i="7" s="1"/>
  <c r="Z99" i="20" a="1"/>
  <c r="Z99" i="20" s="1"/>
  <c r="W45" i="20" a="1"/>
  <c r="W45" i="20" s="1"/>
  <c r="AD55" i="7" a="1"/>
  <c r="AD55" i="7" s="1"/>
  <c r="Z64" i="20" a="1"/>
  <c r="Z64" i="20" s="1"/>
  <c r="V96" i="20" a="1"/>
  <c r="V96" i="20" s="1"/>
  <c r="W109" i="7" a="1"/>
  <c r="W109" i="7" s="1"/>
  <c r="AA92" i="20" a="1"/>
  <c r="AA92" i="20" s="1"/>
  <c r="Y48" i="20" a="1"/>
  <c r="Y48" i="20" s="1"/>
  <c r="AB58" i="20" a="1"/>
  <c r="AB58" i="20" s="1"/>
  <c r="Z50" i="20" a="1"/>
  <c r="Z50" i="20" s="1"/>
  <c r="Z109" i="20" a="1"/>
  <c r="Z109" i="20" s="1"/>
  <c r="AA87" i="20" a="1"/>
  <c r="AA87" i="20" s="1"/>
  <c r="X83" i="20" a="1"/>
  <c r="X83" i="20" s="1"/>
  <c r="X66" i="20" a="1"/>
  <c r="X66" i="20" s="1"/>
  <c r="W43" i="20" a="1"/>
  <c r="W43" i="20" s="1"/>
  <c r="V32" i="20" a="1"/>
  <c r="V32" i="20" s="1"/>
  <c r="W35" i="20" a="1"/>
  <c r="W35" i="20" s="1"/>
  <c r="AB100" i="20" a="1"/>
  <c r="AB100" i="20" s="1"/>
  <c r="W102" i="20" a="1"/>
  <c r="W102" i="20" s="1"/>
  <c r="V45" i="7" a="1"/>
  <c r="V45" i="7" s="1"/>
  <c r="AD75" i="7" a="1"/>
  <c r="AD75" i="7" s="1"/>
  <c r="AB30" i="20" a="1"/>
  <c r="AB30" i="20" s="1"/>
  <c r="W74" i="20" a="1"/>
  <c r="W74" i="20" s="1"/>
  <c r="Z49" i="20" a="1"/>
  <c r="Z49" i="20" s="1"/>
  <c r="Y84" i="20" a="1"/>
  <c r="Y84" i="20" s="1"/>
  <c r="AA48" i="20" a="1"/>
  <c r="AA48" i="20" s="1"/>
  <c r="AD66" i="7" a="1"/>
  <c r="AD66" i="7" s="1"/>
  <c r="X51" i="20" a="1"/>
  <c r="X51" i="20" s="1"/>
  <c r="Z90" i="20" a="1"/>
  <c r="Z90" i="20" s="1"/>
  <c r="V85" i="7" a="1"/>
  <c r="V85" i="7" s="1"/>
  <c r="AB98" i="20" a="1"/>
  <c r="AB98" i="20" s="1"/>
  <c r="X108" i="20" a="1"/>
  <c r="X108" i="20" s="1"/>
  <c r="X54" i="20" a="1"/>
  <c r="X54" i="20" s="1"/>
  <c r="AA49" i="20" a="1"/>
  <c r="AA49" i="20" s="1"/>
  <c r="Z35" i="20" a="1"/>
  <c r="Z35" i="20" s="1"/>
  <c r="Z32" i="20" a="1"/>
  <c r="Z32" i="20" s="1"/>
  <c r="AD49" i="7" a="1"/>
  <c r="AD49" i="7" s="1"/>
  <c r="V99" i="20" a="1"/>
  <c r="V99" i="20" s="1"/>
  <c r="X79" i="20" a="1"/>
  <c r="X79" i="20" s="1"/>
  <c r="AD47" i="7" a="1"/>
  <c r="AD47" i="7" s="1"/>
  <c r="V83" i="20" a="1"/>
  <c r="V83" i="20" s="1"/>
  <c r="X101" i="20" a="1"/>
  <c r="X101" i="20" s="1"/>
  <c r="Y75" i="20" a="1"/>
  <c r="Y75" i="20" s="1"/>
  <c r="Y64" i="20" a="1"/>
  <c r="Y64" i="20" s="1"/>
  <c r="AB90" i="20" a="1"/>
  <c r="AB90" i="20" s="1"/>
  <c r="AB94" i="20" a="1"/>
  <c r="AB94" i="20" s="1"/>
  <c r="AB85" i="20" a="1"/>
  <c r="AB85" i="20" s="1"/>
  <c r="AB93" i="20" a="1"/>
  <c r="AB93" i="20" s="1"/>
  <c r="V80" i="20" a="1"/>
  <c r="V80" i="20" s="1"/>
  <c r="Z66" i="20" a="1"/>
  <c r="Z66" i="20" s="1"/>
  <c r="Y78" i="20" a="1"/>
  <c r="Y78" i="20" s="1"/>
  <c r="X59" i="20" a="1"/>
  <c r="X59" i="20" s="1"/>
  <c r="Z31" i="20" a="1"/>
  <c r="Z31" i="20" s="1"/>
  <c r="X50" i="20" a="1"/>
  <c r="X50" i="20" s="1"/>
  <c r="V74" i="20" a="1"/>
  <c r="V74" i="20" s="1"/>
  <c r="AA39" i="20" a="1"/>
  <c r="AA39" i="20" s="1"/>
  <c r="AD38" i="7" a="1"/>
  <c r="AD38" i="7" s="1"/>
  <c r="X65" i="7" a="1"/>
  <c r="X65" i="7" s="1"/>
  <c r="AA53" i="20" a="1"/>
  <c r="AA53" i="20" s="1"/>
  <c r="AA56" i="20" a="1"/>
  <c r="AA56" i="20" s="1"/>
  <c r="AA100" i="20" a="1"/>
  <c r="AA100" i="20" s="1"/>
  <c r="X42" i="20" a="1"/>
  <c r="X42" i="20" s="1"/>
  <c r="V37" i="20" a="1"/>
  <c r="V37" i="20" s="1"/>
  <c r="Y107" i="20" a="1"/>
  <c r="Y107" i="20" s="1"/>
  <c r="AA64" i="20" a="1"/>
  <c r="AA64" i="20" s="1"/>
  <c r="V66" i="20" a="1"/>
  <c r="V66" i="20" s="1"/>
  <c r="V90" i="20" a="1"/>
  <c r="V90" i="20" s="1"/>
  <c r="AA32" i="20" a="1"/>
  <c r="AA32" i="20" s="1"/>
  <c r="V39" i="7" a="1"/>
  <c r="V39" i="7" s="1"/>
  <c r="AB73" i="20" a="1"/>
  <c r="AB73" i="20" s="1"/>
  <c r="W29" i="20" a="1"/>
  <c r="W29" i="20" s="1"/>
  <c r="AA61" i="20" a="1"/>
  <c r="AA61" i="20" s="1"/>
  <c r="Y30" i="20" a="1"/>
  <c r="Y30" i="20" s="1"/>
  <c r="Z110" i="20" a="1"/>
  <c r="Z110" i="20" s="1"/>
  <c r="V109" i="20" a="1"/>
  <c r="V109" i="20" s="1"/>
  <c r="W38" i="20" a="1"/>
  <c r="W38" i="20" s="1"/>
  <c r="AB109" i="20" a="1"/>
  <c r="AB109" i="20" s="1"/>
  <c r="Y91" i="20" a="1"/>
  <c r="Y91" i="20" s="1"/>
  <c r="W106" i="20" a="1"/>
  <c r="W106" i="20" s="1"/>
  <c r="AA69" i="20" a="1"/>
  <c r="AA69" i="20" s="1"/>
  <c r="Z42" i="20" a="1"/>
  <c r="Z42" i="20" s="1"/>
  <c r="Y69" i="20" a="1"/>
  <c r="Y69" i="20" s="1"/>
  <c r="W42" i="20" a="1"/>
  <c r="W42" i="20" s="1"/>
  <c r="Z87" i="20" a="1"/>
  <c r="Z87" i="20" s="1"/>
  <c r="AB60" i="20" a="1"/>
  <c r="AB60" i="20" s="1"/>
  <c r="Z68" i="20" a="1"/>
  <c r="Z68" i="20" s="1"/>
  <c r="W48" i="20" a="1"/>
  <c r="W48" i="20" s="1"/>
  <c r="AA97" i="20" a="1"/>
  <c r="AA97" i="20" s="1"/>
  <c r="W97" i="7" a="1"/>
  <c r="W97" i="7" s="1"/>
  <c r="AD101" i="7" a="1"/>
  <c r="AD101" i="7" s="1"/>
  <c r="Y83" i="20" a="1"/>
  <c r="Y83" i="20" s="1"/>
  <c r="X32" i="20" a="1"/>
  <c r="X32" i="20" s="1"/>
  <c r="AA43" i="20" a="1"/>
  <c r="AA43" i="20" s="1"/>
  <c r="X80" i="20" a="1"/>
  <c r="X80" i="20" s="1"/>
  <c r="Y42" i="20" a="1"/>
  <c r="Y42" i="20" s="1"/>
  <c r="W89" i="20" a="1"/>
  <c r="W89" i="20" s="1"/>
  <c r="W87" i="20" a="1"/>
  <c r="W87" i="20" s="1"/>
  <c r="X34" i="20" a="1"/>
  <c r="X34" i="20" s="1"/>
  <c r="Y77" i="20" a="1"/>
  <c r="Y77" i="20" s="1"/>
  <c r="AA47" i="20" a="1"/>
  <c r="AA47" i="20" s="1"/>
  <c r="Y68" i="20" a="1"/>
  <c r="Y68" i="20" s="1"/>
  <c r="AB75" i="20" a="1"/>
  <c r="AB75" i="20" s="1"/>
  <c r="W98" i="20" a="1"/>
  <c r="W98" i="20" s="1"/>
  <c r="V72" i="20" a="1"/>
  <c r="V72" i="20" s="1"/>
  <c r="W107" i="20" a="1"/>
  <c r="W107" i="20" s="1"/>
  <c r="W109" i="20" a="1"/>
  <c r="W109" i="20" s="1"/>
  <c r="W37" i="20" a="1"/>
  <c r="W37" i="20" s="1"/>
  <c r="X78" i="20" a="1"/>
  <c r="X78" i="20" s="1"/>
  <c r="Z100" i="20" a="1"/>
  <c r="Z100" i="20" s="1"/>
  <c r="AA105" i="20" a="1"/>
  <c r="AA105" i="20" s="1"/>
  <c r="V35" i="20" a="1"/>
  <c r="V35" i="20" s="1"/>
  <c r="X53" i="20" a="1"/>
  <c r="X53" i="20" s="1"/>
  <c r="AB39" i="20" a="1"/>
  <c r="AB39" i="20" s="1"/>
  <c r="V70" i="7" a="1"/>
  <c r="V70" i="7" s="1"/>
  <c r="Z104" i="20" a="1"/>
  <c r="Z104" i="20" s="1"/>
  <c r="Y47" i="20" a="1"/>
  <c r="Y47" i="20" s="1"/>
  <c r="Y39" i="20" a="1"/>
  <c r="Y39" i="20" s="1"/>
  <c r="W34" i="20" a="1"/>
  <c r="W34" i="20" s="1"/>
  <c r="Z51" i="20" a="1"/>
  <c r="Z51" i="20" s="1"/>
  <c r="Z71" i="20" a="1"/>
  <c r="Z71" i="20" s="1"/>
  <c r="W32" i="7" a="1"/>
  <c r="W32" i="7" s="1"/>
  <c r="Y35" i="20" a="1"/>
  <c r="Y35" i="20" s="1"/>
  <c r="Y46" i="20" a="1"/>
  <c r="Y46" i="20" s="1"/>
  <c r="X29" i="20" a="1"/>
  <c r="X29" i="20" s="1"/>
  <c r="AB81" i="20" a="1"/>
  <c r="AB81" i="20" s="1"/>
  <c r="W82" i="20" a="1"/>
  <c r="W82" i="20" s="1"/>
  <c r="Y53" i="7" a="1"/>
  <c r="Y53" i="7" s="1"/>
  <c r="Z79" i="20" a="1"/>
  <c r="Z79" i="20" s="1"/>
  <c r="AD79" i="7" a="1"/>
  <c r="AD79" i="7" s="1"/>
  <c r="V87" i="7" a="1"/>
  <c r="V87" i="7" s="1"/>
  <c r="AD72" i="7" a="1"/>
  <c r="AD72" i="7" s="1"/>
  <c r="AB45" i="20" a="1"/>
  <c r="AB45" i="20" s="1"/>
  <c r="V60" i="20" a="1"/>
  <c r="V60" i="20" s="1"/>
  <c r="AA91" i="20" a="1"/>
  <c r="AA91" i="20" s="1"/>
  <c r="AA41" i="20" a="1"/>
  <c r="AA41" i="20" s="1"/>
  <c r="X33" i="20" a="1"/>
  <c r="X33" i="20" s="1"/>
  <c r="W95" i="20" a="1"/>
  <c r="W95" i="20" s="1"/>
  <c r="AA88" i="20" a="1"/>
  <c r="AA88" i="20" s="1"/>
  <c r="X58" i="20" a="1"/>
  <c r="X58" i="20" s="1"/>
  <c r="X36" i="20" a="1"/>
  <c r="X36" i="20" s="1"/>
  <c r="AA89" i="20" a="1"/>
  <c r="AA89" i="20" s="1"/>
  <c r="X86" i="20" a="1"/>
  <c r="X86" i="20" s="1"/>
  <c r="AA77" i="20" a="1"/>
  <c r="AA77" i="20" s="1"/>
  <c r="Y63" i="20" a="1"/>
  <c r="Y63" i="20" s="1"/>
  <c r="V58" i="20" a="1"/>
  <c r="V58" i="20" s="1"/>
  <c r="W50" i="20" a="1"/>
  <c r="W50" i="20" s="1"/>
  <c r="AB34" i="20" a="1"/>
  <c r="AB34" i="20" s="1"/>
  <c r="AD68" i="7" a="1"/>
  <c r="AD68" i="7" s="1"/>
  <c r="V42" i="20" a="1"/>
  <c r="V42" i="20" s="1"/>
  <c r="X56" i="20" a="1"/>
  <c r="X56" i="20" s="1"/>
  <c r="V67" i="20" a="1"/>
  <c r="V67" i="20" s="1"/>
  <c r="AD59" i="7" a="1"/>
  <c r="AD59" i="7" s="1"/>
  <c r="AB47" i="20" a="1"/>
  <c r="AB47" i="20" s="1"/>
  <c r="V65" i="20" a="1"/>
  <c r="V65" i="20" s="1"/>
  <c r="W62" i="7" a="1"/>
  <c r="W62" i="7" s="1"/>
  <c r="AA80" i="20" a="1"/>
  <c r="AA80" i="20" s="1"/>
  <c r="W53" i="7" a="1"/>
  <c r="W53" i="7" s="1"/>
  <c r="AB89" i="20" a="1"/>
  <c r="AB89" i="20" s="1"/>
  <c r="AA38" i="20" a="1"/>
  <c r="AA38" i="20" s="1"/>
  <c r="V88" i="7" a="1"/>
  <c r="V88" i="7" s="1"/>
  <c r="W58" i="20" a="1"/>
  <c r="W58" i="20" s="1"/>
  <c r="AA109" i="20" a="1"/>
  <c r="AA109" i="20" s="1"/>
  <c r="AB62" i="20" a="1"/>
  <c r="AB62" i="20" s="1"/>
  <c r="AD108" i="7" a="1"/>
  <c r="AD108" i="7" s="1"/>
  <c r="Y38" i="20" a="1"/>
  <c r="Y38" i="20" s="1"/>
  <c r="AB86" i="20" a="1"/>
  <c r="AB86" i="20" s="1"/>
  <c r="X48" i="20" a="1"/>
  <c r="X48" i="20" s="1"/>
  <c r="V100" i="20" a="1"/>
  <c r="V100" i="20" s="1"/>
  <c r="W110" i="7" a="1"/>
  <c r="W110" i="7" s="1"/>
  <c r="AB70" i="20" a="1"/>
  <c r="AB70" i="20" s="1"/>
  <c r="X109" i="20" a="1"/>
  <c r="X109" i="20" s="1"/>
  <c r="X44" i="20" a="1"/>
  <c r="X44" i="20" s="1"/>
  <c r="V53" i="20" a="1"/>
  <c r="V53" i="20" s="1"/>
  <c r="V106" i="20" a="1"/>
  <c r="V106" i="20" s="1"/>
  <c r="W30" i="20" a="1"/>
  <c r="W30" i="20" s="1"/>
  <c r="AD64" i="7" a="1"/>
  <c r="AD64" i="7" s="1"/>
  <c r="AA110" i="20" a="1"/>
  <c r="AA110" i="20" s="1"/>
  <c r="V110" i="20" a="1"/>
  <c r="V110" i="20" s="1"/>
  <c r="Y59" i="7" a="1"/>
  <c r="Y59" i="7" s="1"/>
  <c r="Y80" i="7" a="1"/>
  <c r="Y80" i="7" s="1"/>
  <c r="V104" i="20" a="1"/>
  <c r="V104" i="20" s="1"/>
  <c r="V83" i="7" a="1"/>
  <c r="V83" i="7" s="1"/>
  <c r="AD82" i="7" a="1"/>
  <c r="AD82" i="7" s="1"/>
  <c r="V55" i="7" a="1"/>
  <c r="V55" i="7" s="1"/>
  <c r="W92" i="7" a="1"/>
  <c r="W92" i="7" s="1"/>
  <c r="V29" i="7" a="1"/>
  <c r="V29" i="7" s="1"/>
  <c r="W105" i="7" a="1"/>
  <c r="W105" i="7" s="1"/>
  <c r="V32" i="7" a="1"/>
  <c r="V32" i="7" s="1"/>
  <c r="W61" i="20" a="1"/>
  <c r="W61" i="20" s="1"/>
  <c r="Y72" i="20" a="1"/>
  <c r="Y72" i="20" s="1"/>
  <c r="AD76" i="7" a="1"/>
  <c r="AD76" i="7" s="1"/>
  <c r="X84" i="7" a="1"/>
  <c r="X84" i="7" s="1"/>
  <c r="W69" i="7" a="1"/>
  <c r="W69" i="7" s="1"/>
  <c r="V50" i="7" a="1"/>
  <c r="V50" i="7" s="1"/>
  <c r="W107" i="7" a="1"/>
  <c r="W107" i="7" s="1"/>
  <c r="W94" i="7" a="1"/>
  <c r="W94" i="7" s="1"/>
  <c r="W100" i="7" a="1"/>
  <c r="W100" i="7" s="1"/>
  <c r="Y99" i="7" a="1"/>
  <c r="Y99" i="7" s="1"/>
  <c r="Y102" i="20" a="1"/>
  <c r="Y102" i="20" s="1"/>
  <c r="Y102" i="7" a="1"/>
  <c r="Y102" i="7" s="1"/>
  <c r="Y37" i="7" a="1"/>
  <c r="Y37" i="7" s="1"/>
  <c r="V62" i="20" a="1"/>
  <c r="V62" i="20" s="1"/>
  <c r="V33" i="7" a="1"/>
  <c r="V33" i="7" s="1"/>
  <c r="Y31" i="7" a="1"/>
  <c r="Y31" i="7" s="1"/>
  <c r="W29" i="7" a="1"/>
  <c r="W29" i="7" s="1"/>
  <c r="W50" i="7" a="1"/>
  <c r="W50" i="7" s="1"/>
  <c r="W33" i="7" a="1"/>
  <c r="W33" i="7" s="1"/>
  <c r="AB92" i="20" a="1"/>
  <c r="AB92" i="20" s="1"/>
  <c r="AD106" i="7" a="1"/>
  <c r="AD106" i="7" s="1"/>
  <c r="AD84" i="7" a="1"/>
  <c r="AD84" i="7" s="1"/>
  <c r="V64" i="7" a="1"/>
  <c r="V64" i="7" s="1"/>
  <c r="W57" i="7" a="1"/>
  <c r="W57" i="7" s="1"/>
  <c r="W73" i="7" a="1"/>
  <c r="W73" i="7" s="1"/>
  <c r="Y105" i="7" a="1"/>
  <c r="Y105" i="7" s="1"/>
  <c r="Z85" i="20" a="1"/>
  <c r="Z85" i="20" s="1"/>
  <c r="V108" i="7" a="1"/>
  <c r="V108" i="7" s="1"/>
  <c r="Y94" i="20" a="1"/>
  <c r="Y94" i="20" s="1"/>
  <c r="X73" i="7" a="1"/>
  <c r="X73" i="7" s="1"/>
  <c r="V78" i="7" a="1"/>
  <c r="V78" i="7" s="1"/>
  <c r="V66" i="7" a="1"/>
  <c r="V66" i="7" s="1"/>
  <c r="X45" i="7" a="1"/>
  <c r="X45" i="7" s="1"/>
  <c r="X94" i="7" a="1"/>
  <c r="X94" i="7" s="1"/>
  <c r="X61" i="20" a="1"/>
  <c r="X61" i="20" s="1"/>
  <c r="AA78" i="20" a="1"/>
  <c r="AA78" i="20" s="1"/>
  <c r="Z54" i="20" a="1"/>
  <c r="Z54" i="20" s="1"/>
  <c r="V56" i="20" a="1"/>
  <c r="V56" i="20" s="1"/>
  <c r="V79" i="7" a="1"/>
  <c r="V79" i="7" s="1"/>
  <c r="AB84" i="20" a="1"/>
  <c r="AB84" i="20" s="1"/>
  <c r="AD50" i="7" a="1"/>
  <c r="AD50" i="7" s="1"/>
  <c r="V96" i="7" a="1"/>
  <c r="V96" i="7" s="1"/>
  <c r="V109" i="7" a="1"/>
  <c r="V109" i="7" s="1"/>
  <c r="W36" i="7" a="1"/>
  <c r="W36" i="7" s="1"/>
  <c r="X72" i="20" a="1"/>
  <c r="X72" i="20" s="1"/>
  <c r="Y33" i="7" a="1"/>
  <c r="Y33" i="7" s="1"/>
  <c r="Y60" i="20" a="1"/>
  <c r="Y60" i="20" s="1"/>
  <c r="AD37" i="7" a="1"/>
  <c r="AD37" i="7" s="1"/>
  <c r="Y107" i="7" a="1"/>
  <c r="Y107" i="7" s="1"/>
  <c r="Y60" i="7" a="1"/>
  <c r="Y60" i="7" s="1"/>
  <c r="V74" i="7" a="1"/>
  <c r="V74" i="7" s="1"/>
  <c r="V91" i="7" a="1"/>
  <c r="V91" i="7" s="1"/>
  <c r="AD51" i="7" a="1"/>
  <c r="AD51" i="7" s="1"/>
  <c r="X105" i="7" a="1"/>
  <c r="X105" i="7" s="1"/>
  <c r="W86" i="7" a="1"/>
  <c r="W86" i="7" s="1"/>
  <c r="AD93" i="7" a="1"/>
  <c r="AD93" i="7" s="1"/>
  <c r="V104" i="7" a="1"/>
  <c r="V104" i="7" s="1"/>
  <c r="Y96" i="7" a="1"/>
  <c r="Y96" i="7" s="1"/>
  <c r="X55" i="7" a="1"/>
  <c r="X55" i="7" s="1"/>
  <c r="X52" i="7" a="1"/>
  <c r="X52" i="7" s="1"/>
  <c r="V72" i="7" a="1"/>
  <c r="V72" i="7" s="1"/>
  <c r="V92" i="7" a="1"/>
  <c r="V92" i="7" s="1"/>
  <c r="Y70" i="20" a="1"/>
  <c r="Y70" i="20" s="1"/>
  <c r="V61" i="7" a="1"/>
  <c r="V61" i="7" s="1"/>
  <c r="X103" i="7" a="1"/>
  <c r="X103" i="7" s="1"/>
  <c r="Y36" i="20" a="1"/>
  <c r="Y36" i="20" s="1"/>
  <c r="W96" i="7" a="1"/>
  <c r="W96" i="7" s="1"/>
  <c r="V94" i="7" a="1"/>
  <c r="V94" i="7" s="1"/>
  <c r="V46" i="7" a="1"/>
  <c r="V46" i="7" s="1"/>
  <c r="AD35" i="7" a="1"/>
  <c r="AD35" i="7" s="1"/>
  <c r="V84" i="7" a="1"/>
  <c r="V84" i="7" s="1"/>
  <c r="W67" i="7" a="1"/>
  <c r="W67" i="7" s="1"/>
  <c r="X78" i="7" a="1"/>
  <c r="X78" i="7" s="1"/>
  <c r="X43" i="20" a="1"/>
  <c r="X43" i="20" s="1"/>
  <c r="X106" i="7" a="1"/>
  <c r="X106" i="7" s="1"/>
  <c r="Y70" i="7" a="1"/>
  <c r="Y70" i="7" s="1"/>
  <c r="W56" i="7" a="1"/>
  <c r="W56" i="7" s="1"/>
  <c r="V67" i="7" a="1"/>
  <c r="V67" i="7" s="1"/>
  <c r="V90" i="7" a="1"/>
  <c r="V90" i="7" s="1"/>
  <c r="X110" i="7" a="1"/>
  <c r="X110" i="7" s="1"/>
  <c r="AD58" i="7" a="1"/>
  <c r="AD58" i="7" s="1"/>
  <c r="V79" i="20" a="1"/>
  <c r="V79" i="20" s="1"/>
  <c r="AD65" i="7" a="1"/>
  <c r="AD65" i="7" s="1"/>
  <c r="Y98" i="7" a="1"/>
  <c r="Y98" i="7" s="1"/>
  <c r="V75" i="7" a="1"/>
  <c r="V75" i="7" s="1"/>
  <c r="AD62" i="7" a="1"/>
  <c r="AD62" i="7" s="1"/>
  <c r="V48" i="7" a="1"/>
  <c r="V48" i="7" s="1"/>
  <c r="V54" i="20" a="1"/>
  <c r="V54" i="20" s="1"/>
  <c r="AA104" i="20" a="1"/>
  <c r="AA104" i="20" s="1"/>
  <c r="W76" i="7" a="1"/>
  <c r="W76" i="7" s="1"/>
  <c r="X39" i="20" a="1"/>
  <c r="X39" i="20" s="1"/>
  <c r="W51" i="7" a="1"/>
  <c r="W51" i="7" s="1"/>
  <c r="Y34" i="7" a="1"/>
  <c r="Y34" i="7" s="1"/>
  <c r="V77" i="7" a="1"/>
  <c r="V77" i="7" s="1"/>
  <c r="V107" i="7" a="1"/>
  <c r="V107" i="7" s="1"/>
  <c r="Y56" i="20" a="1"/>
  <c r="Y56" i="20" s="1"/>
  <c r="V41" i="7" a="1"/>
  <c r="V41" i="7" s="1"/>
  <c r="Y62" i="7" a="1"/>
  <c r="Y62" i="7" s="1"/>
  <c r="W44" i="7" a="1"/>
  <c r="W44" i="7" s="1"/>
  <c r="W34" i="7" a="1"/>
  <c r="W34" i="7" s="1"/>
  <c r="V59" i="7" a="1"/>
  <c r="V59" i="7" s="1"/>
  <c r="Y88" i="7" a="1"/>
  <c r="Y88" i="7" s="1"/>
  <c r="AA48" i="7" a="1"/>
  <c r="AA48" i="7" s="1"/>
  <c r="W103" i="7" a="1"/>
  <c r="W103" i="7" s="1"/>
  <c r="W95" i="7" a="1"/>
  <c r="W95" i="7" s="1"/>
  <c r="V58" i="7" a="1"/>
  <c r="V58" i="7" s="1"/>
  <c r="V40" i="7" a="1"/>
  <c r="V40" i="7" s="1"/>
  <c r="W42" i="7" a="1"/>
  <c r="W42" i="7" s="1"/>
  <c r="W106" i="7" a="1"/>
  <c r="W106" i="7" s="1"/>
  <c r="W30" i="7" a="1"/>
  <c r="W30" i="7" s="1"/>
  <c r="W78" i="7" a="1"/>
  <c r="W78" i="7" s="1"/>
  <c r="Y100" i="7" a="1"/>
  <c r="Y100" i="7" s="1"/>
  <c r="W74" i="7" a="1"/>
  <c r="W74" i="7" s="1"/>
  <c r="V44" i="7" a="1"/>
  <c r="V44" i="7" s="1"/>
  <c r="W98" i="7" a="1"/>
  <c r="W98" i="7" s="1"/>
  <c r="Y95" i="7" a="1"/>
  <c r="Y95" i="7" s="1"/>
  <c r="W31" i="7" a="1"/>
  <c r="W31" i="7" s="1"/>
  <c r="V69" i="7" a="1"/>
  <c r="V69" i="7" s="1"/>
  <c r="W49" i="7" a="1"/>
  <c r="W49" i="7" s="1"/>
  <c r="X97" i="7" a="1"/>
  <c r="X97" i="7" s="1"/>
  <c r="Y35" i="7" a="1"/>
  <c r="Y35" i="7" s="1"/>
  <c r="V98" i="7" a="1"/>
  <c r="V98" i="7" s="1"/>
  <c r="Y71" i="7" a="1"/>
  <c r="Y71" i="7" s="1"/>
  <c r="X38" i="7" a="1"/>
  <c r="X38" i="7" s="1"/>
  <c r="W37" i="7" a="1"/>
  <c r="W37" i="7" s="1"/>
  <c r="W35" i="7" a="1"/>
  <c r="W35" i="7" s="1"/>
  <c r="V31" i="7" a="1"/>
  <c r="V31" i="7" s="1"/>
  <c r="W63" i="7" a="1"/>
  <c r="W63" i="7" s="1"/>
  <c r="W48" i="7" a="1"/>
  <c r="W48" i="7" s="1"/>
  <c r="V54" i="7" a="1"/>
  <c r="V54" i="7" s="1"/>
  <c r="W39" i="7" a="1"/>
  <c r="W39" i="7" s="1"/>
  <c r="W65" i="7" a="1"/>
  <c r="W65" i="7" s="1"/>
  <c r="W43" i="7" a="1"/>
  <c r="W43" i="7" s="1"/>
  <c r="X101" i="7" a="1"/>
  <c r="X101" i="7" s="1"/>
  <c r="X63" i="7" a="1"/>
  <c r="X63" i="7" s="1"/>
  <c r="AA52" i="7" a="1"/>
  <c r="AA52" i="7" s="1"/>
  <c r="Y66" i="7" a="1"/>
  <c r="Y66" i="7" s="1"/>
  <c r="W59" i="7" a="1"/>
  <c r="W59" i="7" s="1"/>
  <c r="AA108" i="7" a="1"/>
  <c r="AA108" i="7" s="1"/>
  <c r="V86" i="7" a="1"/>
  <c r="V86" i="7" s="1"/>
  <c r="AA93" i="7" a="1"/>
  <c r="AA93" i="7" s="1"/>
  <c r="AA51" i="7" a="1"/>
  <c r="AA51" i="7" s="1"/>
  <c r="AA86" i="7" a="1"/>
  <c r="AA86" i="7" s="1"/>
  <c r="AA55" i="7" a="1"/>
  <c r="AA55" i="7" s="1"/>
  <c r="AA43" i="7" a="1"/>
  <c r="AA43" i="7" s="1"/>
  <c r="AA101" i="7" a="1"/>
  <c r="AA101" i="7" s="1"/>
  <c r="V76" i="7" a="1"/>
  <c r="V76" i="7" s="1"/>
  <c r="X108" i="7" a="1"/>
  <c r="X108" i="7" s="1"/>
  <c r="AA102" i="7" a="1"/>
  <c r="AA102" i="7" s="1"/>
  <c r="AA80" i="7" a="1"/>
  <c r="AA80" i="7" s="1"/>
  <c r="Z77" i="7" a="1"/>
  <c r="Z77" i="7" s="1"/>
  <c r="X80" i="7" a="1"/>
  <c r="X80" i="7" s="1"/>
  <c r="X44" i="7" a="1"/>
  <c r="X44" i="7" s="1"/>
  <c r="AA84" i="7" a="1"/>
  <c r="AA84" i="7" s="1"/>
  <c r="AA88" i="7" a="1"/>
  <c r="AA88" i="7" s="1"/>
  <c r="W84" i="7" a="1"/>
  <c r="W84" i="7" s="1"/>
  <c r="AA79" i="7" a="1"/>
  <c r="AA79" i="7" s="1"/>
  <c r="Y52" i="7" a="1"/>
  <c r="Y52" i="7" s="1"/>
  <c r="W55" i="7" a="1"/>
  <c r="W55" i="7" s="1"/>
  <c r="W58" i="7" a="1"/>
  <c r="W58" i="7" s="1"/>
  <c r="Y61" i="7" a="1"/>
  <c r="Y61" i="7" s="1"/>
  <c r="AA66" i="7" a="1"/>
  <c r="AA66" i="7" s="1"/>
  <c r="Y48" i="7" a="1"/>
  <c r="Y48" i="7" s="1"/>
  <c r="X31" i="7" a="1"/>
  <c r="X31" i="7" s="1"/>
  <c r="X47" i="7" a="1"/>
  <c r="X47" i="7" s="1"/>
  <c r="AA71" i="7" a="1"/>
  <c r="AA71" i="7" s="1"/>
  <c r="Y103" i="7" a="1"/>
  <c r="Y103" i="7" s="1"/>
  <c r="W79" i="7" a="1"/>
  <c r="W79" i="7" s="1"/>
  <c r="AA73" i="7" a="1"/>
  <c r="AA73" i="7" s="1"/>
  <c r="AA82" i="7" a="1"/>
  <c r="AA82" i="7" s="1"/>
  <c r="AA32" i="7" a="1"/>
  <c r="AA32" i="7" s="1"/>
  <c r="X109" i="7" a="1"/>
  <c r="X109" i="7" s="1"/>
  <c r="W101" i="7" a="1"/>
  <c r="W101" i="7" s="1"/>
  <c r="AA45" i="7" a="1"/>
  <c r="AA45" i="7" s="1"/>
  <c r="W108" i="7" a="1"/>
  <c r="W108" i="7" s="1"/>
  <c r="Y68" i="7" a="1"/>
  <c r="Y68" i="7" s="1"/>
  <c r="Z86" i="7" a="1"/>
  <c r="Z86" i="7" s="1"/>
  <c r="V53" i="7" a="1"/>
  <c r="V53" i="7" s="1"/>
  <c r="V37" i="7" a="1"/>
  <c r="V37" i="7" s="1"/>
  <c r="W47" i="7" a="1"/>
  <c r="W47" i="7" s="1"/>
  <c r="X39" i="7" a="1"/>
  <c r="X39" i="7" s="1"/>
  <c r="AA83" i="7" a="1"/>
  <c r="AA83" i="7" s="1"/>
  <c r="X53" i="7" a="1"/>
  <c r="X53" i="7" s="1"/>
  <c r="AA107" i="7" a="1"/>
  <c r="AA107" i="7" s="1"/>
  <c r="AA68" i="7" a="1"/>
  <c r="AA68" i="7" s="1"/>
  <c r="AA41" i="7" a="1"/>
  <c r="AA41" i="7" s="1"/>
  <c r="Y87" i="7" a="1"/>
  <c r="Y87" i="7" s="1"/>
  <c r="AA58" i="7" a="1"/>
  <c r="AA58" i="7" s="1"/>
  <c r="Y63" i="7" a="1"/>
  <c r="Y63" i="7" s="1"/>
  <c r="Y57" i="7" a="1"/>
  <c r="Y57" i="7" s="1"/>
  <c r="AA100" i="7" a="1"/>
  <c r="AA100" i="7" s="1"/>
  <c r="V101" i="7" a="1"/>
  <c r="V101" i="7" s="1"/>
  <c r="Y94" i="7" a="1"/>
  <c r="Y94" i="7" s="1"/>
  <c r="AA42" i="7" a="1"/>
  <c r="AA42" i="7" s="1"/>
  <c r="Y86" i="7" a="1"/>
  <c r="Y86" i="7" s="1"/>
  <c r="Y110" i="7" a="1"/>
  <c r="Y110" i="7" s="1"/>
  <c r="AA70" i="7" a="1"/>
  <c r="AA70" i="7" s="1"/>
  <c r="AA106" i="7" a="1"/>
  <c r="AA106" i="7" s="1"/>
  <c r="AA60" i="7" a="1"/>
  <c r="AA60" i="7" s="1"/>
  <c r="X95" i="7" a="1"/>
  <c r="X95" i="7" s="1"/>
  <c r="AA35" i="7" a="1"/>
  <c r="AA35" i="7" s="1"/>
  <c r="Y47" i="7" a="1"/>
  <c r="Y47" i="7" s="1"/>
  <c r="AA75" i="7" a="1"/>
  <c r="AA75" i="7" s="1"/>
  <c r="Y39" i="7" a="1"/>
  <c r="Y39" i="7" s="1"/>
  <c r="AA63" i="7" a="1"/>
  <c r="AA63" i="7" s="1"/>
  <c r="X32" i="7" a="1"/>
  <c r="X32" i="7" s="1"/>
  <c r="X35" i="7" a="1"/>
  <c r="X35" i="7" s="1"/>
  <c r="AA94" i="7" a="1"/>
  <c r="AA94" i="7" s="1"/>
  <c r="X87" i="7" a="1"/>
  <c r="X87" i="7" s="1"/>
  <c r="V52" i="7" a="1"/>
  <c r="V52" i="7" s="1"/>
  <c r="AA95" i="7" a="1"/>
  <c r="AA95" i="7" s="1"/>
  <c r="Z88" i="7" a="1"/>
  <c r="Z88" i="7" s="1"/>
  <c r="AA96" i="7" a="1"/>
  <c r="AA96" i="7" s="1"/>
  <c r="Y38" i="7" a="1"/>
  <c r="Y38" i="7" s="1"/>
  <c r="Y75" i="7" a="1"/>
  <c r="Y75" i="7" s="1"/>
  <c r="Y45" i="7" a="1"/>
  <c r="Y45" i="7" s="1"/>
  <c r="AA81" i="7" a="1"/>
  <c r="AA81" i="7" s="1"/>
  <c r="X68" i="7" a="1"/>
  <c r="X68" i="7" s="1"/>
  <c r="X40" i="7" a="1"/>
  <c r="X40" i="7" s="1"/>
  <c r="X62" i="7" a="1"/>
  <c r="X62" i="7" s="1"/>
  <c r="AA46" i="7" a="1"/>
  <c r="AA46" i="7" s="1"/>
  <c r="W68" i="7" a="1"/>
  <c r="W68" i="7" s="1"/>
  <c r="W88" i="7" a="1"/>
  <c r="W88" i="7" s="1"/>
  <c r="AA90" i="7" a="1"/>
  <c r="AA90" i="7" s="1"/>
  <c r="X82" i="7" a="1"/>
  <c r="X82" i="7" s="1"/>
  <c r="AA38" i="7" a="1"/>
  <c r="AA38" i="7" s="1"/>
  <c r="X61" i="7" a="1"/>
  <c r="X61" i="7" s="1"/>
  <c r="AA103" i="7" a="1"/>
  <c r="AA103" i="7" s="1"/>
  <c r="AA98" i="7" a="1"/>
  <c r="AA98" i="7" s="1"/>
  <c r="V80" i="7" a="1"/>
  <c r="V80" i="7" s="1"/>
  <c r="Y65" i="7" a="1"/>
  <c r="Y65" i="7" s="1"/>
  <c r="W66" i="7" a="1"/>
  <c r="W66" i="7" s="1"/>
  <c r="AA77" i="7" a="1"/>
  <c r="AA77" i="7" s="1"/>
  <c r="Z48" i="7" a="1"/>
  <c r="Z48" i="7" s="1"/>
  <c r="AA54" i="7" a="1"/>
  <c r="AA54" i="7" s="1"/>
  <c r="AA34" i="7" a="1"/>
  <c r="AA34" i="7" s="1"/>
  <c r="X96" i="7" a="1"/>
  <c r="X96" i="7" s="1"/>
  <c r="AA49" i="7" a="1"/>
  <c r="AA49" i="7" s="1"/>
  <c r="V36" i="7" a="1"/>
  <c r="V36" i="7" s="1"/>
  <c r="AA62" i="7" a="1"/>
  <c r="AA62" i="7" s="1"/>
  <c r="Y40" i="7" a="1"/>
  <c r="Y40" i="7" s="1"/>
  <c r="X71" i="7" a="1"/>
  <c r="X71" i="7" s="1"/>
  <c r="X100" i="7" a="1"/>
  <c r="X100" i="7" s="1"/>
  <c r="Y46" i="7" a="1"/>
  <c r="Y46" i="7" s="1"/>
  <c r="W82" i="7" a="1"/>
  <c r="W82" i="7" s="1"/>
  <c r="Y64" i="7" a="1"/>
  <c r="Y64" i="7" s="1"/>
  <c r="W71" i="7" a="1"/>
  <c r="W71" i="7" s="1"/>
  <c r="Y41" i="7" a="1"/>
  <c r="Y41" i="7" s="1"/>
  <c r="AA37" i="7" a="1"/>
  <c r="AA37" i="7" s="1"/>
  <c r="W80" i="7" a="1"/>
  <c r="W80" i="7" s="1"/>
  <c r="AA78" i="7" a="1"/>
  <c r="AA78" i="7" s="1"/>
  <c r="X43" i="7" a="1"/>
  <c r="X43" i="7" s="1"/>
  <c r="X98" i="7" a="1"/>
  <c r="X98" i="7" s="1"/>
  <c r="AA85" i="7" a="1"/>
  <c r="AA85" i="7" s="1"/>
  <c r="X54" i="7" a="1"/>
  <c r="X54" i="7" s="1"/>
  <c r="W52" i="7" a="1"/>
  <c r="W52" i="7" s="1"/>
  <c r="AA92" i="7" a="1"/>
  <c r="AA92" i="7" s="1"/>
  <c r="W77" i="7" a="1"/>
  <c r="W77" i="7" s="1"/>
  <c r="V81" i="7" a="1"/>
  <c r="V81" i="7" s="1"/>
  <c r="V97" i="7" a="1"/>
  <c r="V97" i="7" s="1"/>
  <c r="Y74" i="7" a="1"/>
  <c r="Y74" i="7" s="1"/>
  <c r="AA40" i="7" a="1"/>
  <c r="AA40" i="7" s="1"/>
  <c r="Y42" i="7" a="1"/>
  <c r="Y42" i="7" s="1"/>
  <c r="W85" i="7" a="1"/>
  <c r="W85" i="7" s="1"/>
  <c r="AA89" i="7" a="1"/>
  <c r="AA89" i="7" s="1"/>
  <c r="V102" i="7" a="1"/>
  <c r="V102" i="7" s="1"/>
  <c r="AA57" i="7" a="1"/>
  <c r="AA57" i="7" s="1"/>
  <c r="AA76" i="7" a="1"/>
  <c r="AA76" i="7" s="1"/>
  <c r="X37" i="7" a="1"/>
  <c r="X37" i="7" s="1"/>
  <c r="AA104" i="7" a="1"/>
  <c r="AA104" i="7" s="1"/>
  <c r="V42" i="7" a="1"/>
  <c r="V42" i="7" s="1"/>
  <c r="X102" i="7" a="1"/>
  <c r="X102" i="7" s="1"/>
  <c r="AA97" i="7" a="1"/>
  <c r="AA97" i="7" s="1"/>
  <c r="Z68" i="7" a="1"/>
  <c r="Z68" i="7" s="1"/>
  <c r="V105" i="7" a="1"/>
  <c r="V105" i="7" s="1"/>
  <c r="AA110" i="7" a="1"/>
  <c r="AA110" i="7" s="1"/>
  <c r="Y83" i="7" a="1"/>
  <c r="Y83" i="7" s="1"/>
  <c r="V62" i="7" a="1"/>
  <c r="V62" i="7" s="1"/>
  <c r="AA69" i="7" a="1"/>
  <c r="AA69" i="7" s="1"/>
  <c r="AA105" i="7" a="1"/>
  <c r="AA105" i="7" s="1"/>
  <c r="Z70" i="7" a="1"/>
  <c r="Z70" i="7" s="1"/>
  <c r="X60" i="7" a="1"/>
  <c r="X60" i="7" s="1"/>
  <c r="V89" i="7" a="1"/>
  <c r="V89" i="7" s="1"/>
  <c r="AA39" i="7" a="1"/>
  <c r="AA39" i="7" s="1"/>
  <c r="Z79" i="7" a="1"/>
  <c r="Z79" i="7" s="1"/>
  <c r="W45" i="7" a="1"/>
  <c r="W45" i="7" s="1"/>
  <c r="AA87" i="7" a="1"/>
  <c r="AA87" i="7" s="1"/>
  <c r="AA64" i="7" a="1"/>
  <c r="AA64" i="7" s="1"/>
  <c r="AA36" i="7" a="1"/>
  <c r="AA36" i="7" s="1"/>
  <c r="W46" i="7" a="1"/>
  <c r="W46" i="7" s="1"/>
  <c r="W64" i="7" a="1"/>
  <c r="W64" i="7" s="1"/>
  <c r="AA53" i="7" a="1"/>
  <c r="AA53" i="7" s="1"/>
  <c r="AA72" i="7" a="1"/>
  <c r="AA72" i="7" s="1"/>
  <c r="AA30" i="7" a="1"/>
  <c r="AA30" i="7" s="1"/>
  <c r="AA47" i="7" a="1"/>
  <c r="AA47" i="7" s="1"/>
  <c r="AA50" i="7" a="1"/>
  <c r="AA50" i="7" s="1"/>
  <c r="AA74" i="7" a="1"/>
  <c r="AA74" i="7" s="1"/>
  <c r="X64" i="7" a="1"/>
  <c r="X64" i="7" s="1"/>
  <c r="W99" i="7" a="1"/>
  <c r="W99" i="7" s="1"/>
  <c r="AA59" i="7" a="1"/>
  <c r="AA59" i="7" s="1"/>
  <c r="Y73" i="7" a="1"/>
  <c r="Y73" i="7" s="1"/>
  <c r="Y79" i="7" a="1"/>
  <c r="Y79" i="7" s="1"/>
  <c r="W38" i="7" a="1"/>
  <c r="W38" i="7" s="1"/>
  <c r="AA65" i="7" a="1"/>
  <c r="AA65" i="7" s="1"/>
  <c r="AA109" i="7" a="1"/>
  <c r="AA109" i="7" s="1"/>
  <c r="AA91" i="7" a="1"/>
  <c r="AA91" i="7" s="1"/>
  <c r="AA99" i="7" a="1"/>
  <c r="AA99" i="7" s="1"/>
  <c r="X85" i="7" a="1"/>
  <c r="X85" i="7" s="1"/>
  <c r="AA33" i="7" a="1"/>
  <c r="AA33" i="7" s="1"/>
  <c r="W41" i="7" a="1"/>
  <c r="W41" i="7" s="1"/>
  <c r="AA61" i="7" a="1"/>
  <c r="AA61" i="7" s="1"/>
  <c r="V38" i="7" a="1"/>
  <c r="V38" i="7" s="1"/>
  <c r="AA56" i="7" a="1"/>
  <c r="AA56" i="7" s="1"/>
  <c r="Y36" i="7" a="1"/>
  <c r="Y36" i="7" s="1"/>
  <c r="AA31" i="7" a="1"/>
  <c r="AA31" i="7" s="1"/>
  <c r="Y92" i="7" a="1"/>
  <c r="Y92" i="7" s="1"/>
  <c r="X56" i="7" a="1"/>
  <c r="X56" i="7" s="1"/>
  <c r="AA67" i="7" a="1"/>
  <c r="AA67" i="7" s="1"/>
  <c r="AB59" i="7" a="1"/>
  <c r="AB59" i="7" s="1"/>
  <c r="Z121" i="4"/>
  <c r="Z123" i="4"/>
  <c r="AR54" i="7" a="1"/>
  <c r="AR92" i="7" a="1"/>
  <c r="AR60" i="7" a="1"/>
  <c r="AR31" i="7" a="1"/>
  <c r="AR46" i="7" a="1"/>
  <c r="AR73" i="7" a="1"/>
  <c r="AR42" i="7" a="1"/>
  <c r="AR78" i="7" a="1"/>
  <c r="AR75" i="7" a="1"/>
  <c r="AR49" i="7" a="1"/>
  <c r="AR50" i="7" a="1"/>
  <c r="AR58" i="7" a="1"/>
  <c r="AR106" i="7" a="1"/>
  <c r="AR51" i="7" a="1"/>
  <c r="AR108" i="7" a="1"/>
  <c r="AR48" i="7" a="1"/>
  <c r="AR94" i="7" a="1"/>
  <c r="AR109" i="7" a="1"/>
  <c r="AR103" i="7" a="1"/>
  <c r="AR34" i="7" a="1"/>
  <c r="AR70" i="7" a="1"/>
  <c r="AR36" i="7" a="1"/>
  <c r="AR53" i="7" a="1"/>
  <c r="AR98" i="7" a="1"/>
  <c r="AR74" i="7" a="1"/>
  <c r="AR82" i="7" a="1"/>
  <c r="AR76" i="7" a="1"/>
  <c r="AR65" i="7" a="1"/>
  <c r="AR100" i="7" a="1"/>
  <c r="AR97" i="7" a="1"/>
  <c r="AR45" i="7" a="1"/>
  <c r="AR67" i="7" a="1"/>
  <c r="AR102" i="7" a="1"/>
  <c r="AR52" i="7" a="1"/>
  <c r="AR40" i="7" a="1"/>
  <c r="AR80" i="7" a="1"/>
  <c r="AR95" i="7" a="1"/>
  <c r="AR69" i="7" a="1"/>
  <c r="AR44" i="7" a="1"/>
  <c r="AR43" i="7" a="1"/>
  <c r="AR47" i="7" a="1"/>
  <c r="AR59" i="7" a="1"/>
  <c r="AR64" i="7" a="1"/>
  <c r="AR89" i="7" a="1"/>
  <c r="AR110" i="7" a="1"/>
  <c r="AR61" i="7" a="1"/>
  <c r="AR63" i="7" a="1"/>
  <c r="AR104" i="7" a="1"/>
  <c r="AR81" i="7" a="1"/>
  <c r="AR105" i="7" a="1"/>
  <c r="AR38" i="7" a="1"/>
  <c r="AR79" i="7" a="1"/>
  <c r="AR68" i="7" a="1"/>
  <c r="AR93" i="7" a="1"/>
  <c r="AR41" i="7" a="1"/>
  <c r="AR90" i="7" a="1"/>
  <c r="AR56" i="7" a="1"/>
  <c r="AR88" i="7" a="1"/>
  <c r="AR83" i="7" a="1"/>
  <c r="AR32" i="7" a="1"/>
  <c r="AR96" i="7" a="1"/>
  <c r="AR33" i="7" a="1"/>
  <c r="AR101" i="7" a="1"/>
  <c r="AR84" i="7" a="1"/>
  <c r="AR35" i="7" a="1"/>
  <c r="AR62" i="7" a="1"/>
  <c r="AR86" i="7" a="1"/>
  <c r="AR99" i="7" a="1"/>
  <c r="AR85" i="7" a="1"/>
  <c r="AR55" i="7" a="1"/>
  <c r="AR66" i="7" a="1"/>
  <c r="AR72" i="7" a="1"/>
  <c r="AR37" i="7" a="1"/>
  <c r="AR37" i="7" l="1"/>
  <c r="AR72" i="7"/>
  <c r="AR66" i="7"/>
  <c r="AR55" i="7"/>
  <c r="AR85" i="7"/>
  <c r="AR99" i="7"/>
  <c r="AR86" i="7"/>
  <c r="AR62" i="7"/>
  <c r="AR35" i="7"/>
  <c r="AR84" i="7"/>
  <c r="AR101" i="7"/>
  <c r="AR33" i="7"/>
  <c r="AR96" i="7"/>
  <c r="AR32" i="7"/>
  <c r="AR83" i="7"/>
  <c r="AR88" i="7"/>
  <c r="AR56" i="7"/>
  <c r="AR90" i="7"/>
  <c r="AR41" i="7"/>
  <c r="AR93" i="7"/>
  <c r="AR68" i="7"/>
  <c r="AR79" i="7"/>
  <c r="AR38" i="7"/>
  <c r="AR105" i="7"/>
  <c r="AR81" i="7"/>
  <c r="AR104" i="7"/>
  <c r="AR63" i="7"/>
  <c r="AR61" i="7"/>
  <c r="AR110" i="7"/>
  <c r="AR89" i="7"/>
  <c r="AR64" i="7"/>
  <c r="AR59" i="7"/>
  <c r="AR47" i="7"/>
  <c r="AR43" i="7"/>
  <c r="AR44" i="7"/>
  <c r="AR69" i="7"/>
  <c r="AR95" i="7"/>
  <c r="AR80" i="7"/>
  <c r="AR40" i="7"/>
  <c r="AR52" i="7"/>
  <c r="AR102" i="7"/>
  <c r="AR67" i="7"/>
  <c r="AR45" i="7"/>
  <c r="AR97" i="7"/>
  <c r="AR100" i="7"/>
  <c r="AR65" i="7"/>
  <c r="AR76" i="7"/>
  <c r="AR82" i="7"/>
  <c r="AR74" i="7"/>
  <c r="AR98" i="7"/>
  <c r="AR53" i="7"/>
  <c r="AR36" i="7"/>
  <c r="AR70" i="7"/>
  <c r="AR34" i="7"/>
  <c r="AR103" i="7"/>
  <c r="AR109" i="7"/>
  <c r="AR94" i="7"/>
  <c r="AR48" i="7"/>
  <c r="AR108" i="7"/>
  <c r="AR51" i="7"/>
  <c r="AR106" i="7"/>
  <c r="AR58" i="7"/>
  <c r="AR50" i="7"/>
  <c r="AR49" i="7"/>
  <c r="AR75" i="7"/>
  <c r="AR78" i="7"/>
  <c r="AR42" i="7"/>
  <c r="AR73" i="7"/>
  <c r="AR46" i="7"/>
  <c r="AR31" i="7"/>
  <c r="AR60" i="7"/>
  <c r="AR92" i="7"/>
  <c r="AR54" i="7"/>
  <c r="AE37" i="7" a="1"/>
  <c r="AE37" i="7" s="1"/>
  <c r="AJ37" i="7" s="1"/>
  <c r="AD37" i="20"/>
  <c r="AE72" i="7" a="1"/>
  <c r="AE72" i="7" s="1"/>
  <c r="AJ72" i="7" s="1"/>
  <c r="AE66" i="7" a="1"/>
  <c r="AE66" i="7" s="1"/>
  <c r="AE55" i="7" a="1"/>
  <c r="AE55" i="7" s="1"/>
  <c r="AJ55" i="7" s="1"/>
  <c r="AD55" i="20"/>
  <c r="AE85" i="7" a="1"/>
  <c r="AE85" i="7" s="1"/>
  <c r="AD85" i="20"/>
  <c r="AE99" i="7" a="1"/>
  <c r="AE99" i="7" s="1"/>
  <c r="AJ99" i="7" s="1"/>
  <c r="AE86" i="7" a="1"/>
  <c r="AE86" i="7" s="1"/>
  <c r="AJ86" i="7" s="1"/>
  <c r="AD86" i="20"/>
  <c r="AE62" i="7" a="1"/>
  <c r="AE62" i="7" s="1"/>
  <c r="AJ62" i="7" s="1"/>
  <c r="AD62" i="20"/>
  <c r="AE35" i="7" a="1"/>
  <c r="AE35" i="7" s="1"/>
  <c r="AJ35" i="7" s="1"/>
  <c r="AD35" i="20"/>
  <c r="AE84" i="7" a="1"/>
  <c r="AE84" i="7" s="1"/>
  <c r="AJ84" i="7" s="1"/>
  <c r="AD84" i="20"/>
  <c r="AE101" i="7" a="1"/>
  <c r="AE101" i="7" s="1"/>
  <c r="AJ101" i="7" s="1"/>
  <c r="AD101" i="20"/>
  <c r="AE33" i="7" a="1"/>
  <c r="AE33" i="7" s="1"/>
  <c r="AJ33" i="7" s="1"/>
  <c r="AD33" i="20"/>
  <c r="AE96" i="7" a="1"/>
  <c r="AE96" i="7" s="1"/>
  <c r="AJ96" i="7" s="1"/>
  <c r="AE32" i="7" a="1"/>
  <c r="AE32" i="7" s="1"/>
  <c r="AJ32" i="7" s="1"/>
  <c r="AD32" i="20"/>
  <c r="AE83" i="7" a="1"/>
  <c r="AE83" i="7" s="1"/>
  <c r="AJ83" i="7" s="1"/>
  <c r="AE29" i="7" a="1"/>
  <c r="AE29" i="7" s="1"/>
  <c r="AF29" i="7" s="1" a="1"/>
  <c r="AF29" i="7" s="1"/>
  <c r="AG29" i="7" s="1" a="1"/>
  <c r="AG29" i="7" s="1"/>
  <c r="AH29" i="7" s="1" a="1"/>
  <c r="AH29" i="7" s="1"/>
  <c r="AK29" i="7" s="1"/>
  <c r="AD29" i="20"/>
  <c r="AE88" i="7" a="1"/>
  <c r="AE88" i="7" s="1"/>
  <c r="AE56" i="7" a="1"/>
  <c r="AE56" i="7" s="1"/>
  <c r="AJ56" i="7" s="1"/>
  <c r="AD56" i="20"/>
  <c r="AE90" i="7" a="1"/>
  <c r="AE90" i="7" s="1"/>
  <c r="AD90" i="20"/>
  <c r="AE41" i="7" a="1"/>
  <c r="AE41" i="7" s="1"/>
  <c r="AJ41" i="7" s="1"/>
  <c r="AD41" i="20"/>
  <c r="AE93" i="7" a="1"/>
  <c r="AE93" i="7" s="1"/>
  <c r="AJ93" i="7" s="1"/>
  <c r="AD93" i="20"/>
  <c r="AE68" i="7" a="1"/>
  <c r="AE68" i="7" s="1"/>
  <c r="AJ68" i="7" s="1"/>
  <c r="AD68" i="20"/>
  <c r="AE79" i="7" a="1"/>
  <c r="AE79" i="7" s="1"/>
  <c r="AJ79" i="7" s="1"/>
  <c r="AD79" i="20"/>
  <c r="AE38" i="7" a="1"/>
  <c r="AE38" i="7" s="1"/>
  <c r="AJ38" i="7" s="1"/>
  <c r="AD38" i="20"/>
  <c r="AE105" i="7" a="1"/>
  <c r="AE105" i="7" s="1"/>
  <c r="AJ105" i="7" s="1"/>
  <c r="AD105" i="20"/>
  <c r="AE81" i="7" a="1"/>
  <c r="AE81" i="7" s="1"/>
  <c r="AJ81" i="7" s="1"/>
  <c r="AD81" i="20"/>
  <c r="AE104" i="7" a="1"/>
  <c r="AE104" i="7" s="1"/>
  <c r="AJ104" i="7" s="1"/>
  <c r="AE63" i="7" a="1"/>
  <c r="AE63" i="7" s="1"/>
  <c r="AE61" i="7" a="1"/>
  <c r="AE61" i="7" s="1"/>
  <c r="AD61" i="20"/>
  <c r="AD116" i="8"/>
  <c r="AE110" i="7" a="1"/>
  <c r="AE110" i="7" s="1"/>
  <c r="AJ110" i="7" s="1"/>
  <c r="AD110" i="20"/>
  <c r="AE89" i="7" a="1"/>
  <c r="AE89" i="7" s="1"/>
  <c r="AJ89" i="7" s="1"/>
  <c r="AD89" i="20"/>
  <c r="AE64" i="7" a="1"/>
  <c r="AE64" i="7" s="1"/>
  <c r="AJ64" i="7" s="1"/>
  <c r="AE59" i="7" a="1"/>
  <c r="AE59" i="7" s="1"/>
  <c r="AD59" i="20"/>
  <c r="AE47" i="7" a="1"/>
  <c r="AE47" i="7" s="1"/>
  <c r="AJ47" i="7" s="1"/>
  <c r="AE43" i="7" a="1"/>
  <c r="AE43" i="7" s="1"/>
  <c r="AJ43" i="7" s="1"/>
  <c r="AD43" i="20"/>
  <c r="AE44" i="7" a="1"/>
  <c r="AE44" i="7" s="1"/>
  <c r="AJ44" i="7" s="1"/>
  <c r="AD44" i="20"/>
  <c r="AE69" i="7" a="1"/>
  <c r="AE69" i="7" s="1"/>
  <c r="AJ69" i="7" s="1"/>
  <c r="AD69" i="20"/>
  <c r="AE95" i="7" a="1"/>
  <c r="AE95" i="7" s="1"/>
  <c r="AJ95" i="7" s="1"/>
  <c r="AE80" i="7" a="1"/>
  <c r="AE80" i="7" s="1"/>
  <c r="AJ80" i="7"/>
  <c r="AD80" i="20"/>
  <c r="AE40" i="7" a="1"/>
  <c r="AE40" i="7" s="1"/>
  <c r="AJ40" i="7" s="1"/>
  <c r="AE52" i="7" a="1"/>
  <c r="AE52" i="7" s="1"/>
  <c r="AJ52" i="7" s="1"/>
  <c r="AE102" i="7" a="1"/>
  <c r="AE102" i="7" s="1"/>
  <c r="AJ102" i="7" s="1"/>
  <c r="AD102" i="20"/>
  <c r="AE67" i="7" a="1"/>
  <c r="AE67" i="7" s="1"/>
  <c r="AJ67" i="7" s="1"/>
  <c r="AD67" i="20"/>
  <c r="AE45" i="7" a="1"/>
  <c r="AE45" i="7" s="1"/>
  <c r="AJ45" i="7"/>
  <c r="AD45" i="20"/>
  <c r="AE97" i="7" a="1"/>
  <c r="AE97" i="7" s="1"/>
  <c r="AD97" i="20"/>
  <c r="AE100" i="7" a="1"/>
  <c r="AE100" i="7" s="1"/>
  <c r="AJ100" i="7" s="1"/>
  <c r="AE65" i="7" a="1"/>
  <c r="AE65" i="7" s="1"/>
  <c r="AD65" i="20"/>
  <c r="AJ65" i="7"/>
  <c r="AE76" i="7" a="1"/>
  <c r="AE76" i="7" s="1"/>
  <c r="AJ76" i="7" s="1"/>
  <c r="AD76" i="20"/>
  <c r="AE82" i="7" a="1"/>
  <c r="AE82" i="7" s="1"/>
  <c r="AJ82" i="7" s="1"/>
  <c r="AE74" i="7" a="1"/>
  <c r="AE74" i="7" s="1"/>
  <c r="AD74" i="20"/>
  <c r="AE98" i="7" a="1"/>
  <c r="AE98" i="7" s="1"/>
  <c r="AJ98" i="7" s="1"/>
  <c r="AD98" i="20"/>
  <c r="AE53" i="7" a="1"/>
  <c r="AE53" i="7" s="1"/>
  <c r="AD53" i="20"/>
  <c r="AE36" i="7" a="1"/>
  <c r="AE36" i="7" s="1"/>
  <c r="AJ36" i="7" s="1"/>
  <c r="AE70" i="7" a="1"/>
  <c r="AE70" i="7" s="1"/>
  <c r="AJ70" i="7" s="1"/>
  <c r="AD70" i="20"/>
  <c r="AE34" i="7" a="1"/>
  <c r="AE34" i="7" s="1"/>
  <c r="AJ34" i="7" s="1"/>
  <c r="AE103" i="7" a="1"/>
  <c r="AE103" i="7" s="1"/>
  <c r="AJ103" i="7" s="1"/>
  <c r="AD115" i="8"/>
  <c r="AE109" i="7" a="1"/>
  <c r="AE109" i="7" s="1"/>
  <c r="AJ109" i="7" s="1"/>
  <c r="AD109" i="20"/>
  <c r="AE94" i="7" a="1"/>
  <c r="AE94" i="7" s="1"/>
  <c r="AJ94" i="7" s="1"/>
  <c r="AD94" i="20"/>
  <c r="AE48" i="7" a="1"/>
  <c r="AE48" i="7" s="1"/>
  <c r="AJ48" i="7" s="1"/>
  <c r="AD48" i="20"/>
  <c r="AE108" i="7" a="1"/>
  <c r="AE108" i="7" s="1"/>
  <c r="AJ108" i="7" s="1"/>
  <c r="AE51" i="7" a="1"/>
  <c r="AE51" i="7" s="1"/>
  <c r="AJ51" i="7" s="1"/>
  <c r="AD111" i="8"/>
  <c r="AE106" i="7" a="1"/>
  <c r="AE106" i="7" s="1"/>
  <c r="AJ106" i="7" s="1"/>
  <c r="AD106" i="20"/>
  <c r="AE58" i="7" a="1"/>
  <c r="AE58" i="7" s="1"/>
  <c r="AJ58" i="7" s="1"/>
  <c r="AD58" i="20"/>
  <c r="AE50" i="7" a="1"/>
  <c r="AE50" i="7" s="1"/>
  <c r="AJ50" i="7" s="1"/>
  <c r="AD50" i="20"/>
  <c r="AE49" i="7" a="1"/>
  <c r="AE49" i="7" s="1"/>
  <c r="AJ49" i="7" s="1"/>
  <c r="AD49" i="20"/>
  <c r="AE75" i="7" a="1"/>
  <c r="AE75" i="7" s="1"/>
  <c r="AD75" i="20"/>
  <c r="AJ75" i="7"/>
  <c r="AE78" i="7" a="1"/>
  <c r="AE78" i="7" s="1"/>
  <c r="AJ78" i="7" s="1"/>
  <c r="AE42" i="7" a="1"/>
  <c r="AE42" i="7" s="1"/>
  <c r="AE73" i="7" a="1"/>
  <c r="AE73" i="7" s="1"/>
  <c r="AJ73" i="7" s="1"/>
  <c r="AE46" i="7" a="1"/>
  <c r="AE46" i="7" s="1"/>
  <c r="AE31" i="7" a="1"/>
  <c r="AE31" i="7" s="1"/>
  <c r="AJ31" i="7" s="1"/>
  <c r="AE60" i="7" a="1"/>
  <c r="AE60" i="7" s="1"/>
  <c r="AD60" i="20"/>
  <c r="AE92" i="7" a="1"/>
  <c r="AE92" i="7" s="1"/>
  <c r="AJ92" i="7" s="1"/>
  <c r="AE30" i="7" a="1"/>
  <c r="AE30" i="7" s="1"/>
  <c r="AJ30" i="7" s="1"/>
  <c r="AR30" i="7"/>
  <c r="AD103" i="20"/>
  <c r="AE54" i="7" a="1"/>
  <c r="AE54" i="7" s="1"/>
  <c r="AJ54" i="7" s="1"/>
  <c r="AD54" i="20"/>
  <c r="L75" i="3"/>
  <c r="AS62" i="7" a="1"/>
  <c r="AS84" i="7" a="1"/>
  <c r="AS33" i="7" a="1"/>
  <c r="AR32" i="20" a="1"/>
  <c r="AR93" i="20" a="1"/>
  <c r="AR59" i="20" a="1"/>
  <c r="AS95" i="7" a="1"/>
  <c r="AS52" i="7" a="1"/>
  <c r="AR67" i="20" a="1"/>
  <c r="AR97" i="20" a="1"/>
  <c r="AS34" i="7" a="1"/>
  <c r="AS108" i="7" a="1"/>
  <c r="AS49" i="7" a="1"/>
  <c r="AS78" i="7" a="1"/>
  <c r="AS60" i="7" a="1"/>
  <c r="AS94" i="7" a="1"/>
  <c r="AR103" i="20" a="1"/>
  <c r="AR54" i="20" a="1"/>
  <c r="AS104" i="7" a="1"/>
  <c r="AS110" i="7" a="1"/>
  <c r="AS109" i="7" a="1"/>
  <c r="AS75" i="7" a="1"/>
  <c r="AS67" i="7" a="1"/>
  <c r="AS53" i="7" a="1"/>
  <c r="AR48" i="20" a="1"/>
  <c r="AS99" i="7" a="1"/>
  <c r="AR62" i="20" a="1"/>
  <c r="AS83" i="7" a="1"/>
  <c r="AS89" i="7" a="1"/>
  <c r="AS44" i="7" a="1"/>
  <c r="AS76" i="7" a="1"/>
  <c r="AR74" i="20" a="1"/>
  <c r="AR53" i="20" a="1"/>
  <c r="AS58" i="7" a="1"/>
  <c r="AS69" i="7" a="1"/>
  <c r="AS48" i="7" a="1"/>
  <c r="AR43" i="20" a="1"/>
  <c r="AS37" i="7" a="1"/>
  <c r="AS55" i="7" a="1"/>
  <c r="AR84" i="20" a="1"/>
  <c r="AR33" i="20" a="1"/>
  <c r="AS56" i="7" a="1"/>
  <c r="AS41" i="7" a="1"/>
  <c r="AS68" i="7" a="1"/>
  <c r="AS38" i="7" a="1"/>
  <c r="AS81" i="7" a="1"/>
  <c r="AS61" i="7" a="1"/>
  <c r="AR89" i="20" a="1"/>
  <c r="AS47" i="7" a="1"/>
  <c r="AS100" i="7" a="1"/>
  <c r="AS36" i="7" a="1"/>
  <c r="AS103" i="7" a="1"/>
  <c r="AR94" i="20" a="1"/>
  <c r="AS51" i="7" a="1"/>
  <c r="AS42" i="7" a="1"/>
  <c r="AR60" i="20" a="1"/>
  <c r="AS82" i="7" a="1"/>
  <c r="AR98" i="20" a="1"/>
  <c r="AS65" i="7" a="1"/>
  <c r="AS70" i="7" a="1"/>
  <c r="AS50" i="7" a="1"/>
  <c r="AS46" i="7" a="1"/>
  <c r="AS63" i="7" a="1"/>
  <c r="AR69" i="20" a="1"/>
  <c r="AR55" i="20" a="1"/>
  <c r="AS96" i="7" a="1"/>
  <c r="AR61" i="20" a="1"/>
  <c r="AR44" i="20" a="1"/>
  <c r="AS80" i="7" a="1"/>
  <c r="AS102" i="7" a="1"/>
  <c r="AS45" i="7" a="1"/>
  <c r="AR76" i="20" a="1"/>
  <c r="AS98" i="7" a="1"/>
  <c r="AR58" i="20" a="1"/>
  <c r="AR49" i="20" a="1"/>
  <c r="AS73" i="7" a="1"/>
  <c r="AS92" i="7" a="1"/>
  <c r="AS54" i="7" a="1"/>
  <c r="AS43" i="7" a="1"/>
  <c r="AR45" i="20" a="1"/>
  <c r="AS106" i="7" a="1"/>
  <c r="AR105" i="20" a="1"/>
  <c r="AR70" i="20" a="1"/>
  <c r="AR37" i="20" a="1"/>
  <c r="AS86" i="7" a="1"/>
  <c r="AS35" i="7" a="1"/>
  <c r="AS101" i="7" a="1"/>
  <c r="AR56" i="20" a="1"/>
  <c r="AR41" i="20" a="1"/>
  <c r="AR68" i="20" a="1"/>
  <c r="AR38" i="20" a="1"/>
  <c r="AR81" i="20" a="1"/>
  <c r="AS64" i="7" a="1"/>
  <c r="AR102" i="20" a="1"/>
  <c r="AS72" i="7" a="1"/>
  <c r="AR86" i="20" a="1"/>
  <c r="AR101" i="20" a="1"/>
  <c r="AR80" i="20" a="1"/>
  <c r="AR50" i="20" a="1"/>
  <c r="AS85" i="7" a="1"/>
  <c r="AR35" i="20" a="1"/>
  <c r="AS32" i="7" a="1"/>
  <c r="AS90" i="7" a="1"/>
  <c r="AS93" i="7" a="1"/>
  <c r="AS79" i="7" a="1"/>
  <c r="AS105" i="7" a="1"/>
  <c r="AR110" i="20" a="1"/>
  <c r="AS40" i="7" a="1"/>
  <c r="AR65" i="20" a="1"/>
  <c r="AR106" i="20" a="1"/>
  <c r="AR75" i="20" a="1"/>
  <c r="AS31" i="7" a="1"/>
  <c r="AS66" i="7" a="1"/>
  <c r="AR85" i="20" a="1"/>
  <c r="AS88" i="7" a="1"/>
  <c r="AR90" i="20" a="1"/>
  <c r="AR79" i="20" a="1"/>
  <c r="AS59" i="7" a="1"/>
  <c r="AS97" i="7" a="1"/>
  <c r="AS74" i="7" a="1"/>
  <c r="AR109" i="20" a="1"/>
  <c r="AR109" i="20" l="1"/>
  <c r="AS74" i="7"/>
  <c r="AS97" i="7"/>
  <c r="AS59" i="7"/>
  <c r="AR79" i="20"/>
  <c r="AR90" i="20"/>
  <c r="AS88" i="7"/>
  <c r="AR85" i="20"/>
  <c r="AS66" i="7"/>
  <c r="AS31" i="7"/>
  <c r="AR75" i="20"/>
  <c r="AR106" i="20"/>
  <c r="AR65" i="20"/>
  <c r="AS40" i="7"/>
  <c r="AR110" i="20"/>
  <c r="AS105" i="7"/>
  <c r="AS79" i="7"/>
  <c r="AS93" i="7"/>
  <c r="AS90" i="7"/>
  <c r="AS32" i="7"/>
  <c r="AR35" i="20"/>
  <c r="AS85" i="7"/>
  <c r="AR50" i="20"/>
  <c r="AR80" i="20"/>
  <c r="AR101" i="20"/>
  <c r="AR86" i="20"/>
  <c r="AS72" i="7"/>
  <c r="AR102" i="20"/>
  <c r="AS64" i="7"/>
  <c r="AR81" i="20"/>
  <c r="AR38" i="20"/>
  <c r="AR68" i="20"/>
  <c r="AR41" i="20"/>
  <c r="AR56" i="20"/>
  <c r="AS101" i="7"/>
  <c r="AS35" i="7"/>
  <c r="AS86" i="7"/>
  <c r="AR37" i="20"/>
  <c r="AR70" i="20"/>
  <c r="AR105" i="20"/>
  <c r="AS106" i="7"/>
  <c r="AR45" i="20"/>
  <c r="AS43" i="7"/>
  <c r="AS54" i="7"/>
  <c r="AS92" i="7"/>
  <c r="AS73" i="7"/>
  <c r="AR49" i="20"/>
  <c r="AR58" i="20"/>
  <c r="AS98" i="7"/>
  <c r="AR76" i="20"/>
  <c r="AS45" i="7"/>
  <c r="AS102" i="7"/>
  <c r="AS80" i="7"/>
  <c r="AR44" i="20"/>
  <c r="AR61" i="20"/>
  <c r="AS96" i="7"/>
  <c r="AR55" i="20"/>
  <c r="AR69" i="20"/>
  <c r="AS63" i="7"/>
  <c r="AS46" i="7"/>
  <c r="AS50" i="7"/>
  <c r="AS70" i="7"/>
  <c r="AS65" i="7"/>
  <c r="AR98" i="20"/>
  <c r="AS82" i="7"/>
  <c r="AR60" i="20"/>
  <c r="AS42" i="7"/>
  <c r="AS51" i="7"/>
  <c r="AR94" i="20"/>
  <c r="AS103" i="7"/>
  <c r="AS36" i="7"/>
  <c r="AS100" i="7"/>
  <c r="AS47" i="7"/>
  <c r="AR89" i="20"/>
  <c r="AS61" i="7"/>
  <c r="AS81" i="7"/>
  <c r="AS38" i="7"/>
  <c r="AS68" i="7"/>
  <c r="AS41" i="7"/>
  <c r="AS56" i="7"/>
  <c r="AR33" i="20"/>
  <c r="AR84" i="20"/>
  <c r="AS55" i="7"/>
  <c r="AS37" i="7"/>
  <c r="AR43" i="20"/>
  <c r="AS48" i="7"/>
  <c r="AS69" i="7"/>
  <c r="AS58" i="7"/>
  <c r="AR53" i="20"/>
  <c r="AR74" i="20"/>
  <c r="AS76" i="7"/>
  <c r="AS44" i="7"/>
  <c r="AS89" i="7"/>
  <c r="AS83" i="7"/>
  <c r="AR62" i="20"/>
  <c r="AS99" i="7"/>
  <c r="AR48" i="20"/>
  <c r="AS53" i="7"/>
  <c r="AS67" i="7"/>
  <c r="AS75" i="7"/>
  <c r="AS109" i="7"/>
  <c r="AS110" i="7"/>
  <c r="AS104" i="7"/>
  <c r="AR54" i="20"/>
  <c r="AR103" i="20"/>
  <c r="AS94" i="7"/>
  <c r="AS60" i="7"/>
  <c r="AS78" i="7"/>
  <c r="AS49" i="7"/>
  <c r="AS108" i="7"/>
  <c r="AS34" i="7"/>
  <c r="AR97" i="20"/>
  <c r="AR67" i="20"/>
  <c r="AS52" i="7"/>
  <c r="AS95" i="7"/>
  <c r="AR59" i="20"/>
  <c r="AR93" i="20"/>
  <c r="AR32" i="20"/>
  <c r="AS33" i="7"/>
  <c r="AS84" i="7"/>
  <c r="AS62" i="7"/>
  <c r="AE109" i="20" a="1"/>
  <c r="AE109" i="20" s="1"/>
  <c r="AJ109" i="20" s="1"/>
  <c r="AF74" i="7" a="1"/>
  <c r="AF74" i="7" s="1"/>
  <c r="AF97" i="7" a="1"/>
  <c r="AF97" i="7" s="1"/>
  <c r="AF59" i="7" a="1"/>
  <c r="AF59" i="7" s="1"/>
  <c r="AE79" i="20" a="1"/>
  <c r="AE79" i="20" s="1"/>
  <c r="AJ79" i="20" s="1"/>
  <c r="AE90" i="20" a="1"/>
  <c r="AE90" i="20" s="1"/>
  <c r="AJ90" i="20" s="1"/>
  <c r="AF88" i="7" a="1"/>
  <c r="AF88" i="7" s="1"/>
  <c r="AA127" i="4"/>
  <c r="AD114" i="8"/>
  <c r="AA93" i="4"/>
  <c r="AJ62" i="8"/>
  <c r="AA132" i="4"/>
  <c r="AE85" i="20" a="1"/>
  <c r="AE85" i="20" s="1"/>
  <c r="AJ85" i="20" s="1"/>
  <c r="AF66" i="7" a="1"/>
  <c r="AF66" i="7" s="1"/>
  <c r="AF30" i="7" a="1"/>
  <c r="AF30" i="7" s="1"/>
  <c r="AG30" i="7" s="1" a="1"/>
  <c r="AG30" i="7" s="1"/>
  <c r="AH30" i="7" s="1" a="1"/>
  <c r="AH30" i="7" s="1"/>
  <c r="AK30" i="7" s="1"/>
  <c r="AF31" i="7" a="1"/>
  <c r="AF31" i="7" s="1"/>
  <c r="AE75" i="20" a="1"/>
  <c r="AE75" i="20" s="1"/>
  <c r="AJ75" i="20"/>
  <c r="AE106" i="20" a="1"/>
  <c r="AE106" i="20" s="1"/>
  <c r="AJ106" i="20" s="1"/>
  <c r="AJ53" i="8"/>
  <c r="AA62" i="4"/>
  <c r="AJ74" i="8"/>
  <c r="AA91" i="4"/>
  <c r="AE65" i="20" a="1"/>
  <c r="AE65" i="20" s="1"/>
  <c r="AJ65" i="20" s="1"/>
  <c r="AA104" i="4"/>
  <c r="AJ100" i="8"/>
  <c r="AJ67" i="8"/>
  <c r="AA109" i="4"/>
  <c r="Z109" i="4" s="1"/>
  <c r="AF40" i="7" a="1"/>
  <c r="AF40" i="7" s="1"/>
  <c r="AJ59" i="8"/>
  <c r="AA134" i="4"/>
  <c r="AE110" i="20" a="1"/>
  <c r="AE110" i="20" s="1"/>
  <c r="AJ110" i="20" s="1"/>
  <c r="AF105" i="7" a="1"/>
  <c r="AF105" i="7" s="1"/>
  <c r="AF79" i="7" a="1"/>
  <c r="AF79" i="7" s="1"/>
  <c r="AF93" i="7" a="1"/>
  <c r="AF93" i="7" s="1"/>
  <c r="AF90" i="7" a="1"/>
  <c r="AF90" i="7" s="1"/>
  <c r="AJ29" i="7"/>
  <c r="AF32" i="7" a="1"/>
  <c r="AF32" i="7" s="1"/>
  <c r="AE35" i="20" a="1"/>
  <c r="AE35" i="20" s="1"/>
  <c r="AJ35" i="20" s="1"/>
  <c r="AF85" i="7" a="1"/>
  <c r="AF85" i="7" s="1"/>
  <c r="AE50" i="20" a="1"/>
  <c r="AE50" i="20" s="1"/>
  <c r="AJ50" i="20" s="1"/>
  <c r="AE80" i="20" a="1"/>
  <c r="AE80" i="20" s="1"/>
  <c r="AJ80" i="20" s="1"/>
  <c r="AJ95" i="8"/>
  <c r="AA103" i="4"/>
  <c r="AE29" i="20" a="1"/>
  <c r="AE29" i="20" s="1"/>
  <c r="AF29" i="20" s="1" a="1"/>
  <c r="AF29" i="20" s="1"/>
  <c r="AG29" i="20" s="1" a="1"/>
  <c r="AG29" i="20" s="1"/>
  <c r="AH29" i="20" s="1" a="1"/>
  <c r="AH29" i="20" s="1"/>
  <c r="AK29" i="20" s="1"/>
  <c r="AJ29" i="20"/>
  <c r="AA123" i="4"/>
  <c r="AE101" i="20" a="1"/>
  <c r="AE101" i="20" s="1"/>
  <c r="AJ101" i="20" s="1"/>
  <c r="AE86" i="20" a="1"/>
  <c r="AE86" i="20" s="1"/>
  <c r="AJ86" i="20" s="1"/>
  <c r="AJ85" i="8"/>
  <c r="AA101" i="4"/>
  <c r="AF72" i="7" a="1"/>
  <c r="AF72" i="7" s="1"/>
  <c r="AE102" i="20" a="1"/>
  <c r="AE102" i="20" s="1"/>
  <c r="AJ102" i="20" s="1"/>
  <c r="AF64" i="7" a="1"/>
  <c r="AF64" i="7" s="1"/>
  <c r="AE116" i="8" a="1"/>
  <c r="AE116" i="8" s="1"/>
  <c r="AA90" i="4"/>
  <c r="AE81" i="20" a="1"/>
  <c r="AE81" i="20" s="1"/>
  <c r="AJ81" i="20"/>
  <c r="AE38" i="20" a="1"/>
  <c r="AE38" i="20" s="1"/>
  <c r="AJ38" i="20" s="1"/>
  <c r="AE68" i="20" a="1"/>
  <c r="AE68" i="20" s="1"/>
  <c r="AJ68" i="20" s="1"/>
  <c r="AE41" i="20" a="1"/>
  <c r="AE41" i="20" s="1"/>
  <c r="AJ41" i="20" s="1"/>
  <c r="AE56" i="20" a="1"/>
  <c r="AE56" i="20" s="1"/>
  <c r="AJ56" i="20"/>
  <c r="AF101" i="7" a="1"/>
  <c r="AF101" i="7" s="1"/>
  <c r="AF35" i="7" a="1"/>
  <c r="AF35" i="7" s="1"/>
  <c r="AF86" i="7" a="1"/>
  <c r="AF86" i="7" s="1"/>
  <c r="AE37" i="20" a="1"/>
  <c r="AE37" i="20" s="1"/>
  <c r="AJ37" i="20" s="1"/>
  <c r="AE70" i="20" a="1"/>
  <c r="AE70" i="20" s="1"/>
  <c r="AJ70" i="20" s="1"/>
  <c r="AE105" i="20" a="1"/>
  <c r="AE105" i="20" s="1"/>
  <c r="AJ105" i="20" s="1"/>
  <c r="AF106" i="7" a="1"/>
  <c r="AF106" i="7" s="1"/>
  <c r="AE45" i="20" a="1"/>
  <c r="AE45" i="20" s="1"/>
  <c r="AJ45" i="20" s="1"/>
  <c r="AJ79" i="8"/>
  <c r="AA92" i="4"/>
  <c r="AJ48" i="8"/>
  <c r="AJ70" i="8"/>
  <c r="AA112" i="4"/>
  <c r="AJ65" i="8"/>
  <c r="AA111" i="4"/>
  <c r="Z111" i="4" s="1"/>
  <c r="AJ69" i="8"/>
  <c r="AF43" i="7" a="1"/>
  <c r="AF43" i="7" s="1"/>
  <c r="AF54" i="7" a="1"/>
  <c r="AF54" i="7" s="1"/>
  <c r="AF92" i="7" a="1"/>
  <c r="AF92" i="7" s="1"/>
  <c r="AF73" i="7" a="1"/>
  <c r="AF73" i="7" s="1"/>
  <c r="AE49" i="20" a="1"/>
  <c r="AE49" i="20" s="1"/>
  <c r="AJ49" i="20" s="1"/>
  <c r="AE58" i="20" a="1"/>
  <c r="AE58" i="20" s="1"/>
  <c r="AJ58" i="20" s="1"/>
  <c r="AF98" i="7" a="1"/>
  <c r="AF98" i="7" s="1"/>
  <c r="AE76" i="20" a="1"/>
  <c r="AE76" i="20" s="1"/>
  <c r="AJ76" i="20" s="1"/>
  <c r="AF45" i="7" a="1"/>
  <c r="AF45" i="7" s="1"/>
  <c r="AF102" i="7" a="1"/>
  <c r="AF102" i="7" s="1"/>
  <c r="AF80" i="7" a="1"/>
  <c r="AF80" i="7" s="1"/>
  <c r="AE44" i="20" a="1"/>
  <c r="AE44" i="20" s="1"/>
  <c r="AJ44" i="20" s="1"/>
  <c r="AE61" i="20" a="1"/>
  <c r="AE61" i="20" s="1"/>
  <c r="AJ61" i="20" s="1"/>
  <c r="AJ29" i="8"/>
  <c r="AA70" i="4"/>
  <c r="AF96" i="7" a="1"/>
  <c r="AF96" i="7" s="1"/>
  <c r="AJ105" i="8"/>
  <c r="AA105" i="4"/>
  <c r="AA121" i="4"/>
  <c r="AJ35" i="8"/>
  <c r="AJ86" i="8"/>
  <c r="AA84" i="4"/>
  <c r="AE55" i="20" a="1"/>
  <c r="AE55" i="20" s="1"/>
  <c r="AJ55" i="20" s="1"/>
  <c r="AE69" i="20" a="1"/>
  <c r="AE69" i="20" s="1"/>
  <c r="AJ69" i="20" s="1"/>
  <c r="AF63" i="7" a="1"/>
  <c r="AF63" i="7" s="1"/>
  <c r="AJ46" i="7"/>
  <c r="AF46" i="7" a="1"/>
  <c r="AF46" i="7" s="1"/>
  <c r="AF50" i="7" a="1"/>
  <c r="AF50" i="7" s="1"/>
  <c r="AF70" i="7" a="1"/>
  <c r="AF70" i="7" s="1"/>
  <c r="AF65" i="7" a="1"/>
  <c r="AF65" i="7" s="1"/>
  <c r="AJ110" i="8"/>
  <c r="AA106" i="4"/>
  <c r="AE111" i="8" a="1"/>
  <c r="AE111" i="8" s="1"/>
  <c r="AJ111" i="8" s="1"/>
  <c r="AA89" i="4"/>
  <c r="AE98" i="20" a="1"/>
  <c r="AE98" i="20" s="1"/>
  <c r="AJ98" i="20" s="1"/>
  <c r="AF82" i="7" a="1"/>
  <c r="AF82" i="7" s="1"/>
  <c r="AJ54" i="8"/>
  <c r="AA63" i="4"/>
  <c r="AE60" i="20" a="1"/>
  <c r="AE60" i="20" s="1"/>
  <c r="AJ42" i="7"/>
  <c r="AF42" i="7" a="1"/>
  <c r="AF42" i="7" s="1"/>
  <c r="AF51" i="7" a="1"/>
  <c r="AF51" i="7" s="1"/>
  <c r="AE94" i="20" a="1"/>
  <c r="AE94" i="20" s="1"/>
  <c r="AJ94" i="20"/>
  <c r="AF103" i="7" a="1"/>
  <c r="AF103" i="7" s="1"/>
  <c r="AF36" i="7" a="1"/>
  <c r="AF36" i="7" s="1"/>
  <c r="AJ101" i="8"/>
  <c r="AA87" i="4"/>
  <c r="AF100" i="7" a="1"/>
  <c r="AF100" i="7" s="1"/>
  <c r="AA117" i="4"/>
  <c r="AJ45" i="8"/>
  <c r="AA88" i="4"/>
  <c r="AJ106" i="8"/>
  <c r="AA100" i="4"/>
  <c r="AF47" i="7" a="1"/>
  <c r="AF47" i="7" s="1"/>
  <c r="AE89" i="20" a="1"/>
  <c r="AE89" i="20" s="1"/>
  <c r="AJ89" i="20" s="1"/>
  <c r="AJ61" i="7"/>
  <c r="AF61" i="7" a="1"/>
  <c r="AF61" i="7" s="1"/>
  <c r="AF81" i="7" a="1"/>
  <c r="AF81" i="7" s="1"/>
  <c r="AF38" i="7" a="1"/>
  <c r="AF38" i="7" s="1"/>
  <c r="AF68" i="7" a="1"/>
  <c r="AF68" i="7" s="1"/>
  <c r="AF41" i="7" a="1"/>
  <c r="AF41" i="7" s="1"/>
  <c r="AF56" i="7" a="1"/>
  <c r="AF56" i="7" s="1"/>
  <c r="AE33" i="20" a="1"/>
  <c r="AE33" i="20" s="1"/>
  <c r="AJ33" i="20" s="1"/>
  <c r="AE84" i="20" a="1"/>
  <c r="AE84" i="20" s="1"/>
  <c r="AJ84" i="20" s="1"/>
  <c r="AF55" i="7" a="1"/>
  <c r="AF55" i="7" s="1"/>
  <c r="AF37" i="7" a="1"/>
  <c r="AF37" i="7" s="1"/>
  <c r="AE43" i="20" a="1"/>
  <c r="AE43" i="20" s="1"/>
  <c r="AJ43" i="20" s="1"/>
  <c r="AF48" i="7" a="1"/>
  <c r="AF48" i="7" s="1"/>
  <c r="AF69" i="7" a="1"/>
  <c r="AF69" i="7" s="1"/>
  <c r="AJ91" i="8"/>
  <c r="AA85" i="4"/>
  <c r="AE115" i="8" a="1"/>
  <c r="AE115" i="8" s="1"/>
  <c r="AJ115" i="8" s="1"/>
  <c r="AA107" i="4"/>
  <c r="AA133" i="4"/>
  <c r="AF58" i="7" a="1"/>
  <c r="AF58" i="7" s="1"/>
  <c r="AE53" i="20" a="1"/>
  <c r="AE53" i="20" s="1"/>
  <c r="AJ53" i="20" s="1"/>
  <c r="AE74" i="20" a="1"/>
  <c r="AE74" i="20" s="1"/>
  <c r="AJ74" i="20"/>
  <c r="AF76" i="7" a="1"/>
  <c r="AF76" i="7" s="1"/>
  <c r="AJ97" i="7"/>
  <c r="AF44" i="7" a="1"/>
  <c r="AF44" i="7" s="1"/>
  <c r="AJ59" i="7"/>
  <c r="AF89" i="7" a="1"/>
  <c r="AF89" i="7" s="1"/>
  <c r="AJ61" i="8"/>
  <c r="AA135" i="4"/>
  <c r="AJ81" i="8"/>
  <c r="AA83" i="4"/>
  <c r="AA125" i="4"/>
  <c r="AJ38" i="8"/>
  <c r="AJ68" i="8"/>
  <c r="AA113" i="4"/>
  <c r="AJ41" i="8"/>
  <c r="AA119" i="4"/>
  <c r="AA60" i="4"/>
  <c r="AF83" i="7" a="1"/>
  <c r="AF83" i="7" s="1"/>
  <c r="AE62" i="20" a="1"/>
  <c r="AE62" i="20" s="1"/>
  <c r="AJ62" i="20" s="1"/>
  <c r="AF99" i="7" a="1"/>
  <c r="AF99" i="7" s="1"/>
  <c r="AJ55" i="8"/>
  <c r="AA61" i="4"/>
  <c r="AJ37" i="8"/>
  <c r="AA126" i="4"/>
  <c r="AE48" i="20" a="1"/>
  <c r="AE48" i="20" s="1"/>
  <c r="AJ48" i="20" s="1"/>
  <c r="AF53" i="7" a="1"/>
  <c r="AF53" i="7" s="1"/>
  <c r="AF67" i="7" a="1"/>
  <c r="AF67" i="7" s="1"/>
  <c r="AJ107" i="8"/>
  <c r="AF75" i="7" a="1"/>
  <c r="AF75" i="7" s="1"/>
  <c r="AF109" i="7" a="1"/>
  <c r="AF109" i="7" s="1"/>
  <c r="AJ43" i="8"/>
  <c r="AA120" i="4"/>
  <c r="AF110" i="7" a="1"/>
  <c r="AF110" i="7" s="1"/>
  <c r="AF104" i="7" a="1"/>
  <c r="AF104" i="7" s="1"/>
  <c r="AE54" i="20" a="1"/>
  <c r="AE54" i="20" s="1"/>
  <c r="AJ54" i="20" s="1"/>
  <c r="AE103" i="20" a="1"/>
  <c r="AE103" i="20" s="1"/>
  <c r="AJ103" i="20" s="1"/>
  <c r="AA130" i="4"/>
  <c r="AF94" i="7" a="1"/>
  <c r="AF94" i="7" s="1"/>
  <c r="AJ60" i="7"/>
  <c r="AF60" i="7" a="1"/>
  <c r="AF60" i="7" s="1"/>
  <c r="AF78" i="7" a="1"/>
  <c r="AF78" i="7" s="1"/>
  <c r="AF49" i="7" a="1"/>
  <c r="AF49" i="7" s="1"/>
  <c r="AA131" i="4"/>
  <c r="AF108" i="7" a="1"/>
  <c r="AF108" i="7" s="1"/>
  <c r="AJ96" i="8"/>
  <c r="AA86" i="4"/>
  <c r="AF34" i="7" a="1"/>
  <c r="AF34" i="7" s="1"/>
  <c r="AJ53" i="7"/>
  <c r="AJ74" i="7"/>
  <c r="AA82" i="4"/>
  <c r="AE97" i="20" a="1"/>
  <c r="AE97" i="20" s="1"/>
  <c r="AJ97" i="20" s="1"/>
  <c r="AE67" i="20" a="1"/>
  <c r="AE67" i="20" s="1"/>
  <c r="AJ67" i="20" s="1"/>
  <c r="AF52" i="7" a="1"/>
  <c r="AF52" i="7" s="1"/>
  <c r="AF95" i="7" a="1"/>
  <c r="AF95" i="7" s="1"/>
  <c r="AA118" i="4"/>
  <c r="AJ44" i="8"/>
  <c r="AE59" i="20" a="1"/>
  <c r="AE59" i="20" s="1"/>
  <c r="AJ59" i="20" s="1"/>
  <c r="AA102" i="4"/>
  <c r="AJ63" i="7"/>
  <c r="AE93" i="20" a="1"/>
  <c r="AE93" i="20" s="1"/>
  <c r="AJ90" i="7"/>
  <c r="AJ88" i="7"/>
  <c r="AE32" i="20" a="1"/>
  <c r="AE32" i="20" s="1"/>
  <c r="AF33" i="7" a="1"/>
  <c r="AF33" i="7" s="1"/>
  <c r="AF84" i="7" a="1"/>
  <c r="AF84" i="7" s="1"/>
  <c r="AF62" i="7" a="1"/>
  <c r="AF62" i="7" s="1"/>
  <c r="AJ85" i="7"/>
  <c r="AJ66" i="7"/>
  <c r="M106" i="3"/>
  <c r="N106" i="3" s="1"/>
  <c r="N120" i="3" s="1"/>
  <c r="M71" i="3"/>
  <c r="M72" i="3"/>
  <c r="L81" i="3"/>
  <c r="M73" i="3"/>
  <c r="AT66" i="7" a="1"/>
  <c r="AS106" i="20" a="1"/>
  <c r="AS65" i="20" a="1"/>
  <c r="AT40" i="7" a="1"/>
  <c r="AT32" i="7" a="1"/>
  <c r="AS80" i="20" a="1"/>
  <c r="AS41" i="20" a="1"/>
  <c r="AT86" i="7" a="1"/>
  <c r="AT106" i="7" a="1"/>
  <c r="AT96" i="7" a="1"/>
  <c r="AT65" i="7" a="1"/>
  <c r="AS98" i="20" a="1"/>
  <c r="AT103" i="7" a="1"/>
  <c r="AT76" i="7" a="1"/>
  <c r="AT53" i="7" a="1"/>
  <c r="AT109" i="7" a="1"/>
  <c r="AT95" i="7" a="1"/>
  <c r="AS109" i="20" a="1"/>
  <c r="AS79" i="20" a="1"/>
  <c r="AT79" i="7" a="1"/>
  <c r="AT72" i="7" a="1"/>
  <c r="AT73" i="7" a="1"/>
  <c r="AS76" i="20" a="1"/>
  <c r="AS44" i="20" a="1"/>
  <c r="AT81" i="7" a="1"/>
  <c r="AT56" i="7" a="1"/>
  <c r="AT37" i="7" a="1"/>
  <c r="AS54" i="20" a="1"/>
  <c r="AT49" i="7" a="1"/>
  <c r="AT33" i="7" a="1"/>
  <c r="AS102" i="20" a="1"/>
  <c r="AS49" i="20" a="1"/>
  <c r="AS61" i="20" a="1"/>
  <c r="AS55" i="20" a="1"/>
  <c r="AT38" i="7" a="1"/>
  <c r="AS43" i="20" a="1"/>
  <c r="AT44" i="7" a="1"/>
  <c r="AS35" i="20" a="1"/>
  <c r="AS101" i="20" a="1"/>
  <c r="AS81" i="20" a="1"/>
  <c r="AS56" i="20" a="1"/>
  <c r="AS37" i="20" a="1"/>
  <c r="AS45" i="20" a="1"/>
  <c r="AT46" i="7" a="1"/>
  <c r="AT82" i="7" a="1"/>
  <c r="AT42" i="7" a="1"/>
  <c r="AT36" i="7" a="1"/>
  <c r="AT47" i="7" a="1"/>
  <c r="AT58" i="7" a="1"/>
  <c r="AT83" i="7" a="1"/>
  <c r="AT67" i="7" a="1"/>
  <c r="AT94" i="7" a="1"/>
  <c r="AS97" i="20" a="1"/>
  <c r="AT43" i="7" a="1"/>
  <c r="AT45" i="7" a="1"/>
  <c r="AS33" i="20" a="1"/>
  <c r="AT34" i="7" a="1"/>
  <c r="AT74" i="7" a="1"/>
  <c r="AS90" i="20" a="1"/>
  <c r="AT93" i="7" a="1"/>
  <c r="AT31" i="7" a="1"/>
  <c r="AT85" i="7" a="1"/>
  <c r="AS86" i="20" a="1"/>
  <c r="AS38" i="20" a="1"/>
  <c r="AT101" i="7" a="1"/>
  <c r="AS70" i="20" a="1"/>
  <c r="AT50" i="7" a="1"/>
  <c r="AT51" i="7" a="1"/>
  <c r="AS89" i="20" a="1"/>
  <c r="AS53" i="20" a="1"/>
  <c r="AS62" i="20" a="1"/>
  <c r="AS67" i="20" a="1"/>
  <c r="AS60" i="20" a="1"/>
  <c r="AT61" i="7" a="1"/>
  <c r="AT78" i="7" a="1"/>
  <c r="AT84" i="7" a="1"/>
  <c r="AT97" i="7" a="1"/>
  <c r="AT88" i="7" a="1"/>
  <c r="AS110" i="20" a="1"/>
  <c r="AT90" i="7" a="1"/>
  <c r="AT64" i="7" a="1"/>
  <c r="AT54" i="7" a="1"/>
  <c r="AS58" i="20" a="1"/>
  <c r="AT102" i="7" a="1"/>
  <c r="AS69" i="20" a="1"/>
  <c r="AT68" i="7" a="1"/>
  <c r="AS84" i="20" a="1"/>
  <c r="AT48" i="7" a="1"/>
  <c r="AT110" i="7" a="1"/>
  <c r="AS103" i="20" a="1"/>
  <c r="AT60" i="7" a="1"/>
  <c r="AS59" i="20" a="1"/>
  <c r="AT62" i="7" a="1"/>
  <c r="AT92" i="7" a="1"/>
  <c r="AT80" i="7" a="1"/>
  <c r="AT100" i="7" a="1"/>
  <c r="AT41" i="7" a="1"/>
  <c r="AT69" i="7" a="1"/>
  <c r="AS93" i="20" a="1"/>
  <c r="AS85" i="20" a="1"/>
  <c r="AS75" i="20" a="1"/>
  <c r="AS50" i="20" a="1"/>
  <c r="AS68" i="20" a="1"/>
  <c r="AT35" i="7" a="1"/>
  <c r="AS105" i="20" a="1"/>
  <c r="AT70" i="7" a="1"/>
  <c r="AS94" i="20" a="1"/>
  <c r="AS74" i="20" a="1"/>
  <c r="AT89" i="7" a="1"/>
  <c r="AT99" i="7" a="1"/>
  <c r="AS48" i="20" a="1"/>
  <c r="AT75" i="7" a="1"/>
  <c r="AT108" i="7" a="1"/>
  <c r="AT52" i="7" a="1"/>
  <c r="AT105" i="7" a="1"/>
  <c r="AT98" i="7" a="1"/>
  <c r="AT63" i="7" a="1"/>
  <c r="AT55" i="7" a="1"/>
  <c r="AT104" i="7" a="1"/>
  <c r="AS32" i="20" a="1"/>
  <c r="AT59" i="7" a="1"/>
  <c r="AT59" i="7" l="1"/>
  <c r="AS32" i="20"/>
  <c r="AT104" i="7"/>
  <c r="AT55" i="7"/>
  <c r="AT63" i="7"/>
  <c r="AT98" i="7"/>
  <c r="AT105" i="7"/>
  <c r="AT52" i="7"/>
  <c r="AT108" i="7"/>
  <c r="AT75" i="7"/>
  <c r="AS48" i="20"/>
  <c r="AT99" i="7"/>
  <c r="AT89" i="7"/>
  <c r="AS74" i="20"/>
  <c r="AS94" i="20"/>
  <c r="AT70" i="7"/>
  <c r="AS105" i="20"/>
  <c r="AT35" i="7"/>
  <c r="AS68" i="20"/>
  <c r="AS50" i="20"/>
  <c r="AS75" i="20"/>
  <c r="AS85" i="20"/>
  <c r="AS93" i="20"/>
  <c r="AT69" i="7"/>
  <c r="AT41" i="7"/>
  <c r="AT100" i="7"/>
  <c r="AT80" i="7"/>
  <c r="AT92" i="7"/>
  <c r="AT62" i="7"/>
  <c r="AS59" i="20"/>
  <c r="AT60" i="7"/>
  <c r="AS103" i="20"/>
  <c r="AT110" i="7"/>
  <c r="AT48" i="7"/>
  <c r="AS84" i="20"/>
  <c r="AT68" i="7"/>
  <c r="AS69" i="20"/>
  <c r="AT102" i="7"/>
  <c r="AS58" i="20"/>
  <c r="AT54" i="7"/>
  <c r="AT64" i="7"/>
  <c r="AT90" i="7"/>
  <c r="AS110" i="20"/>
  <c r="AT88" i="7"/>
  <c r="AT97" i="7"/>
  <c r="AT84" i="7"/>
  <c r="AT78" i="7"/>
  <c r="AT61" i="7"/>
  <c r="AS60" i="20"/>
  <c r="AS67" i="20"/>
  <c r="AS62" i="20"/>
  <c r="AS53" i="20"/>
  <c r="AS89" i="20"/>
  <c r="AT51" i="7"/>
  <c r="AT50" i="7"/>
  <c r="AS70" i="20"/>
  <c r="AT101" i="7"/>
  <c r="AS38" i="20"/>
  <c r="AS86" i="20"/>
  <c r="AT85" i="7"/>
  <c r="AT31" i="7"/>
  <c r="AT93" i="7"/>
  <c r="AS90" i="20"/>
  <c r="AT74" i="7"/>
  <c r="AT34" i="7"/>
  <c r="AS33" i="20"/>
  <c r="AT45" i="7"/>
  <c r="AT43" i="7"/>
  <c r="AS97" i="20"/>
  <c r="AT94" i="7"/>
  <c r="AT67" i="7"/>
  <c r="AT83" i="7"/>
  <c r="AT58" i="7"/>
  <c r="AT47" i="7"/>
  <c r="AT36" i="7"/>
  <c r="AT42" i="7"/>
  <c r="AT82" i="7"/>
  <c r="AT46" i="7"/>
  <c r="AS45" i="20"/>
  <c r="AS37" i="20"/>
  <c r="AS56" i="20"/>
  <c r="AS81" i="20"/>
  <c r="AS101" i="20"/>
  <c r="AS35" i="20"/>
  <c r="AT44" i="7"/>
  <c r="AS43" i="20"/>
  <c r="AT38" i="7"/>
  <c r="AS55" i="20"/>
  <c r="AS61" i="20"/>
  <c r="AS49" i="20"/>
  <c r="AS102" i="20"/>
  <c r="AT33" i="7"/>
  <c r="AT49" i="7"/>
  <c r="AS54" i="20"/>
  <c r="AT37" i="7"/>
  <c r="AT56" i="7"/>
  <c r="AT81" i="7"/>
  <c r="AS44" i="20"/>
  <c r="AS76" i="20"/>
  <c r="AT73" i="7"/>
  <c r="AT72" i="7"/>
  <c r="AT79" i="7"/>
  <c r="AS79" i="20"/>
  <c r="AS109" i="20"/>
  <c r="AT95" i="7"/>
  <c r="AT109" i="7"/>
  <c r="AT53" i="7"/>
  <c r="AT76" i="7"/>
  <c r="AT103" i="7"/>
  <c r="AS98" i="20"/>
  <c r="AT65" i="7"/>
  <c r="AT96" i="7"/>
  <c r="AT106" i="7"/>
  <c r="AT86" i="7"/>
  <c r="AS41" i="20"/>
  <c r="AS80" i="20"/>
  <c r="AT32" i="7"/>
  <c r="AT40" i="7"/>
  <c r="AS65" i="20"/>
  <c r="AS106" i="20"/>
  <c r="AT66" i="7"/>
  <c r="AG59" i="7" a="1"/>
  <c r="AG59" i="7" s="1"/>
  <c r="AK50" i="8"/>
  <c r="AF32" i="20" a="1"/>
  <c r="AF32" i="20" s="1"/>
  <c r="AB82" i="4"/>
  <c r="E82" i="13" s="1" a="1"/>
  <c r="E82" i="13" s="1"/>
  <c r="AG104" i="7" a="1"/>
  <c r="AG104" i="7" s="1"/>
  <c r="AB133" i="4"/>
  <c r="E55" i="13" s="1" a="1"/>
  <c r="E55" i="13" s="1"/>
  <c r="AG55" i="7" a="1"/>
  <c r="AG55" i="7" s="1"/>
  <c r="AB100" i="4"/>
  <c r="E100" i="13" s="1" a="1"/>
  <c r="E100" i="13" s="1"/>
  <c r="AG63" i="7" a="1"/>
  <c r="AG63" i="7" s="1"/>
  <c r="AG98" i="7" a="1"/>
  <c r="AG98" i="7" s="1"/>
  <c r="AK75" i="8"/>
  <c r="AF116" i="8" a="1"/>
  <c r="AF116" i="8" s="1"/>
  <c r="AB90" i="4"/>
  <c r="E90" i="13" s="1" a="1"/>
  <c r="E90" i="13" s="1"/>
  <c r="AB123" i="4"/>
  <c r="E21" i="13" s="1" a="1"/>
  <c r="E21" i="13" s="1"/>
  <c r="AG105" i="7" a="1"/>
  <c r="AG105" i="7" s="1"/>
  <c r="AA97" i="4"/>
  <c r="AJ104" i="8"/>
  <c r="AB127" i="4"/>
  <c r="E24" i="13" s="1" a="1"/>
  <c r="E24" i="13" s="1"/>
  <c r="AG52" i="7" a="1"/>
  <c r="AG52" i="7" s="1"/>
  <c r="AG108" i="7" a="1"/>
  <c r="AG108" i="7" s="1"/>
  <c r="AG75" i="7" a="1"/>
  <c r="AG75" i="7" s="1"/>
  <c r="AF48" i="20" a="1"/>
  <c r="AF48" i="20" s="1"/>
  <c r="AG99" i="7" a="1"/>
  <c r="AG99" i="7" s="1"/>
  <c r="AB125" i="4"/>
  <c r="E22" i="13" s="1" a="1"/>
  <c r="E22" i="13" s="1"/>
  <c r="AG89" i="7" a="1"/>
  <c r="AG89" i="7" s="1"/>
  <c r="AF74" i="20" a="1"/>
  <c r="AF74" i="20" s="1"/>
  <c r="AF94" i="20" a="1"/>
  <c r="AF94" i="20" s="1"/>
  <c r="AG70" i="7" a="1"/>
  <c r="AG70" i="7" s="1"/>
  <c r="AB111" i="4"/>
  <c r="E68" i="13" s="1" a="1"/>
  <c r="E68" i="13" s="1"/>
  <c r="AF105" i="20" a="1"/>
  <c r="AF105" i="20" s="1"/>
  <c r="AG35" i="7" a="1"/>
  <c r="AG35" i="7" s="1"/>
  <c r="AF68" i="20" a="1"/>
  <c r="AF68" i="20" s="1"/>
  <c r="AB101" i="4"/>
  <c r="E101" i="13" s="1" a="1"/>
  <c r="E101" i="13" s="1"/>
  <c r="AF50" i="20" a="1"/>
  <c r="AF50" i="20" s="1"/>
  <c r="AF75" i="20" a="1"/>
  <c r="AF75" i="20" s="1"/>
  <c r="AF85" i="20" a="1"/>
  <c r="AF85" i="20" s="1"/>
  <c r="AA96" i="4"/>
  <c r="AJ99" i="8"/>
  <c r="AF93" i="20" a="1"/>
  <c r="AF93" i="20" s="1"/>
  <c r="AB131" i="4"/>
  <c r="E53" i="13" s="1" a="1"/>
  <c r="E53" i="13" s="1"/>
  <c r="AB130" i="4"/>
  <c r="E37" i="13" s="1" a="1"/>
  <c r="E37" i="13" s="1"/>
  <c r="AG69" i="7" a="1"/>
  <c r="AG69" i="7" s="1"/>
  <c r="AG41" i="7" a="1"/>
  <c r="AG41" i="7" s="1"/>
  <c r="AG100" i="7" a="1"/>
  <c r="AG100" i="7" s="1"/>
  <c r="AG80" i="7" a="1"/>
  <c r="AG80" i="7" s="1"/>
  <c r="AG92" i="7" a="1"/>
  <c r="AG92" i="7" s="1"/>
  <c r="AG62" i="7" a="1"/>
  <c r="AG62" i="7" s="1"/>
  <c r="AF59" i="20" a="1"/>
  <c r="AF59" i="20" s="1"/>
  <c r="AJ58" i="8"/>
  <c r="AG60" i="7" a="1"/>
  <c r="AG60" i="7" s="1"/>
  <c r="AF103" i="20" a="1"/>
  <c r="AF103" i="20" s="1"/>
  <c r="AG110" i="7" a="1"/>
  <c r="AG110" i="7" s="1"/>
  <c r="AG48" i="7" a="1"/>
  <c r="AG48" i="7" s="1"/>
  <c r="AF84" i="20" a="1"/>
  <c r="AF84" i="20" s="1"/>
  <c r="AG68" i="7" a="1"/>
  <c r="AG68" i="7" s="1"/>
  <c r="AF111" i="8" a="1"/>
  <c r="AF111" i="8" s="1"/>
  <c r="AB89" i="4"/>
  <c r="E89" i="13" s="1" a="1"/>
  <c r="E89" i="13" s="1"/>
  <c r="AF69" i="20" a="1"/>
  <c r="AF69" i="20" s="1"/>
  <c r="AB121" i="4"/>
  <c r="E20" i="13" s="1" a="1"/>
  <c r="E20" i="13" s="1"/>
  <c r="AB70" i="4"/>
  <c r="E32" i="13" s="1" a="1"/>
  <c r="E32" i="13" s="1"/>
  <c r="AG102" i="7" a="1"/>
  <c r="AG102" i="7" s="1"/>
  <c r="AF58" i="20" a="1"/>
  <c r="AF58" i="20" s="1"/>
  <c r="AG54" i="7" a="1"/>
  <c r="AG54" i="7" s="1"/>
  <c r="AG64" i="7" a="1"/>
  <c r="AG64" i="7" s="1"/>
  <c r="AG90" i="7" a="1"/>
  <c r="AG90" i="7" s="1"/>
  <c r="AF110" i="20" a="1"/>
  <c r="AF110" i="20" s="1"/>
  <c r="AB109" i="4"/>
  <c r="E66" i="13" s="1" a="1"/>
  <c r="E66" i="13" s="1"/>
  <c r="AB91" i="4"/>
  <c r="E91" i="13" s="1" a="1"/>
  <c r="E91" i="13" s="1"/>
  <c r="AB93" i="4"/>
  <c r="E93" i="13" s="1" a="1"/>
  <c r="E93" i="13" s="1"/>
  <c r="AG88" i="7" a="1"/>
  <c r="AG88" i="7" s="1"/>
  <c r="AG97" i="7" a="1"/>
  <c r="AG97" i="7" s="1"/>
  <c r="AG84" i="7" a="1"/>
  <c r="AG84" i="7" s="1"/>
  <c r="AJ32" i="20"/>
  <c r="AB102" i="4"/>
  <c r="E102" i="13" s="1" a="1"/>
  <c r="E102" i="13" s="1"/>
  <c r="AG78" i="7" a="1"/>
  <c r="AG78" i="7" s="1"/>
  <c r="AB60" i="4"/>
  <c r="E40" i="13" s="1" a="1"/>
  <c r="E40" i="13" s="1"/>
  <c r="AG61" i="7" a="1"/>
  <c r="AG61" i="7" s="1"/>
  <c r="AF60" i="20" a="1"/>
  <c r="AF60" i="20" s="1"/>
  <c r="AJ93" i="20"/>
  <c r="AF67" i="20" a="1"/>
  <c r="AF67" i="20" s="1"/>
  <c r="AJ50" i="8"/>
  <c r="AK107" i="8"/>
  <c r="AF62" i="20" a="1"/>
  <c r="AF62" i="20" s="1"/>
  <c r="AB119" i="4"/>
  <c r="E50" i="13" s="1" a="1"/>
  <c r="E50" i="13" s="1"/>
  <c r="AF53" i="20" a="1"/>
  <c r="AF53" i="20" s="1"/>
  <c r="AF115" i="8" a="1"/>
  <c r="AF115" i="8" s="1"/>
  <c r="AB107" i="4"/>
  <c r="E107" i="13" s="1" a="1"/>
  <c r="E107" i="13" s="1"/>
  <c r="AF89" i="20" a="1"/>
  <c r="AF89" i="20" s="1"/>
  <c r="AB88" i="4"/>
  <c r="E88" i="13" s="1" a="1"/>
  <c r="E88" i="13" s="1"/>
  <c r="AB87" i="4"/>
  <c r="E87" i="13" s="1" a="1"/>
  <c r="E87" i="13" s="1"/>
  <c r="AG51" i="7" a="1"/>
  <c r="AG51" i="7" s="1"/>
  <c r="AB63" i="4"/>
  <c r="E43" i="13" s="1" a="1"/>
  <c r="E43" i="13" s="1"/>
  <c r="AG50" i="7" a="1"/>
  <c r="AG50" i="7" s="1"/>
  <c r="AB92" i="4"/>
  <c r="E92" i="13" s="1" a="1"/>
  <c r="E92" i="13" s="1"/>
  <c r="AF70" i="20" a="1"/>
  <c r="AF70" i="20" s="1"/>
  <c r="AG101" i="7" a="1"/>
  <c r="AG101" i="7" s="1"/>
  <c r="AF38" i="20" a="1"/>
  <c r="AF38" i="20" s="1"/>
  <c r="AF86" i="20" a="1"/>
  <c r="AF86" i="20" s="1"/>
  <c r="AG85" i="7" a="1"/>
  <c r="AG85" i="7" s="1"/>
  <c r="AG31" i="7" a="1"/>
  <c r="AG31" i="7" s="1"/>
  <c r="AE114" i="8" a="1"/>
  <c r="AE114" i="8" s="1"/>
  <c r="AJ114" i="8" s="1"/>
  <c r="AA99" i="4"/>
  <c r="AG93" i="7" a="1"/>
  <c r="AG93" i="7" s="1"/>
  <c r="AB132" i="4"/>
  <c r="E54" i="13" s="1" a="1"/>
  <c r="E54" i="13" s="1"/>
  <c r="AJ94" i="8"/>
  <c r="AA95" i="4"/>
  <c r="AF90" i="20" a="1"/>
  <c r="AF90" i="20" s="1"/>
  <c r="AG74" i="7" a="1"/>
  <c r="AG74" i="7" s="1"/>
  <c r="AG34" i="7" a="1"/>
  <c r="AG34" i="7" s="1"/>
  <c r="AB126" i="4"/>
  <c r="E23" i="13" s="1" a="1"/>
  <c r="E23" i="13" s="1"/>
  <c r="AB83" i="4"/>
  <c r="E83" i="13" s="1" a="1"/>
  <c r="E83" i="13" s="1"/>
  <c r="AF33" i="20" a="1"/>
  <c r="AF33" i="20" s="1"/>
  <c r="AG45" i="7" a="1"/>
  <c r="AG45" i="7" s="1"/>
  <c r="AG43" i="7" a="1"/>
  <c r="AG43" i="7" s="1"/>
  <c r="AB118" i="4"/>
  <c r="E49" i="13" s="1" a="1"/>
  <c r="E49" i="13" s="1"/>
  <c r="AF97" i="20" a="1"/>
  <c r="AF97" i="20" s="1"/>
  <c r="AG94" i="7" a="1"/>
  <c r="AG94" i="7" s="1"/>
  <c r="AB120" i="4"/>
  <c r="E51" i="13" s="1" a="1"/>
  <c r="E51" i="13" s="1"/>
  <c r="AG67" i="7" a="1"/>
  <c r="AG67" i="7" s="1"/>
  <c r="AG83" i="7" a="1"/>
  <c r="AG83" i="7" s="1"/>
  <c r="AG58" i="7" a="1"/>
  <c r="AG58" i="7" s="1"/>
  <c r="AG47" i="7" a="1"/>
  <c r="AG47" i="7" s="1"/>
  <c r="AG36" i="7" a="1"/>
  <c r="AG36" i="7" s="1"/>
  <c r="AG42" i="7" a="1"/>
  <c r="AG42" i="7" s="1"/>
  <c r="AG82" i="7" a="1"/>
  <c r="AG82" i="7" s="1"/>
  <c r="AB106" i="4"/>
  <c r="E106" i="13" s="1" a="1"/>
  <c r="E106" i="13" s="1"/>
  <c r="AG46" i="7" a="1"/>
  <c r="AG46" i="7" s="1"/>
  <c r="AB105" i="4"/>
  <c r="E105" i="13" s="1" a="1"/>
  <c r="E105" i="13" s="1"/>
  <c r="AF45" i="20" a="1"/>
  <c r="AF45" i="20" s="1"/>
  <c r="AF37" i="20" a="1"/>
  <c r="AF37" i="20" s="1"/>
  <c r="AF56" i="20" a="1"/>
  <c r="AF56" i="20" s="1"/>
  <c r="AF81" i="20" a="1"/>
  <c r="AF81" i="20" s="1"/>
  <c r="AF101" i="20" a="1"/>
  <c r="AF101" i="20" s="1"/>
  <c r="AB103" i="4"/>
  <c r="E103" i="13" s="1" a="1"/>
  <c r="E103" i="13" s="1"/>
  <c r="AF35" i="20" a="1"/>
  <c r="AF35" i="20" s="1"/>
  <c r="AB134" i="4"/>
  <c r="E57" i="13" s="1" a="1"/>
  <c r="E57" i="13" s="1"/>
  <c r="AB104" i="4"/>
  <c r="E104" i="13" s="1" a="1"/>
  <c r="E104" i="13" s="1"/>
  <c r="AB62" i="4"/>
  <c r="E42" i="13" s="1" a="1"/>
  <c r="E42" i="13" s="1"/>
  <c r="AJ84" i="8"/>
  <c r="AJ89" i="8"/>
  <c r="AA94" i="4"/>
  <c r="AG44" i="7" a="1"/>
  <c r="AG44" i="7" s="1"/>
  <c r="AF43" i="20" a="1"/>
  <c r="AF43" i="20" s="1"/>
  <c r="AG38" i="7" a="1"/>
  <c r="AG38" i="7" s="1"/>
  <c r="AF55" i="20" a="1"/>
  <c r="AF55" i="20" s="1"/>
  <c r="AF61" i="20" a="1"/>
  <c r="AF61" i="20" s="1"/>
  <c r="AF49" i="20" a="1"/>
  <c r="AF49" i="20" s="1"/>
  <c r="AB112" i="4"/>
  <c r="E69" i="13" s="1" a="1"/>
  <c r="E69" i="13" s="1"/>
  <c r="AF102" i="20" a="1"/>
  <c r="AF102" i="20" s="1"/>
  <c r="AG33" i="7" a="1"/>
  <c r="AG33" i="7" s="1"/>
  <c r="AJ90" i="8"/>
  <c r="AJ76" i="8"/>
  <c r="AG49" i="7" a="1"/>
  <c r="AG49" i="7" s="1"/>
  <c r="AJ49" i="8"/>
  <c r="AF54" i="20" a="1"/>
  <c r="AF54" i="20" s="1"/>
  <c r="AJ56" i="8"/>
  <c r="AB113" i="4"/>
  <c r="E70" i="13" s="1" a="1"/>
  <c r="E70" i="13" s="1"/>
  <c r="AJ60" i="8"/>
  <c r="AB85" i="4"/>
  <c r="E85" i="13" s="1" a="1"/>
  <c r="E85" i="13" s="1"/>
  <c r="AG37" i="7" a="1"/>
  <c r="AG37" i="7" s="1"/>
  <c r="AG56" i="7" a="1"/>
  <c r="AG56" i="7" s="1"/>
  <c r="AG81" i="7" a="1"/>
  <c r="AG81" i="7" s="1"/>
  <c r="AJ80" i="8"/>
  <c r="AB117" i="4"/>
  <c r="E48" i="13" s="1" a="1"/>
  <c r="E48" i="13" s="1"/>
  <c r="AF44" i="20" a="1"/>
  <c r="AF44" i="20" s="1"/>
  <c r="AF76" i="20" a="1"/>
  <c r="AF76" i="20" s="1"/>
  <c r="AG73" i="7" a="1"/>
  <c r="AG73" i="7" s="1"/>
  <c r="AK69" i="8"/>
  <c r="AK48" i="8"/>
  <c r="AJ116" i="8"/>
  <c r="AG72" i="7" a="1"/>
  <c r="AG72" i="7" s="1"/>
  <c r="AJ32" i="8"/>
  <c r="AG79" i="7" a="1"/>
  <c r="AG79" i="7" s="1"/>
  <c r="AJ33" i="8"/>
  <c r="AF79" i="20" a="1"/>
  <c r="AF79" i="20" s="1"/>
  <c r="AF109" i="20" a="1"/>
  <c r="AF109" i="20" s="1"/>
  <c r="Z102" i="4"/>
  <c r="AG95" i="7" a="1"/>
  <c r="AG95" i="7" s="1"/>
  <c r="AB86" i="4"/>
  <c r="E86" i="13" s="1" a="1"/>
  <c r="E86" i="13" s="1"/>
  <c r="AG109" i="7" a="1"/>
  <c r="AG109" i="7" s="1"/>
  <c r="AG53" i="7" a="1"/>
  <c r="AG53" i="7" s="1"/>
  <c r="AB61" i="4"/>
  <c r="E41" i="13" s="1" a="1"/>
  <c r="E41" i="13" s="1"/>
  <c r="AB135" i="4"/>
  <c r="E56" i="13" s="1" a="1"/>
  <c r="E56" i="13" s="1"/>
  <c r="AG76" i="7" a="1"/>
  <c r="AG76" i="7" s="1"/>
  <c r="Z100" i="4"/>
  <c r="AG103" i="7" a="1"/>
  <c r="AG103" i="7" s="1"/>
  <c r="AJ60" i="20"/>
  <c r="AF98" i="20" a="1"/>
  <c r="AF98" i="20" s="1"/>
  <c r="AG65" i="7" a="1"/>
  <c r="AG65" i="7" s="1"/>
  <c r="AB84" i="4"/>
  <c r="E84" i="13" s="1" a="1"/>
  <c r="E84" i="13" s="1"/>
  <c r="AG96" i="7" a="1"/>
  <c r="AG96" i="7" s="1"/>
  <c r="AJ75" i="8"/>
  <c r="AG106" i="7" a="1"/>
  <c r="AG106" i="7" s="1"/>
  <c r="AG86" i="7" a="1"/>
  <c r="AG86" i="7" s="1"/>
  <c r="AF41" i="20" a="1"/>
  <c r="AF41" i="20" s="1"/>
  <c r="AF80" i="20" a="1"/>
  <c r="AF80" i="20" s="1"/>
  <c r="AG32" i="7" a="1"/>
  <c r="AG32" i="7" s="1"/>
  <c r="AG40" i="7" a="1"/>
  <c r="AG40" i="7" s="1"/>
  <c r="AF65" i="20" a="1"/>
  <c r="AF65" i="20" s="1"/>
  <c r="AF106" i="20" a="1"/>
  <c r="AF106" i="20" s="1"/>
  <c r="AG66" i="7" a="1"/>
  <c r="AG66" i="7" s="1"/>
  <c r="AJ109" i="8"/>
  <c r="AA98" i="4"/>
  <c r="Z127" i="4"/>
  <c r="N71" i="3"/>
  <c r="N77" i="3"/>
  <c r="N72" i="3"/>
  <c r="N73" i="3"/>
  <c r="AU70" i="7" a="1"/>
  <c r="AU41" i="7" a="1"/>
  <c r="AT84" i="20" a="1"/>
  <c r="AT58" i="20" a="1"/>
  <c r="AU78" i="7" a="1"/>
  <c r="AT67" i="20" a="1"/>
  <c r="AT90" i="20" a="1"/>
  <c r="AU42" i="7" a="1"/>
  <c r="AU81" i="7" a="1"/>
  <c r="AU53" i="7" a="1"/>
  <c r="AU66" i="7" a="1"/>
  <c r="AU59" i="7" a="1"/>
  <c r="AU104" i="7" a="1"/>
  <c r="AU63" i="7" a="1"/>
  <c r="AT85" i="20" a="1"/>
  <c r="AU100" i="7" a="1"/>
  <c r="AU60" i="7" a="1"/>
  <c r="AU88" i="7" a="1"/>
  <c r="AT89" i="20" a="1"/>
  <c r="AU51" i="7" a="1"/>
  <c r="AU85" i="7" a="1"/>
  <c r="AU67" i="7" a="1"/>
  <c r="AU82" i="7" a="1"/>
  <c r="AT45" i="20" a="1"/>
  <c r="AT101" i="20" a="1"/>
  <c r="AU38" i="7" a="1"/>
  <c r="AU49" i="7" a="1"/>
  <c r="AU73" i="7" a="1"/>
  <c r="AU79" i="7" a="1"/>
  <c r="AU96" i="7" a="1"/>
  <c r="AT49" i="20" a="1"/>
  <c r="AU98" i="7" a="1"/>
  <c r="AU52" i="7" a="1"/>
  <c r="AU80" i="7" a="1"/>
  <c r="AT103" i="20" a="1"/>
  <c r="AU68" i="7" a="1"/>
  <c r="AU54" i="7" a="1"/>
  <c r="AU97" i="7" a="1"/>
  <c r="AT70" i="20" a="1"/>
  <c r="AU31" i="7" a="1"/>
  <c r="AU74" i="7" a="1"/>
  <c r="AT33" i="20" a="1"/>
  <c r="AU83" i="7" a="1"/>
  <c r="AU95" i="7" a="1"/>
  <c r="AU103" i="7" a="1"/>
  <c r="AU32" i="7" a="1"/>
  <c r="AU90" i="7" a="1"/>
  <c r="AT38" i="20" a="1"/>
  <c r="AU94" i="7" a="1"/>
  <c r="AU47" i="7" a="1"/>
  <c r="AU46" i="7" a="1"/>
  <c r="AU86" i="7" a="1"/>
  <c r="AT86" i="20" a="1"/>
  <c r="AT81" i="20" a="1"/>
  <c r="AU105" i="7" a="1"/>
  <c r="AU108" i="7" a="1"/>
  <c r="AU89" i="7" a="1"/>
  <c r="AU92" i="7" a="1"/>
  <c r="AU84" i="7" a="1"/>
  <c r="AU34" i="7" a="1"/>
  <c r="AT97" i="20" a="1"/>
  <c r="AT37" i="20" a="1"/>
  <c r="AT55" i="20" a="1"/>
  <c r="AT54" i="20" a="1"/>
  <c r="AU40" i="7" a="1"/>
  <c r="AT79" i="20" a="1"/>
  <c r="AT98" i="20" a="1"/>
  <c r="AU106" i="7" a="1"/>
  <c r="AT65" i="20" a="1"/>
  <c r="AT60" i="20" a="1"/>
  <c r="AU50" i="7" a="1"/>
  <c r="AT61" i="20" a="1"/>
  <c r="AT76" i="20" a="1"/>
  <c r="AU109" i="7" a="1"/>
  <c r="AU76" i="7" a="1"/>
  <c r="AT80" i="20" a="1"/>
  <c r="AT32" i="20" a="1"/>
  <c r="AU75" i="7" a="1"/>
  <c r="AT74" i="20" a="1"/>
  <c r="AT105" i="20" a="1"/>
  <c r="AT50" i="20" a="1"/>
  <c r="AU110" i="7" a="1"/>
  <c r="AU64" i="7" a="1"/>
  <c r="AU61" i="7" a="1"/>
  <c r="AT53" i="20" a="1"/>
  <c r="AU101" i="7" a="1"/>
  <c r="AU58" i="7" a="1"/>
  <c r="AT102" i="20" a="1"/>
  <c r="AU45" i="7" a="1"/>
  <c r="AT56" i="20" a="1"/>
  <c r="AT44" i="20" a="1"/>
  <c r="AU55" i="7" a="1"/>
  <c r="AT48" i="20" a="1"/>
  <c r="AU62" i="7" a="1"/>
  <c r="AT43" i="20" a="1"/>
  <c r="AU56" i="7" a="1"/>
  <c r="AU72" i="7" a="1"/>
  <c r="AT94" i="20" a="1"/>
  <c r="AU35" i="7" a="1"/>
  <c r="AT93" i="20" a="1"/>
  <c r="AT59" i="20" a="1"/>
  <c r="AT110" i="20" a="1"/>
  <c r="AU43" i="7" a="1"/>
  <c r="AT35" i="20" a="1"/>
  <c r="AU44" i="7" a="1"/>
  <c r="AU33" i="7" a="1"/>
  <c r="AU37" i="7" a="1"/>
  <c r="AT109" i="20" a="1"/>
  <c r="AU65" i="7" a="1"/>
  <c r="AT41" i="20" a="1"/>
  <c r="AT106" i="20" a="1"/>
  <c r="AU99" i="7" a="1"/>
  <c r="AT68" i="20" a="1"/>
  <c r="AT75" i="20" a="1"/>
  <c r="AU69" i="7" a="1"/>
  <c r="AU48" i="7" a="1"/>
  <c r="AT69" i="20" a="1"/>
  <c r="AU102" i="7" a="1"/>
  <c r="AT62" i="20" a="1"/>
  <c r="AU93" i="7" a="1"/>
  <c r="AU36" i="7" a="1"/>
  <c r="Z133" i="4" l="1"/>
  <c r="Z131" i="4"/>
  <c r="Z118" i="4"/>
  <c r="Z106" i="4"/>
  <c r="Z103" i="4"/>
  <c r="Z93" i="4"/>
  <c r="Z130" i="4"/>
  <c r="Z125" i="4"/>
  <c r="Z134" i="4"/>
  <c r="Z101" i="4"/>
  <c r="AU36" i="7"/>
  <c r="AU93" i="7"/>
  <c r="AT62" i="20"/>
  <c r="AU102" i="7"/>
  <c r="AT69" i="20"/>
  <c r="AU48" i="7"/>
  <c r="AU69" i="7"/>
  <c r="AT75" i="20"/>
  <c r="AT68" i="20"/>
  <c r="AU99" i="7"/>
  <c r="AT106" i="20"/>
  <c r="AT41" i="20"/>
  <c r="AU65" i="7"/>
  <c r="AT109" i="20"/>
  <c r="AU37" i="7"/>
  <c r="AU33" i="7"/>
  <c r="AU44" i="7"/>
  <c r="AT35" i="20"/>
  <c r="AU43" i="7"/>
  <c r="AT110" i="20"/>
  <c r="AT59" i="20"/>
  <c r="AT93" i="20"/>
  <c r="AU35" i="7"/>
  <c r="AT94" i="20"/>
  <c r="AU72" i="7"/>
  <c r="AU56" i="7"/>
  <c r="AT43" i="20"/>
  <c r="AU62" i="7"/>
  <c r="AT48" i="20"/>
  <c r="AU55" i="7"/>
  <c r="AT44" i="20"/>
  <c r="AT56" i="20"/>
  <c r="AU45" i="7"/>
  <c r="AT102" i="20"/>
  <c r="AU58" i="7"/>
  <c r="AU101" i="7"/>
  <c r="AT53" i="20"/>
  <c r="AU61" i="7"/>
  <c r="AU64" i="7"/>
  <c r="AU110" i="7"/>
  <c r="AT50" i="20"/>
  <c r="AT105" i="20"/>
  <c r="AT74" i="20"/>
  <c r="AU75" i="7"/>
  <c r="AT32" i="20"/>
  <c r="AT80" i="20"/>
  <c r="AU76" i="7"/>
  <c r="AU109" i="7"/>
  <c r="AT76" i="20"/>
  <c r="AT61" i="20"/>
  <c r="AU50" i="7"/>
  <c r="AT60" i="20"/>
  <c r="AT65" i="20"/>
  <c r="AU106" i="7"/>
  <c r="AT98" i="20"/>
  <c r="AT79" i="20"/>
  <c r="AU40" i="7"/>
  <c r="AT54" i="20"/>
  <c r="AT55" i="20"/>
  <c r="AT37" i="20"/>
  <c r="AT97" i="20"/>
  <c r="AU34" i="7"/>
  <c r="AU84" i="7"/>
  <c r="AU92" i="7"/>
  <c r="AU89" i="7"/>
  <c r="AU108" i="7"/>
  <c r="AU105" i="7"/>
  <c r="AT81" i="20"/>
  <c r="AT86" i="20"/>
  <c r="AU86" i="7"/>
  <c r="AU46" i="7"/>
  <c r="AU47" i="7"/>
  <c r="AU94" i="7"/>
  <c r="AT38" i="20"/>
  <c r="AU90" i="7"/>
  <c r="AU32" i="7"/>
  <c r="AU103" i="7"/>
  <c r="AU95" i="7"/>
  <c r="AU83" i="7"/>
  <c r="AT33" i="20"/>
  <c r="AU74" i="7"/>
  <c r="AU31" i="7"/>
  <c r="AT70" i="20"/>
  <c r="AU97" i="7"/>
  <c r="AU54" i="7"/>
  <c r="AU68" i="7"/>
  <c r="AT103" i="20"/>
  <c r="AU80" i="7"/>
  <c r="AU52" i="7"/>
  <c r="AU98" i="7"/>
  <c r="AT49" i="20"/>
  <c r="AU96" i="7"/>
  <c r="AU79" i="7"/>
  <c r="AU73" i="7"/>
  <c r="AU49" i="7"/>
  <c r="AU38" i="7"/>
  <c r="AT101" i="20"/>
  <c r="AT45" i="20"/>
  <c r="AU82" i="7"/>
  <c r="AU67" i="7"/>
  <c r="AU85" i="7"/>
  <c r="AU51" i="7"/>
  <c r="AT89" i="20"/>
  <c r="AU88" i="7"/>
  <c r="AU60" i="7"/>
  <c r="AU100" i="7"/>
  <c r="AT85" i="20"/>
  <c r="AU63" i="7"/>
  <c r="AU104" i="7"/>
  <c r="AU59" i="7"/>
  <c r="AU66" i="7"/>
  <c r="AU53" i="7"/>
  <c r="AU81" i="7"/>
  <c r="AU42" i="7"/>
  <c r="AT90" i="20"/>
  <c r="AT67" i="20"/>
  <c r="AU78" i="7"/>
  <c r="AT58" i="20"/>
  <c r="AT84" i="20"/>
  <c r="AU41" i="7"/>
  <c r="AU70" i="7"/>
  <c r="AH36" i="7" a="1"/>
  <c r="AH36" i="7" s="1"/>
  <c r="AH93" i="7" a="1"/>
  <c r="AH93" i="7" s="1"/>
  <c r="AG62" i="20" a="1"/>
  <c r="AG62" i="20" s="1"/>
  <c r="AH102" i="7" a="1"/>
  <c r="AH102" i="7" s="1"/>
  <c r="AG69" i="20" a="1"/>
  <c r="AG69" i="20" s="1"/>
  <c r="AH48" i="7" a="1"/>
  <c r="AH48" i="7" s="1"/>
  <c r="AH69" i="7" a="1"/>
  <c r="AH69" i="7" s="1"/>
  <c r="AG75" i="20" a="1"/>
  <c r="AG75" i="20" s="1"/>
  <c r="AG68" i="20" a="1"/>
  <c r="AG68" i="20" s="1"/>
  <c r="AH99" i="7" a="1"/>
  <c r="AH99" i="7" s="1"/>
  <c r="AC127" i="4"/>
  <c r="F24" i="13" s="1" a="1"/>
  <c r="F24" i="13" s="1"/>
  <c r="AG106" i="20" a="1"/>
  <c r="AG106" i="20" s="1"/>
  <c r="AG41" i="20" a="1"/>
  <c r="AG41" i="20" s="1"/>
  <c r="AH65" i="7" a="1"/>
  <c r="AH65" i="7" s="1"/>
  <c r="AG109" i="20" a="1"/>
  <c r="AG109" i="20" s="1"/>
  <c r="AH37" i="7" a="1"/>
  <c r="AH37" i="7" s="1"/>
  <c r="AC113" i="4"/>
  <c r="F70" i="13" s="1" a="1"/>
  <c r="F70" i="13" s="1"/>
  <c r="AH33" i="7" a="1"/>
  <c r="AH33" i="7" s="1"/>
  <c r="AH44" i="7" a="1"/>
  <c r="AH44" i="7" s="1"/>
  <c r="AC62" i="4"/>
  <c r="F42" i="13" s="1" a="1"/>
  <c r="F42" i="13" s="1"/>
  <c r="AG35" i="20" a="1"/>
  <c r="AG35" i="20" s="1"/>
  <c r="AC105" i="4"/>
  <c r="F105" i="13" s="1" a="1"/>
  <c r="F105" i="13" s="1"/>
  <c r="Z117" i="4"/>
  <c r="AC120" i="4"/>
  <c r="F51" i="13" s="1" a="1"/>
  <c r="F51" i="13" s="1"/>
  <c r="AH43" i="7" a="1"/>
  <c r="AH43" i="7" s="1"/>
  <c r="Z112" i="4"/>
  <c r="AC87" i="4"/>
  <c r="F87" i="13" s="1" a="1"/>
  <c r="F87" i="13" s="1"/>
  <c r="AG115" i="8" a="1"/>
  <c r="AG115" i="8" s="1"/>
  <c r="AC107" i="4"/>
  <c r="F107" i="13" s="1" a="1"/>
  <c r="F107" i="13" s="1"/>
  <c r="Z126" i="4"/>
  <c r="AC93" i="4"/>
  <c r="F93" i="13" s="1" a="1"/>
  <c r="F93" i="13" s="1"/>
  <c r="AG110" i="20" a="1"/>
  <c r="AG110" i="20" s="1"/>
  <c r="Z107" i="4"/>
  <c r="AG59" i="20" a="1"/>
  <c r="AG59" i="20" s="1"/>
  <c r="AG93" i="20" a="1"/>
  <c r="AG93" i="20" s="1"/>
  <c r="Z91" i="4"/>
  <c r="AH35" i="7" a="1"/>
  <c r="AH35" i="7" s="1"/>
  <c r="AG94" i="20" a="1"/>
  <c r="AG94" i="20" s="1"/>
  <c r="AC100" i="4"/>
  <c r="F100" i="13" s="1" a="1"/>
  <c r="F100" i="13" s="1"/>
  <c r="AC82" i="4"/>
  <c r="F82" i="13" s="1" a="1"/>
  <c r="F82" i="13" s="1"/>
  <c r="AH72" i="7" a="1"/>
  <c r="AH72" i="7" s="1"/>
  <c r="AH56" i="7" a="1"/>
  <c r="AH56" i="7" s="1"/>
  <c r="AG43" i="20" a="1"/>
  <c r="AG43" i="20" s="1"/>
  <c r="Z119" i="4"/>
  <c r="AH62" i="7" a="1"/>
  <c r="AH62" i="7" s="1"/>
  <c r="AG48" i="20" a="1"/>
  <c r="AG48" i="20" s="1"/>
  <c r="AG116" i="8" a="1"/>
  <c r="AG116" i="8" s="1"/>
  <c r="AC90" i="4"/>
  <c r="F90" i="13" s="1" a="1"/>
  <c r="F90" i="13" s="1"/>
  <c r="AH55" i="7" a="1"/>
  <c r="AH55" i="7" s="1"/>
  <c r="AC92" i="4"/>
  <c r="F92" i="13" s="1" a="1"/>
  <c r="F92" i="13" s="1"/>
  <c r="AG44" i="20" a="1"/>
  <c r="AG44" i="20" s="1"/>
  <c r="AG56" i="20" a="1"/>
  <c r="AG56" i="20" s="1"/>
  <c r="AH45" i="7" a="1"/>
  <c r="AH45" i="7" s="1"/>
  <c r="AG102" i="20" a="1"/>
  <c r="AG102" i="20" s="1"/>
  <c r="AH58" i="7" a="1"/>
  <c r="AH58" i="7" s="1"/>
  <c r="Z105" i="4"/>
  <c r="AC126" i="4"/>
  <c r="F23" i="13" s="1" a="1"/>
  <c r="F23" i="13" s="1"/>
  <c r="AF114" i="8" a="1"/>
  <c r="AF114" i="8" s="1"/>
  <c r="AB99" i="4"/>
  <c r="E99" i="13" s="1" a="1"/>
  <c r="E99" i="13" s="1"/>
  <c r="AH101" i="7" a="1"/>
  <c r="AH101" i="7" s="1"/>
  <c r="AG53" i="20" a="1"/>
  <c r="AG53" i="20" s="1"/>
  <c r="AH61" i="7" a="1"/>
  <c r="AH61" i="7" s="1"/>
  <c r="AH64" i="7" a="1"/>
  <c r="AH64" i="7" s="1"/>
  <c r="AC70" i="4"/>
  <c r="F32" i="13" s="1" a="1"/>
  <c r="F32" i="13" s="1"/>
  <c r="AG111" i="8" a="1"/>
  <c r="AG111" i="8" s="1"/>
  <c r="AC89" i="4"/>
  <c r="F89" i="13" s="1" a="1"/>
  <c r="F89" i="13" s="1"/>
  <c r="AH110" i="7" a="1"/>
  <c r="AH110" i="7" s="1"/>
  <c r="AG50" i="20" a="1"/>
  <c r="AG50" i="20" s="1"/>
  <c r="AG105" i="20" a="1"/>
  <c r="AG105" i="20" s="1"/>
  <c r="AG74" i="20" a="1"/>
  <c r="AG74" i="20" s="1"/>
  <c r="AH75" i="7" a="1"/>
  <c r="AH75" i="7" s="1"/>
  <c r="AB97" i="4"/>
  <c r="E97" i="13" s="1" a="1"/>
  <c r="E97" i="13" s="1"/>
  <c r="AG32" i="20" a="1"/>
  <c r="AG32" i="20" s="1"/>
  <c r="AG80" i="20" a="1"/>
  <c r="AG80" i="20" s="1"/>
  <c r="AC84" i="4"/>
  <c r="F84" i="13" s="1" a="1"/>
  <c r="F84" i="13" s="1"/>
  <c r="AH76" i="7" a="1"/>
  <c r="AH76" i="7" s="1"/>
  <c r="AH109" i="7" a="1"/>
  <c r="AH109" i="7" s="1"/>
  <c r="AG76" i="20" a="1"/>
  <c r="AG76" i="20" s="1"/>
  <c r="AG61" i="20" a="1"/>
  <c r="AG61" i="20" s="1"/>
  <c r="Z99" i="4"/>
  <c r="AH50" i="7" a="1"/>
  <c r="AH50" i="7" s="1"/>
  <c r="AG60" i="20" a="1"/>
  <c r="AG60" i="20" s="1"/>
  <c r="AG65" i="20" a="1"/>
  <c r="AG65" i="20" s="1"/>
  <c r="AH106" i="7" a="1"/>
  <c r="AH106" i="7" s="1"/>
  <c r="AG98" i="20" a="1"/>
  <c r="AG98" i="20" s="1"/>
  <c r="AC135" i="4"/>
  <c r="F56" i="13" s="1" a="1"/>
  <c r="F56" i="13" s="1"/>
  <c r="AG79" i="20" a="1"/>
  <c r="AG79" i="20" s="1"/>
  <c r="AH40" i="7" a="1"/>
  <c r="AH40" i="7" s="1"/>
  <c r="AC86" i="4"/>
  <c r="F86" i="13" s="1" a="1"/>
  <c r="F86" i="13" s="1"/>
  <c r="AC85" i="4"/>
  <c r="F85" i="13" s="1" a="1"/>
  <c r="F85" i="13" s="1"/>
  <c r="AG54" i="20" a="1"/>
  <c r="AG54" i="20" s="1"/>
  <c r="AG55" i="20" a="1"/>
  <c r="AG55" i="20" s="1"/>
  <c r="AC104" i="4"/>
  <c r="F104" i="13" s="1" a="1"/>
  <c r="F104" i="13" s="1"/>
  <c r="AC103" i="4"/>
  <c r="F103" i="13" s="1" a="1"/>
  <c r="F103" i="13" s="1"/>
  <c r="AG37" i="20" a="1"/>
  <c r="AG37" i="20" s="1"/>
  <c r="Z113" i="4"/>
  <c r="AG97" i="20" a="1"/>
  <c r="AG97" i="20" s="1"/>
  <c r="AH34" i="7" a="1"/>
  <c r="AH34" i="7" s="1"/>
  <c r="Z132" i="4"/>
  <c r="AC88" i="4"/>
  <c r="F88" i="13" s="1" a="1"/>
  <c r="F88" i="13" s="1"/>
  <c r="AH84" i="7" a="1"/>
  <c r="AH84" i="7" s="1"/>
  <c r="AC91" i="4"/>
  <c r="F91" i="13" s="1" a="1"/>
  <c r="F91" i="13" s="1"/>
  <c r="Z92" i="4"/>
  <c r="Z63" i="4"/>
  <c r="AH92" i="7" a="1"/>
  <c r="AH92" i="7" s="1"/>
  <c r="AC130" i="4"/>
  <c r="F37" i="13" s="1" a="1"/>
  <c r="F37" i="13" s="1"/>
  <c r="AB96" i="4"/>
  <c r="E96" i="13" s="1" a="1"/>
  <c r="E96" i="13" s="1"/>
  <c r="AH89" i="7" a="1"/>
  <c r="AH89" i="7" s="1"/>
  <c r="AH108" i="7" a="1"/>
  <c r="AH108" i="7" s="1"/>
  <c r="AH105" i="7" a="1"/>
  <c r="AH105" i="7" s="1"/>
  <c r="AG81" i="20" a="1"/>
  <c r="AG81" i="20" s="1"/>
  <c r="AC83" i="4"/>
  <c r="F83" i="13" s="1" a="1"/>
  <c r="F83" i="13" s="1"/>
  <c r="AG86" i="20" a="1"/>
  <c r="AG86" i="20" s="1"/>
  <c r="AH86" i="7" a="1"/>
  <c r="AH86" i="7" s="1"/>
  <c r="Z120" i="4"/>
  <c r="AH46" i="7" a="1"/>
  <c r="AH46" i="7" s="1"/>
  <c r="AH47" i="7" a="1"/>
  <c r="AH47" i="7" s="1"/>
  <c r="AH94" i="7" a="1"/>
  <c r="AH94" i="7" s="1"/>
  <c r="AB95" i="4"/>
  <c r="E95" i="13" s="1" a="1"/>
  <c r="E95" i="13" s="1"/>
  <c r="AG38" i="20" a="1"/>
  <c r="AG38" i="20" s="1"/>
  <c r="AC102" i="4"/>
  <c r="F102" i="13" s="1" a="1"/>
  <c r="F102" i="13" s="1"/>
  <c r="AH90" i="7" a="1"/>
  <c r="AH90" i="7" s="1"/>
  <c r="AH32" i="7" a="1"/>
  <c r="AH32" i="7" s="1"/>
  <c r="AH103" i="7" a="1"/>
  <c r="AH103" i="7" s="1"/>
  <c r="AH95" i="7" a="1"/>
  <c r="AH95" i="7" s="1"/>
  <c r="AC117" i="4"/>
  <c r="F48" i="13" s="1" a="1"/>
  <c r="F48" i="13" s="1"/>
  <c r="AB94" i="4"/>
  <c r="E94" i="13" s="1" a="1"/>
  <c r="E94" i="13" s="1"/>
  <c r="AC106" i="4"/>
  <c r="F106" i="13" s="1" a="1"/>
  <c r="F106" i="13" s="1"/>
  <c r="AH83" i="7" a="1"/>
  <c r="AH83" i="7" s="1"/>
  <c r="AG33" i="20" a="1"/>
  <c r="AG33" i="20" s="1"/>
  <c r="AH74" i="7" a="1"/>
  <c r="AH74" i="7" s="1"/>
  <c r="AC132" i="4"/>
  <c r="F54" i="13" s="1" a="1"/>
  <c r="F54" i="13" s="1"/>
  <c r="AH31" i="7" a="1"/>
  <c r="AH31" i="7" s="1"/>
  <c r="AG70" i="20" a="1"/>
  <c r="AG70" i="20" s="1"/>
  <c r="AC63" i="4"/>
  <c r="F43" i="13" s="1" a="1"/>
  <c r="F43" i="13" s="1"/>
  <c r="AH97" i="7" a="1"/>
  <c r="AH97" i="7" s="1"/>
  <c r="AH54" i="7" a="1"/>
  <c r="AH54" i="7" s="1"/>
  <c r="AH68" i="7" a="1"/>
  <c r="AH68" i="7" s="1"/>
  <c r="AG103" i="20" a="1"/>
  <c r="AG103" i="20" s="1"/>
  <c r="AH80" i="7" a="1"/>
  <c r="AH80" i="7" s="1"/>
  <c r="AH52" i="7" a="1"/>
  <c r="AH52" i="7" s="1"/>
  <c r="AH98" i="7" a="1"/>
  <c r="AH98" i="7" s="1"/>
  <c r="AC133" i="4"/>
  <c r="F55" i="13" s="1" a="1"/>
  <c r="F55" i="13" s="1"/>
  <c r="AG49" i="20" a="1"/>
  <c r="AG49" i="20" s="1"/>
  <c r="AH96" i="7" a="1"/>
  <c r="AH96" i="7" s="1"/>
  <c r="AB98" i="4"/>
  <c r="E98" i="13" s="1" a="1"/>
  <c r="E98" i="13" s="1"/>
  <c r="AC61" i="4"/>
  <c r="F41" i="13" s="1" a="1"/>
  <c r="F41" i="13" s="1"/>
  <c r="AH79" i="7" a="1"/>
  <c r="AH79" i="7" s="1"/>
  <c r="AH73" i="7" a="1"/>
  <c r="AH73" i="7" s="1"/>
  <c r="Z135" i="4"/>
  <c r="AH49" i="7" a="1"/>
  <c r="AH49" i="7" s="1"/>
  <c r="AC112" i="4"/>
  <c r="F69" i="13" s="1" a="1"/>
  <c r="F69" i="13" s="1"/>
  <c r="AH38" i="7" a="1"/>
  <c r="AH38" i="7" s="1"/>
  <c r="AG101" i="20" a="1"/>
  <c r="AG101" i="20" s="1"/>
  <c r="AG45" i="20" a="1"/>
  <c r="AG45" i="20" s="1"/>
  <c r="AH82" i="7" a="1"/>
  <c r="AH82" i="7" s="1"/>
  <c r="AH67" i="7" a="1"/>
  <c r="AH67" i="7" s="1"/>
  <c r="Z104" i="4"/>
  <c r="AH85" i="7" a="1"/>
  <c r="AH85" i="7" s="1"/>
  <c r="AH51" i="7" a="1"/>
  <c r="AH51" i="7" s="1"/>
  <c r="AG89" i="20" a="1"/>
  <c r="AG89" i="20" s="1"/>
  <c r="AC119" i="4"/>
  <c r="F50" i="13" s="1" a="1"/>
  <c r="F50" i="13" s="1"/>
  <c r="AC60" i="4"/>
  <c r="F40" i="13" s="1" a="1"/>
  <c r="F40" i="13" s="1"/>
  <c r="AH88" i="7" a="1"/>
  <c r="AH88" i="7" s="1"/>
  <c r="AC121" i="4"/>
  <c r="F20" i="13" s="1" a="1"/>
  <c r="F20" i="13" s="1"/>
  <c r="AH60" i="7" a="1"/>
  <c r="AH60" i="7" s="1"/>
  <c r="AH100" i="7" a="1"/>
  <c r="AH100" i="7" s="1"/>
  <c r="AG85" i="20" a="1"/>
  <c r="AG85" i="20" s="1"/>
  <c r="AC101" i="4"/>
  <c r="F101" i="13" s="1" a="1"/>
  <c r="F101" i="13" s="1"/>
  <c r="AC111" i="4"/>
  <c r="F68" i="13" s="1" a="1"/>
  <c r="F68" i="13" s="1"/>
  <c r="AH63" i="7" a="1"/>
  <c r="AH63" i="7" s="1"/>
  <c r="AH104" i="7" a="1"/>
  <c r="AH104" i="7" s="1"/>
  <c r="AH59" i="7" a="1"/>
  <c r="AH59" i="7" s="1"/>
  <c r="AH66" i="7" a="1"/>
  <c r="AH66" i="7" s="1"/>
  <c r="AH53" i="7" a="1"/>
  <c r="AH53" i="7" s="1"/>
  <c r="AH81" i="7" a="1"/>
  <c r="AH81" i="7" s="1"/>
  <c r="AC134" i="4"/>
  <c r="F57" i="13" s="1" a="1"/>
  <c r="F57" i="13" s="1"/>
  <c r="AH42" i="7" a="1"/>
  <c r="AH42" i="7" s="1"/>
  <c r="AC118" i="4"/>
  <c r="F49" i="13" s="1" a="1"/>
  <c r="F49" i="13" s="1"/>
  <c r="AG90" i="20" a="1"/>
  <c r="AG90" i="20" s="1"/>
  <c r="AG67" i="20" a="1"/>
  <c r="AG67" i="20" s="1"/>
  <c r="AH78" i="7" a="1"/>
  <c r="AH78" i="7" s="1"/>
  <c r="AC109" i="4"/>
  <c r="F66" i="13" s="1" a="1"/>
  <c r="F66" i="13" s="1"/>
  <c r="AG58" i="20" a="1"/>
  <c r="AG58" i="20" s="1"/>
  <c r="AG84" i="20" a="1"/>
  <c r="AG84" i="20" s="1"/>
  <c r="AH41" i="7" a="1"/>
  <c r="AH41" i="7" s="1"/>
  <c r="AC131" i="4"/>
  <c r="F53" i="13" s="1" a="1"/>
  <c r="F53" i="13" s="1"/>
  <c r="AH70" i="7" a="1"/>
  <c r="AH70" i="7" s="1"/>
  <c r="AC125" i="4"/>
  <c r="F22" i="13" s="1" a="1"/>
  <c r="F22" i="13" s="1"/>
  <c r="AC123" i="4"/>
  <c r="F21" i="13" s="1" a="1"/>
  <c r="F21" i="13" s="1"/>
  <c r="Y79" i="11"/>
  <c r="L73" i="10" s="1"/>
  <c r="E59" i="13"/>
  <c r="F59" i="13" s="1"/>
  <c r="G59" i="13" s="1"/>
  <c r="H59" i="13" s="1"/>
  <c r="AU75" i="20" a="1"/>
  <c r="AU109" i="20" a="1"/>
  <c r="AU35" i="20" a="1"/>
  <c r="AU110" i="20" a="1"/>
  <c r="AU48" i="20" a="1"/>
  <c r="AU56" i="20" a="1"/>
  <c r="AV109" i="7" a="1"/>
  <c r="AU98" i="20" a="1"/>
  <c r="AU37" i="20" a="1"/>
  <c r="AU86" i="20" a="1"/>
  <c r="AU33" i="20" a="1"/>
  <c r="AV97" i="7" a="1"/>
  <c r="AU101" i="20" a="1"/>
  <c r="AV100" i="7" a="1"/>
  <c r="AV59" i="7" a="1"/>
  <c r="AV41" i="7" a="1"/>
  <c r="AV50" i="7" a="1"/>
  <c r="AV105" i="7" a="1"/>
  <c r="AV90" i="7" a="1"/>
  <c r="AV62" i="7" a="1"/>
  <c r="AV76" i="7" a="1"/>
  <c r="AV84" i="7" a="1"/>
  <c r="AV36" i="7" a="1"/>
  <c r="AU68" i="20" a="1"/>
  <c r="AV37" i="7" a="1"/>
  <c r="AV45" i="7" a="1"/>
  <c r="AU76" i="20" a="1"/>
  <c r="AU54" i="20" a="1"/>
  <c r="AV86" i="7" a="1"/>
  <c r="AU38" i="20" a="1"/>
  <c r="AV74" i="7" a="1"/>
  <c r="AV54" i="7" a="1"/>
  <c r="AU49" i="20" a="1"/>
  <c r="AV79" i="7" a="1"/>
  <c r="AU45" i="20" a="1"/>
  <c r="AU85" i="20" a="1"/>
  <c r="AV66" i="7" a="1"/>
  <c r="AU90" i="20" a="1"/>
  <c r="AU67" i="20" a="1"/>
  <c r="AV56" i="7" a="1"/>
  <c r="AV61" i="7" a="1"/>
  <c r="AU50" i="20" a="1"/>
  <c r="AV40" i="7" a="1"/>
  <c r="AV80" i="7" a="1"/>
  <c r="AV51" i="7" a="1"/>
  <c r="AU58" i="20" a="1"/>
  <c r="AV83" i="7" a="1"/>
  <c r="AV38" i="7" a="1"/>
  <c r="AV60" i="7" a="1"/>
  <c r="AV93" i="7" a="1"/>
  <c r="AV99" i="7" a="1"/>
  <c r="AU59" i="20" a="1"/>
  <c r="AU102" i="20" a="1"/>
  <c r="AV101" i="7" a="1"/>
  <c r="AV110" i="7" a="1"/>
  <c r="AU61" i="20" a="1"/>
  <c r="AU55" i="20" a="1"/>
  <c r="AU97" i="20" a="1"/>
  <c r="AV89" i="7" a="1"/>
  <c r="AV68" i="7" a="1"/>
  <c r="AV73" i="7" a="1"/>
  <c r="AV82" i="7" a="1"/>
  <c r="AV53" i="7" a="1"/>
  <c r="AV55" i="7" a="1"/>
  <c r="AU80" i="20" a="1"/>
  <c r="AV92" i="7" a="1"/>
  <c r="AV49" i="7" a="1"/>
  <c r="AV98" i="7" a="1"/>
  <c r="AV63" i="7" a="1"/>
  <c r="AV42" i="7" a="1"/>
  <c r="AV69" i="7" a="1"/>
  <c r="AV75" i="7" a="1"/>
  <c r="AU62" i="20" a="1"/>
  <c r="AU93" i="20" a="1"/>
  <c r="AV72" i="7" a="1"/>
  <c r="AV58" i="7" a="1"/>
  <c r="AU53" i="20" a="1"/>
  <c r="AU32" i="20" a="1"/>
  <c r="AU79" i="20" a="1"/>
  <c r="AV34" i="7" a="1"/>
  <c r="AV108" i="7" a="1"/>
  <c r="AV46" i="7" a="1"/>
  <c r="AU103" i="20" a="1"/>
  <c r="AV96" i="7" a="1"/>
  <c r="AV67" i="7" a="1"/>
  <c r="AV81" i="7" a="1"/>
  <c r="AV78" i="7" a="1"/>
  <c r="AV70" i="7" a="1"/>
  <c r="AV47" i="7" a="1"/>
  <c r="AV31" i="7" a="1"/>
  <c r="AU89" i="20" a="1"/>
  <c r="AV104" i="7" a="1"/>
  <c r="AV102" i="7" a="1"/>
  <c r="AV33" i="7" a="1"/>
  <c r="AV88" i="7" a="1"/>
  <c r="AU69" i="20" a="1"/>
  <c r="AU106" i="20" a="1"/>
  <c r="AV44" i="7" a="1"/>
  <c r="AV35" i="7" a="1"/>
  <c r="AU43" i="20" a="1"/>
  <c r="AV64" i="7" a="1"/>
  <c r="AU105" i="20" a="1"/>
  <c r="AU60" i="20" a="1"/>
  <c r="AU81" i="20" a="1"/>
  <c r="AV94" i="7" a="1"/>
  <c r="AV32" i="7" a="1"/>
  <c r="AU70" i="20" a="1"/>
  <c r="AV52" i="7" a="1"/>
  <c r="AV85" i="7" a="1"/>
  <c r="AU44" i="20" a="1"/>
  <c r="AV106" i="7" a="1"/>
  <c r="AV95" i="7" a="1"/>
  <c r="AV48" i="7" a="1"/>
  <c r="AU41" i="20" a="1"/>
  <c r="AV43" i="7" a="1"/>
  <c r="AU94" i="20" a="1"/>
  <c r="AU74" i="20" a="1"/>
  <c r="AU65" i="20" a="1"/>
  <c r="AV103" i="7" a="1"/>
  <c r="AV65" i="7" a="1"/>
  <c r="AU84" i="20" a="1"/>
  <c r="AU84" i="20" l="1"/>
  <c r="AV65" i="7"/>
  <c r="AV103" i="7"/>
  <c r="AU65" i="20"/>
  <c r="AU74" i="20"/>
  <c r="AU94" i="20"/>
  <c r="AV43" i="7"/>
  <c r="AU41" i="20"/>
  <c r="AV48" i="7"/>
  <c r="AV95" i="7"/>
  <c r="AV106" i="7"/>
  <c r="AU44" i="20"/>
  <c r="AV85" i="7"/>
  <c r="AV52" i="7"/>
  <c r="AU70" i="20"/>
  <c r="AV32" i="7"/>
  <c r="AV94" i="7"/>
  <c r="AU81" i="20"/>
  <c r="AU60" i="20"/>
  <c r="AU105" i="20"/>
  <c r="AV64" i="7"/>
  <c r="AU43" i="20"/>
  <c r="AV35" i="7"/>
  <c r="AV44" i="7"/>
  <c r="AU106" i="20"/>
  <c r="AU69" i="20"/>
  <c r="AV88" i="7"/>
  <c r="AV33" i="7"/>
  <c r="AV102" i="7"/>
  <c r="AV104" i="7"/>
  <c r="AU89" i="20"/>
  <c r="AV31" i="7"/>
  <c r="AV47" i="7"/>
  <c r="AV70" i="7"/>
  <c r="AV78" i="7"/>
  <c r="AV81" i="7"/>
  <c r="AV67" i="7"/>
  <c r="AV96" i="7"/>
  <c r="AU103" i="20"/>
  <c r="AV46" i="7"/>
  <c r="AV108" i="7"/>
  <c r="AV34" i="7"/>
  <c r="AU79" i="20"/>
  <c r="AU32" i="20"/>
  <c r="AU53" i="20"/>
  <c r="AV58" i="7"/>
  <c r="AV72" i="7"/>
  <c r="AU93" i="20"/>
  <c r="AU62" i="20"/>
  <c r="AV75" i="7"/>
  <c r="AV69" i="7"/>
  <c r="AV42" i="7"/>
  <c r="AV63" i="7"/>
  <c r="AV98" i="7"/>
  <c r="AV49" i="7"/>
  <c r="AV92" i="7"/>
  <c r="AU80" i="20"/>
  <c r="AV55" i="7"/>
  <c r="AV53" i="7"/>
  <c r="AV82" i="7"/>
  <c r="AV73" i="7"/>
  <c r="AV68" i="7"/>
  <c r="AV89" i="7"/>
  <c r="AU97" i="20"/>
  <c r="AU55" i="20"/>
  <c r="AU61" i="20"/>
  <c r="AV110" i="7"/>
  <c r="AV101" i="7"/>
  <c r="AU102" i="20"/>
  <c r="AU59" i="20"/>
  <c r="AV99" i="7"/>
  <c r="AV93" i="7"/>
  <c r="AV60" i="7"/>
  <c r="AV38" i="7"/>
  <c r="AV83" i="7"/>
  <c r="AU58" i="20"/>
  <c r="AV51" i="7"/>
  <c r="AV80" i="7"/>
  <c r="AV40" i="7"/>
  <c r="AU50" i="20"/>
  <c r="AV61" i="7"/>
  <c r="AV56" i="7"/>
  <c r="AU67" i="20"/>
  <c r="AU90" i="20"/>
  <c r="AV66" i="7"/>
  <c r="AU85" i="20"/>
  <c r="AU45" i="20"/>
  <c r="AV79" i="7"/>
  <c r="AU49" i="20"/>
  <c r="AV54" i="7"/>
  <c r="AV74" i="7"/>
  <c r="AU38" i="20"/>
  <c r="AV86" i="7"/>
  <c r="AU54" i="20"/>
  <c r="AU76" i="20"/>
  <c r="AV45" i="7"/>
  <c r="AV37" i="7"/>
  <c r="AU68" i="20"/>
  <c r="AV36" i="7"/>
  <c r="AV84" i="7"/>
  <c r="AV76" i="7"/>
  <c r="AV62" i="7"/>
  <c r="AV90" i="7"/>
  <c r="AV105" i="7"/>
  <c r="AV50" i="7"/>
  <c r="AV41" i="7"/>
  <c r="AV59" i="7"/>
  <c r="AV100" i="7"/>
  <c r="AU101" i="20"/>
  <c r="AV97" i="7"/>
  <c r="AU33" i="20"/>
  <c r="AU86" i="20"/>
  <c r="AU37" i="20"/>
  <c r="AU98" i="20"/>
  <c r="AV109" i="7"/>
  <c r="AU56" i="20"/>
  <c r="AU48" i="20"/>
  <c r="AU110" i="20"/>
  <c r="AU35" i="20"/>
  <c r="AU109" i="20"/>
  <c r="AU75" i="20"/>
  <c r="AH84" i="20" a="1"/>
  <c r="AH84" i="20" s="1"/>
  <c r="AD61" i="4"/>
  <c r="G41" i="13" s="1" a="1"/>
  <c r="G41" i="13" s="1"/>
  <c r="AK65" i="7"/>
  <c r="AK103" i="7"/>
  <c r="AC95" i="4"/>
  <c r="F95" i="13" s="1" a="1"/>
  <c r="F95" i="13" s="1"/>
  <c r="AD83" i="4"/>
  <c r="G83" i="13" s="1" a="1"/>
  <c r="G83" i="13" s="1"/>
  <c r="AD103" i="4"/>
  <c r="G103" i="13" s="1" a="1"/>
  <c r="G103" i="13" s="1"/>
  <c r="AH65" i="20" a="1"/>
  <c r="AH65" i="20" s="1"/>
  <c r="AH74" i="20" a="1"/>
  <c r="AH74" i="20" s="1"/>
  <c r="AD70" i="4"/>
  <c r="G32" i="13" s="1" a="1"/>
  <c r="G32" i="13" s="1"/>
  <c r="AH94" i="20" a="1"/>
  <c r="AH94" i="20" s="1"/>
  <c r="AD93" i="4"/>
  <c r="G93" i="13" s="1" a="1"/>
  <c r="G93" i="13" s="1"/>
  <c r="AK43" i="7"/>
  <c r="AD62" i="4"/>
  <c r="G42" i="13" s="1" a="1"/>
  <c r="G42" i="13" s="1"/>
  <c r="AH41" i="20" a="1"/>
  <c r="AH41" i="20" s="1"/>
  <c r="AK48" i="7"/>
  <c r="AK95" i="7"/>
  <c r="AK106" i="7"/>
  <c r="AH44" i="20" a="1"/>
  <c r="AH44" i="20" s="1"/>
  <c r="AD121" i="4"/>
  <c r="G20" i="13" s="1" a="1"/>
  <c r="G20" i="13" s="1"/>
  <c r="AK85" i="7"/>
  <c r="AD112" i="4"/>
  <c r="G69" i="13" s="1" a="1"/>
  <c r="G69" i="13" s="1"/>
  <c r="AC98" i="4"/>
  <c r="F98" i="13" s="1" a="1"/>
  <c r="F98" i="13" s="1"/>
  <c r="AK52" i="7"/>
  <c r="AH70" i="20" a="1"/>
  <c r="AH70" i="20" s="1"/>
  <c r="AD106" i="4"/>
  <c r="G106" i="13" s="1" a="1"/>
  <c r="G106" i="13" s="1"/>
  <c r="AK32" i="7"/>
  <c r="AK94" i="7"/>
  <c r="AH81" i="20" a="1"/>
  <c r="AH81" i="20" s="1"/>
  <c r="AD130" i="4"/>
  <c r="G37" i="13" s="1" a="1"/>
  <c r="G37" i="13" s="1"/>
  <c r="AD88" i="4"/>
  <c r="G88" i="13" s="1" a="1"/>
  <c r="G88" i="13" s="1"/>
  <c r="AD86" i="4"/>
  <c r="G86" i="13" s="1" a="1"/>
  <c r="G86" i="13" s="1"/>
  <c r="AH60" i="20" a="1"/>
  <c r="AH60" i="20" s="1"/>
  <c r="AD84" i="4"/>
  <c r="G84" i="13" s="1" a="1"/>
  <c r="G84" i="13" s="1"/>
  <c r="AH105" i="20" a="1"/>
  <c r="AH105" i="20" s="1"/>
  <c r="AK64" i="7"/>
  <c r="AD126" i="4"/>
  <c r="G23" i="13" s="1" a="1"/>
  <c r="G23" i="13" s="1"/>
  <c r="AD92" i="4"/>
  <c r="G92" i="13" s="1" a="1"/>
  <c r="G92" i="13" s="1"/>
  <c r="AH43" i="20" a="1"/>
  <c r="AH43" i="20" s="1"/>
  <c r="AK35" i="7"/>
  <c r="AK44" i="7"/>
  <c r="AH106" i="20" a="1"/>
  <c r="AH106" i="20" s="1"/>
  <c r="AH69" i="20" a="1"/>
  <c r="AH69" i="20" s="1"/>
  <c r="AK88" i="7"/>
  <c r="AK33" i="7"/>
  <c r="AK102" i="7"/>
  <c r="AK104" i="7"/>
  <c r="AH89" i="20" a="1"/>
  <c r="AH89" i="20" s="1"/>
  <c r="AD133" i="4"/>
  <c r="G55" i="13" s="1" a="1"/>
  <c r="G55" i="13" s="1"/>
  <c r="AD63" i="4"/>
  <c r="G43" i="13" s="1" a="1"/>
  <c r="G43" i="13" s="1"/>
  <c r="AD125" i="4"/>
  <c r="G22" i="13" s="1" a="1"/>
  <c r="G22" i="13" s="1"/>
  <c r="AD111" i="4"/>
  <c r="G68" i="13" s="1" a="1"/>
  <c r="G68" i="13" s="1"/>
  <c r="AK31" i="7"/>
  <c r="AK47" i="7"/>
  <c r="AD104" i="4"/>
  <c r="G104" i="13" s="1" a="1"/>
  <c r="G104" i="13" s="1"/>
  <c r="AD120" i="4"/>
  <c r="G51" i="13" s="1" a="1"/>
  <c r="G51" i="13" s="1"/>
  <c r="AK70" i="7"/>
  <c r="AK78" i="7"/>
  <c r="AK81" i="7"/>
  <c r="AK67" i="7"/>
  <c r="AK96" i="7"/>
  <c r="AH103" i="20" a="1"/>
  <c r="AH103" i="20" s="1"/>
  <c r="AK46" i="7"/>
  <c r="AK108" i="7"/>
  <c r="AK34" i="7"/>
  <c r="Z94" i="4"/>
  <c r="AH79" i="20" a="1"/>
  <c r="AH79" i="20" s="1"/>
  <c r="AH32" i="20" a="1"/>
  <c r="AH32" i="20" s="1"/>
  <c r="Z96" i="4"/>
  <c r="AH53" i="20" a="1"/>
  <c r="AH53" i="20" s="1"/>
  <c r="AK58" i="7"/>
  <c r="AK72" i="7"/>
  <c r="AH93" i="20" a="1"/>
  <c r="AH93" i="20" s="1"/>
  <c r="AH115" i="8" a="1"/>
  <c r="AH115" i="8" s="1"/>
  <c r="AD107" i="4"/>
  <c r="G107" i="13" s="1" a="1"/>
  <c r="G107" i="13" s="1"/>
  <c r="AD127" i="4"/>
  <c r="G24" i="13" s="1" a="1"/>
  <c r="G24" i="13" s="1"/>
  <c r="AH62" i="20" a="1"/>
  <c r="AH62" i="20" s="1"/>
  <c r="AK75" i="7"/>
  <c r="AC99" i="4"/>
  <c r="F99" i="13" s="1" a="1"/>
  <c r="F99" i="13" s="1"/>
  <c r="AG114" i="8" a="1"/>
  <c r="AG114" i="8" s="1"/>
  <c r="AD100" i="4"/>
  <c r="G100" i="13" s="1" a="1"/>
  <c r="G100" i="13" s="1"/>
  <c r="Z95" i="4"/>
  <c r="AK69" i="7"/>
  <c r="AD123" i="4"/>
  <c r="G21" i="13" s="1" a="1"/>
  <c r="G21" i="13" s="1"/>
  <c r="AK42" i="7"/>
  <c r="AK63" i="7"/>
  <c r="AK98" i="7"/>
  <c r="AD109" i="4"/>
  <c r="G66" i="13" s="1" a="1"/>
  <c r="G66" i="13" s="1"/>
  <c r="AK49" i="7"/>
  <c r="AK92" i="7"/>
  <c r="AH80" i="20" a="1"/>
  <c r="AH80" i="20" s="1"/>
  <c r="AK55" i="7"/>
  <c r="AK53" i="7"/>
  <c r="AD60" i="4"/>
  <c r="G40" i="13" s="1" a="1"/>
  <c r="G40" i="13" s="1"/>
  <c r="AK82" i="7"/>
  <c r="AK73" i="7"/>
  <c r="Z98" i="4"/>
  <c r="AK68" i="7"/>
  <c r="AD132" i="4"/>
  <c r="G54" i="13" s="1" a="1"/>
  <c r="G54" i="13" s="1"/>
  <c r="AC94" i="4"/>
  <c r="F94" i="13" s="1" a="1"/>
  <c r="F94" i="13" s="1"/>
  <c r="AD102" i="4"/>
  <c r="G102" i="13" s="1" a="1"/>
  <c r="G102" i="13" s="1"/>
  <c r="AK89" i="7"/>
  <c r="AH97" i="20" a="1"/>
  <c r="AH97" i="20" s="1"/>
  <c r="AH55" i="20" a="1"/>
  <c r="AH55" i="20" s="1"/>
  <c r="AH61" i="20" a="1"/>
  <c r="AH61" i="20" s="1"/>
  <c r="AK110" i="7"/>
  <c r="AK101" i="7"/>
  <c r="AH102" i="20" a="1"/>
  <c r="AH102" i="20" s="1"/>
  <c r="AH116" i="8" a="1"/>
  <c r="AH116" i="8" s="1"/>
  <c r="AD90" i="4"/>
  <c r="G90" i="13" s="1" a="1"/>
  <c r="G90" i="13" s="1"/>
  <c r="AH59" i="20" a="1"/>
  <c r="AH59" i="20" s="1"/>
  <c r="AD113" i="4"/>
  <c r="G70" i="13" s="1" a="1"/>
  <c r="G70" i="13" s="1"/>
  <c r="AK99" i="7"/>
  <c r="AK93" i="7"/>
  <c r="AD118" i="4"/>
  <c r="G49" i="13" s="1" a="1"/>
  <c r="G49" i="13" s="1"/>
  <c r="AK60" i="7"/>
  <c r="AK38" i="7"/>
  <c r="AK83" i="7"/>
  <c r="AH58" i="20" a="1"/>
  <c r="AH58" i="20" s="1"/>
  <c r="AK51" i="7"/>
  <c r="AD134" i="4"/>
  <c r="G57" i="13" s="1" a="1"/>
  <c r="G57" i="13" s="1"/>
  <c r="AK80" i="7"/>
  <c r="AK40" i="7"/>
  <c r="AH50" i="20" a="1"/>
  <c r="AH50" i="20" s="1"/>
  <c r="AK61" i="7"/>
  <c r="AK56" i="7"/>
  <c r="AH67" i="20" a="1"/>
  <c r="AH67" i="20" s="1"/>
  <c r="AD101" i="4"/>
  <c r="G101" i="13" s="1" a="1"/>
  <c r="G101" i="13" s="1"/>
  <c r="AD131" i="4"/>
  <c r="G53" i="13" s="1" a="1"/>
  <c r="G53" i="13" s="1"/>
  <c r="AH90" i="20" a="1"/>
  <c r="AH90" i="20" s="1"/>
  <c r="AK66" i="7"/>
  <c r="AH85" i="20" a="1"/>
  <c r="AH85" i="20" s="1"/>
  <c r="AH45" i="20" a="1"/>
  <c r="AH45" i="20" s="1"/>
  <c r="AK79" i="7"/>
  <c r="AH49" i="20" a="1"/>
  <c r="AH49" i="20" s="1"/>
  <c r="AK54" i="7"/>
  <c r="AK74" i="7"/>
  <c r="AH38" i="20" a="1"/>
  <c r="AH38" i="20" s="1"/>
  <c r="AK86" i="7"/>
  <c r="AH54" i="20" a="1"/>
  <c r="AH54" i="20" s="1"/>
  <c r="AD135" i="4"/>
  <c r="G56" i="13" s="1" a="1"/>
  <c r="G56" i="13" s="1"/>
  <c r="AH76" i="20" a="1"/>
  <c r="AH76" i="20" s="1"/>
  <c r="AK45" i="7"/>
  <c r="Z97" i="4"/>
  <c r="AD82" i="4"/>
  <c r="G82" i="13" s="1" a="1"/>
  <c r="G82" i="13" s="1"/>
  <c r="AD87" i="4"/>
  <c r="G87" i="13" s="1" a="1"/>
  <c r="G87" i="13" s="1"/>
  <c r="AD105" i="4"/>
  <c r="G105" i="13" s="1" a="1"/>
  <c r="G105" i="13" s="1"/>
  <c r="AK37" i="7"/>
  <c r="AH68" i="20" a="1"/>
  <c r="AH68" i="20" s="1"/>
  <c r="AK36" i="7"/>
  <c r="AC96" i="4"/>
  <c r="F96" i="13" s="1" a="1"/>
  <c r="F96" i="13" s="1"/>
  <c r="AK84" i="7"/>
  <c r="AD85" i="4"/>
  <c r="G85" i="13" s="1" a="1"/>
  <c r="G85" i="13" s="1"/>
  <c r="AK76" i="7"/>
  <c r="AK62" i="7"/>
  <c r="AK90" i="7"/>
  <c r="AK105" i="7"/>
  <c r="AK50" i="7"/>
  <c r="AK41" i="7"/>
  <c r="AK59" i="7"/>
  <c r="AK100" i="7"/>
  <c r="AD119" i="4"/>
  <c r="G50" i="13" s="1" a="1"/>
  <c r="G50" i="13" s="1"/>
  <c r="AH101" i="20" a="1"/>
  <c r="AH101" i="20" s="1"/>
  <c r="AK97" i="7"/>
  <c r="AH33" i="20" a="1"/>
  <c r="AH33" i="20" s="1"/>
  <c r="AD117" i="4"/>
  <c r="G48" i="13" s="1" a="1"/>
  <c r="G48" i="13" s="1"/>
  <c r="AH86" i="20" a="1"/>
  <c r="AH86" i="20" s="1"/>
  <c r="AD91" i="4"/>
  <c r="G91" i="13" s="1" a="1"/>
  <c r="G91" i="13" s="1"/>
  <c r="AH37" i="20" a="1"/>
  <c r="AH37" i="20" s="1"/>
  <c r="AH98" i="20" a="1"/>
  <c r="AH98" i="20" s="1"/>
  <c r="AK109" i="7"/>
  <c r="AC97" i="4"/>
  <c r="F97" i="13" s="1" a="1"/>
  <c r="F97" i="13" s="1"/>
  <c r="AH111" i="8" a="1"/>
  <c r="AH111" i="8" s="1"/>
  <c r="AD89" i="4"/>
  <c r="G89" i="13" s="1" a="1"/>
  <c r="G89" i="13" s="1"/>
  <c r="AH56" i="20" a="1"/>
  <c r="AH56" i="20" s="1"/>
  <c r="AH48" i="20" a="1"/>
  <c r="AH48" i="20" s="1"/>
  <c r="AH110" i="20" a="1"/>
  <c r="AH110" i="20" s="1"/>
  <c r="AH35" i="20" a="1"/>
  <c r="AH35" i="20" s="1"/>
  <c r="AH109" i="20" a="1"/>
  <c r="AH109" i="20" s="1"/>
  <c r="AH75" i="20" a="1"/>
  <c r="AH75" i="20" s="1"/>
  <c r="L75" i="10"/>
  <c r="M73" i="10" s="1"/>
  <c r="Z79" i="11"/>
  <c r="AV94" i="20" a="1"/>
  <c r="AV81" i="20" a="1"/>
  <c r="AV43" i="20" a="1"/>
  <c r="AV93" i="20" a="1"/>
  <c r="AV61" i="20" a="1"/>
  <c r="AV58" i="20" a="1"/>
  <c r="AV85" i="20" a="1"/>
  <c r="AV54" i="20" a="1"/>
  <c r="AV33" i="20" a="1"/>
  <c r="AV35" i="20" a="1"/>
  <c r="AV109" i="20" a="1"/>
  <c r="AV68" i="20" a="1"/>
  <c r="AV84" i="20" a="1"/>
  <c r="AV89" i="20" a="1"/>
  <c r="AV67" i="20" a="1"/>
  <c r="AV45" i="20" a="1"/>
  <c r="AV75" i="20" a="1"/>
  <c r="AV49" i="20" a="1"/>
  <c r="AV76" i="20" a="1"/>
  <c r="AV60" i="20" a="1"/>
  <c r="AV98" i="20" a="1"/>
  <c r="AV44" i="20" a="1"/>
  <c r="AV105" i="20" a="1"/>
  <c r="AV79" i="20" a="1"/>
  <c r="AV86" i="20" a="1"/>
  <c r="AV70" i="20" a="1"/>
  <c r="AV106" i="20" a="1"/>
  <c r="AV32" i="20" a="1"/>
  <c r="AV102" i="20" a="1"/>
  <c r="AV69" i="20" a="1"/>
  <c r="AV65" i="20" a="1"/>
  <c r="AV55" i="20" a="1"/>
  <c r="AV74" i="20" a="1"/>
  <c r="AV103" i="20" a="1"/>
  <c r="AV53" i="20" a="1"/>
  <c r="AV62" i="20" a="1"/>
  <c r="AV56" i="20" a="1"/>
  <c r="AV110" i="20" a="1"/>
  <c r="AV41" i="20" a="1"/>
  <c r="AV80" i="20" a="1"/>
  <c r="AV97" i="20" a="1"/>
  <c r="AV59" i="20" a="1"/>
  <c r="AV50" i="20" a="1"/>
  <c r="AV90" i="20" a="1"/>
  <c r="AV38" i="20" a="1"/>
  <c r="AV101" i="20" a="1"/>
  <c r="AV37" i="20" a="1"/>
  <c r="AV48" i="20" a="1"/>
  <c r="AV48" i="20" l="1"/>
  <c r="AV37" i="20"/>
  <c r="AV101" i="20"/>
  <c r="AV38" i="20"/>
  <c r="AV90" i="20"/>
  <c r="AV50" i="20"/>
  <c r="AV59" i="20"/>
  <c r="AV97" i="20"/>
  <c r="AV80" i="20"/>
  <c r="AV41" i="20"/>
  <c r="AV110" i="20"/>
  <c r="AV56" i="20"/>
  <c r="AV62" i="20"/>
  <c r="AV53" i="20"/>
  <c r="AV103" i="20"/>
  <c r="AV74" i="20"/>
  <c r="AV55" i="20"/>
  <c r="AV65" i="20"/>
  <c r="AV69" i="20"/>
  <c r="AV102" i="20"/>
  <c r="AV32" i="20"/>
  <c r="AV106" i="20"/>
  <c r="AV70" i="20"/>
  <c r="AV86" i="20"/>
  <c r="AV79" i="20"/>
  <c r="AV105" i="20"/>
  <c r="AV44" i="20"/>
  <c r="AV98" i="20"/>
  <c r="AV60" i="20"/>
  <c r="AV76" i="20"/>
  <c r="AV49" i="20"/>
  <c r="AV75" i="20"/>
  <c r="AV45" i="20"/>
  <c r="AV67" i="20"/>
  <c r="AV89" i="20"/>
  <c r="AV84" i="20"/>
  <c r="AV68" i="20"/>
  <c r="AV109" i="20"/>
  <c r="AV35" i="20"/>
  <c r="AV33" i="20"/>
  <c r="AV54" i="20"/>
  <c r="AV85" i="20"/>
  <c r="AV58" i="20"/>
  <c r="AV61" i="20"/>
  <c r="AV93" i="20"/>
  <c r="AV43" i="20"/>
  <c r="AV81" i="20"/>
  <c r="AV94" i="20"/>
  <c r="AK48" i="20"/>
  <c r="AK37" i="20"/>
  <c r="AK101" i="20"/>
  <c r="AE82" i="4"/>
  <c r="H82" i="13" s="1" a="1"/>
  <c r="H82" i="13" s="1"/>
  <c r="AK76" i="8"/>
  <c r="AK38" i="20"/>
  <c r="AK90" i="20"/>
  <c r="AK50" i="20"/>
  <c r="AK59" i="20"/>
  <c r="AK97" i="20"/>
  <c r="AK80" i="20"/>
  <c r="AE120" i="4"/>
  <c r="H51" i="13" s="1" a="1"/>
  <c r="H51" i="13" s="1"/>
  <c r="AK43" i="8"/>
  <c r="AE125" i="4"/>
  <c r="H22" i="13" s="1" a="1"/>
  <c r="H22" i="13" s="1"/>
  <c r="AK38" i="8"/>
  <c r="AE92" i="4"/>
  <c r="H92" i="13" s="1" a="1"/>
  <c r="H92" i="13" s="1"/>
  <c r="AK79" i="8"/>
  <c r="AE112" i="4"/>
  <c r="H69" i="13" s="1" a="1"/>
  <c r="H69" i="13" s="1"/>
  <c r="AK70" i="8"/>
  <c r="AK41" i="20"/>
  <c r="AE70" i="4"/>
  <c r="H32" i="13" s="1" a="1"/>
  <c r="H32" i="13" s="1"/>
  <c r="AK29" i="8"/>
  <c r="AD95" i="4"/>
  <c r="G95" i="13" s="1" a="1"/>
  <c r="G95" i="13" s="1"/>
  <c r="AK110" i="20"/>
  <c r="AK56" i="20"/>
  <c r="AE123" i="4"/>
  <c r="H21" i="13" s="1" a="1"/>
  <c r="H21" i="13" s="1"/>
  <c r="AK32" i="8"/>
  <c r="AK62" i="20"/>
  <c r="AK53" i="20"/>
  <c r="AK103" i="20"/>
  <c r="AE86" i="4"/>
  <c r="H86" i="13" s="1" a="1"/>
  <c r="H86" i="13" s="1"/>
  <c r="AK96" i="8"/>
  <c r="AK74" i="20"/>
  <c r="AK55" i="20"/>
  <c r="AE106" i="4"/>
  <c r="H106" i="13" s="1" a="1"/>
  <c r="H106" i="13" s="1"/>
  <c r="AK110" i="8"/>
  <c r="AE62" i="4"/>
  <c r="H42" i="13" s="1" a="1"/>
  <c r="H42" i="13" s="1"/>
  <c r="AK53" i="8"/>
  <c r="AK65" i="20"/>
  <c r="AE104" i="4"/>
  <c r="H104" i="13" s="1" a="1"/>
  <c r="H104" i="13" s="1"/>
  <c r="AK100" i="8"/>
  <c r="AK69" i="20"/>
  <c r="AE118" i="4"/>
  <c r="H49" i="13" s="1" a="1"/>
  <c r="H49" i="13" s="1"/>
  <c r="AK44" i="8"/>
  <c r="AK102" i="20"/>
  <c r="AE102" i="4"/>
  <c r="H102" i="13" s="1" a="1"/>
  <c r="H102" i="13" s="1"/>
  <c r="AK90" i="8"/>
  <c r="AE127" i="4"/>
  <c r="H24" i="13" s="1" a="1"/>
  <c r="H24" i="13" s="1"/>
  <c r="AK33" i="8"/>
  <c r="AK32" i="20"/>
  <c r="AK106" i="20"/>
  <c r="AE88" i="4"/>
  <c r="H88" i="13" s="1" a="1"/>
  <c r="H88" i="13" s="1"/>
  <c r="AK106" i="8"/>
  <c r="AK70" i="20"/>
  <c r="AE121" i="4"/>
  <c r="H20" i="13" s="1" a="1"/>
  <c r="H20" i="13" s="1"/>
  <c r="AK35" i="8"/>
  <c r="AE113" i="4"/>
  <c r="H70" i="13" s="1" a="1"/>
  <c r="H70" i="13" s="1"/>
  <c r="AK68" i="8"/>
  <c r="AE132" i="4"/>
  <c r="H54" i="13" s="1" a="1"/>
  <c r="H54" i="13" s="1"/>
  <c r="AK62" i="8"/>
  <c r="AE63" i="4"/>
  <c r="H43" i="13" s="1" a="1"/>
  <c r="H43" i="13" s="1"/>
  <c r="AK54" i="8"/>
  <c r="AE126" i="4"/>
  <c r="H23" i="13" s="1" a="1"/>
  <c r="H23" i="13" s="1"/>
  <c r="AK37" i="8"/>
  <c r="AE89" i="4"/>
  <c r="H89" i="13" s="1" a="1"/>
  <c r="H89" i="13" s="1"/>
  <c r="AK111" i="8"/>
  <c r="AK86" i="20"/>
  <c r="AE109" i="4"/>
  <c r="H66" i="13" s="1" a="1"/>
  <c r="H66" i="13" s="1"/>
  <c r="AK67" i="8"/>
  <c r="AK79" i="20"/>
  <c r="AE133" i="4"/>
  <c r="H55" i="13" s="1" a="1"/>
  <c r="H55" i="13" s="1"/>
  <c r="AK60" i="8"/>
  <c r="AK105" i="20"/>
  <c r="AK44" i="20"/>
  <c r="AE103" i="4"/>
  <c r="H103" i="13" s="1" a="1"/>
  <c r="H103" i="13" s="1"/>
  <c r="AK95" i="8"/>
  <c r="AE61" i="4"/>
  <c r="H41" i="13" s="1" a="1"/>
  <c r="H41" i="13" s="1"/>
  <c r="AK55" i="8"/>
  <c r="AK98" i="20"/>
  <c r="AK60" i="20"/>
  <c r="AE91" i="4"/>
  <c r="H91" i="13" s="1" a="1"/>
  <c r="H91" i="13" s="1"/>
  <c r="AK74" i="8"/>
  <c r="AE119" i="4"/>
  <c r="H50" i="13" s="1" a="1"/>
  <c r="H50" i="13" s="1"/>
  <c r="AK41" i="8"/>
  <c r="AE131" i="4"/>
  <c r="H53" i="13" s="1" a="1"/>
  <c r="H53" i="13" s="1"/>
  <c r="AK58" i="8"/>
  <c r="AE90" i="4"/>
  <c r="H90" i="13" s="1" a="1"/>
  <c r="H90" i="13" s="1"/>
  <c r="AK116" i="8"/>
  <c r="AK76" i="20"/>
  <c r="AK49" i="20"/>
  <c r="AK75" i="20"/>
  <c r="AE101" i="4"/>
  <c r="H101" i="13" s="1" a="1"/>
  <c r="H101" i="13" s="1"/>
  <c r="AK85" i="8"/>
  <c r="AE134" i="4"/>
  <c r="H57" i="13" s="1" a="1"/>
  <c r="H57" i="13" s="1"/>
  <c r="AK59" i="8"/>
  <c r="AE135" i="4"/>
  <c r="H56" i="13" s="1" a="1"/>
  <c r="H56" i="13" s="1"/>
  <c r="AK61" i="8"/>
  <c r="AK45" i="20"/>
  <c r="AK67" i="20"/>
  <c r="AD94" i="4"/>
  <c r="G94" i="13" s="1" a="1"/>
  <c r="G94" i="13" s="1"/>
  <c r="AE60" i="4"/>
  <c r="H40" i="13" s="1" a="1"/>
  <c r="H40" i="13" s="1"/>
  <c r="AK56" i="8"/>
  <c r="AE100" i="4"/>
  <c r="H100" i="13" s="1" a="1"/>
  <c r="H100" i="13" s="1"/>
  <c r="AK80" i="8"/>
  <c r="AE107" i="4"/>
  <c r="H107" i="13" s="1" a="1"/>
  <c r="H107" i="13" s="1"/>
  <c r="AK115" i="8"/>
  <c r="AK89" i="20"/>
  <c r="AE130" i="4"/>
  <c r="H37" i="13" s="1" a="1"/>
  <c r="H37" i="13" s="1"/>
  <c r="AK49" i="8"/>
  <c r="AD98" i="4"/>
  <c r="G98" i="13" s="1" a="1"/>
  <c r="G98" i="13" s="1"/>
  <c r="AE93" i="4"/>
  <c r="H93" i="13" s="1" a="1"/>
  <c r="H93" i="13" s="1"/>
  <c r="AK84" i="8"/>
  <c r="AK84" i="20"/>
  <c r="AK68" i="20"/>
  <c r="AE85" i="4"/>
  <c r="H85" i="13" s="1" a="1"/>
  <c r="H85" i="13" s="1"/>
  <c r="AK91" i="8"/>
  <c r="AE105" i="4"/>
  <c r="H105" i="13" s="1" a="1"/>
  <c r="H105" i="13" s="1"/>
  <c r="AK105" i="8"/>
  <c r="AK109" i="20"/>
  <c r="AD97" i="4"/>
  <c r="G97" i="13" s="1" a="1"/>
  <c r="G97" i="13" s="1"/>
  <c r="AE117" i="4"/>
  <c r="H48" i="13" s="1" a="1"/>
  <c r="H48" i="13" s="1"/>
  <c r="AK45" i="8"/>
  <c r="AK35" i="20"/>
  <c r="AK33" i="20"/>
  <c r="AD96" i="4"/>
  <c r="G96" i="13" s="1" a="1"/>
  <c r="G96" i="13" s="1"/>
  <c r="AE87" i="4"/>
  <c r="H87" i="13" s="1" a="1"/>
  <c r="H87" i="13" s="1"/>
  <c r="AK101" i="8"/>
  <c r="AK54" i="20"/>
  <c r="AK85" i="20"/>
  <c r="AK58" i="20"/>
  <c r="AK61" i="20"/>
  <c r="AH114" i="8" a="1"/>
  <c r="AH114" i="8" s="1"/>
  <c r="AD99" i="4"/>
  <c r="G99" i="13" s="1" a="1"/>
  <c r="G99" i="13" s="1"/>
  <c r="AK93" i="20"/>
  <c r="AE111" i="4"/>
  <c r="H68" i="13" s="1" a="1"/>
  <c r="H68" i="13" s="1"/>
  <c r="AK65" i="8"/>
  <c r="AK43" i="20"/>
  <c r="AE84" i="4"/>
  <c r="H84" i="13" s="1" a="1"/>
  <c r="H84" i="13" s="1"/>
  <c r="AK86" i="8"/>
  <c r="AK81" i="20"/>
  <c r="AK94" i="20"/>
  <c r="AE83" i="4"/>
  <c r="H83" i="13" s="1" a="1"/>
  <c r="H83" i="13" s="1"/>
  <c r="AK81" i="8"/>
  <c r="AB79" i="11"/>
  <c r="J15" i="15"/>
  <c r="M72" i="10"/>
  <c r="M71" i="10"/>
  <c r="M106" i="10"/>
  <c r="N106" i="10" s="1"/>
  <c r="L81" i="10"/>
  <c r="AE99" i="4" l="1"/>
  <c r="H99" i="13" s="1" a="1"/>
  <c r="H99" i="13" s="1"/>
  <c r="AK114" i="8"/>
  <c r="AE96" i="4"/>
  <c r="H96" i="13" s="1" a="1"/>
  <c r="H96" i="13" s="1"/>
  <c r="AK99" i="8"/>
  <c r="AE98" i="4"/>
  <c r="H98" i="13" s="1" a="1"/>
  <c r="H98" i="13" s="1"/>
  <c r="AK109" i="8"/>
  <c r="AE95" i="4"/>
  <c r="H95" i="13" s="1" a="1"/>
  <c r="H95" i="13" s="1"/>
  <c r="AK94" i="8"/>
  <c r="AE94" i="4"/>
  <c r="H94" i="13" s="1" a="1"/>
  <c r="H94" i="13" s="1"/>
  <c r="AK89" i="8"/>
  <c r="AE97" i="4"/>
  <c r="H97" i="13" s="1" a="1"/>
  <c r="H97" i="13" s="1"/>
  <c r="AK104" i="8"/>
  <c r="N71" i="10"/>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tc={72E22EBC-6F1C-44E6-9D37-6A2EDC68C4EF}</author>
    <author>Adrian Stone</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Z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A24" authorId="1"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33" authorId="2"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A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F16" authorId="0" shapeId="0" xr:uid="{738D0969-9F9D-44AC-B242-9B84600D216E}">
      <text>
        <r>
          <rPr>
            <b/>
            <sz val="9"/>
            <color indexed="81"/>
            <rFont val="Tahoma"/>
            <family val="2"/>
          </rPr>
          <t>fadiel ESAP PC:</t>
        </r>
        <r>
          <rPr>
            <sz val="9"/>
            <color indexed="81"/>
            <rFont val="Tahoma"/>
            <family val="2"/>
          </rPr>
          <t xml:space="preserve">
how to model plugin-hybrids?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tc={716FFDAB-882E-46E7-908D-74A5A8CF4E8F}</author>
    <author>tc={8CE8F409-86C6-4BEF-A484-A7A3BD0C0B5F}</author>
  </authors>
  <commentList>
    <comment ref="C8" authorId="0" shapeId="0" xr:uid="{716FFDAB-882E-46E7-908D-74A5A8CF4E8F}">
      <text>
        <t>[Threaded comment]
Your version of Excel allows you to read this threaded comment; however, any edits to it will get removed if the file is opened in a newer version of Excel. Learn more: https://go.microsoft.com/fwlink/?linkid=870924
Comment:
    Assumed BEV cost in 2022$ in 2010 based on AEA2012 summary data (converted from 2012 GBP to 2022 USD)</t>
      </text>
    </comment>
    <comment ref="C14" authorId="1" shapeId="0" xr:uid="{8CE8F409-86C6-4BEF-A484-A7A3BD0C0B5F}">
      <text>
        <t>[Threaded comment]
Your version of Excel allows you to read this threaded comment; however, any edits to it will get removed if the file is opened in a newer version of Excel. Learn more: https://go.microsoft.com/fwlink/?linkid=870924
Comment:
    Assumed HEV cost in 2022$ in 2010 based on AEA2012 summary data (converted from 2012 GBP to 2022 USD)</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D89" authorId="4"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D94" authorId="5"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99" authorId="6"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04" authorId="7"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09" authorId="8"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D114" authorId="9"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<sst xmlns="http://schemas.openxmlformats.org/spreadsheetml/2006/main" count="7034" uniqueCount="1416">
  <si>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</si>
  <si>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</si>
  <si>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</si>
  <si>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</si>
  <si>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</si>
  <si>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</si>
  <si>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</si>
  <si>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</si>
  <si>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</si>
  <si>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</si>
  <si>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</si>
  <si>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</si>
  <si>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</si>
  <si>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</si>
  <si>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</si>
  <si>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</si>
  <si>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</si>
  <si>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</si>
  <si>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</si>
  <si>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</si>
  <si>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</si>
  <si>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</si>
  <si>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</si>
  <si>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</si>
  <si>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</si>
  <si>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</si>
  <si>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</si>
  <si>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</si>
  <si>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</si>
  <si>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</si>
  <si>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</si>
  <si>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</si>
  <si>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</si>
  <si>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</si>
  <si>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</si>
  <si>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</si>
  <si>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</si>
  <si>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</si>
  <si>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</si>
  <si>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</si>
  <si>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</si>
  <si>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</si>
  <si>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</si>
  <si>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</si>
  <si>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</si>
  <si>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</si>
  <si>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</si>
  <si>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</si>
  <si>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</si>
  <si>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</si>
  <si>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</si>
  <si>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</si>
  <si>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</si>
  <si>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</si>
  <si>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</si>
  <si>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</si>
  <si>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</si>
  <si>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</si>
  <si>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</si>
  <si>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</si>
  <si>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</si>
  <si>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</si>
  <si>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</si>
  <si>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</si>
  <si>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</si>
  <si>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</si>
  <si>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</si>
  <si>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</si>
  <si>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</si>
  <si>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</si>
  <si>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</si>
  <si>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</si>
  <si>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</si>
  <si>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</si>
  <si>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</si>
  <si>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</si>
  <si>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</si>
  <si>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</si>
  <si>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</si>
  <si>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</si>
  <si>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</si>
  <si>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</si>
  <si>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</si>
  <si>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</si>
  <si>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</si>
  <si>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</si>
  <si>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</si>
  <si>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</si>
  <si>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</si>
  <si>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</si>
  <si>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</si>
  <si>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</si>
  <si>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</si>
  <si>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</si>
  <si>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</si>
  <si>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</si>
  <si>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</si>
  <si>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</si>
  <si>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</si>
  <si>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</si>
  <si>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</si>
  <si>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</si>
  <si>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</si>
  <si>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</si>
  <si>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</si>
  <si>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</si>
  <si>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</si>
  <si>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</si>
  <si>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</si>
  <si>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</si>
  <si>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</si>
  <si>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</si>
  <si>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</si>
  <si>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</si>
  <si>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</si>
  <si>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</si>
  <si>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</si>
  <si>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</si>
  <si>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</si>
  <si>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</si>
  <si>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</si>
  <si>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</si>
  <si>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</si>
  <si>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</si>
  <si>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</si>
  <si>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</si>
  <si>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</si>
  <si>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</si>
  <si>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</si>
  <si>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</si>
  <si>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</si>
  <si>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</si>
  <si>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</si>
  <si>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</si>
  <si>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</si>
  <si>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</si>
  <si>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</si>
  <si>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</si>
  <si>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</si>
  <si>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</si>
  <si>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</si>
  <si>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</si>
  <si>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</si>
  <si>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</si>
  <si>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</si>
  <si>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</si>
  <si>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</si>
  <si>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</si>
  <si>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</si>
  <si>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</si>
  <si>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</si>
  <si>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</si>
  <si>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</si>
  <si>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</si>
  <si>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</si>
  <si>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</si>
  <si>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</si>
  <si>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</si>
  <si>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</si>
  <si>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</si>
  <si>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</si>
  <si>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</si>
  <si>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</si>
  <si>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</si>
  <si>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</si>
  <si>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</si>
  <si>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</si>
  <si>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</si>
  <si>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</si>
  <si>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</si>
  <si>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</si>
  <si>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</si>
  <si>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</si>
  <si>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</si>
  <si>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</si>
  <si>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</si>
  <si>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</si>
  <si>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</si>
  <si>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</si>
  <si>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</si>
  <si>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</si>
  <si>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</si>
  <si>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</si>
  <si>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</si>
  <si>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</si>
  <si>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</si>
  <si>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</si>
  <si>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</si>
  <si>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</si>
  <si>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</si>
  <si>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</si>
  <si>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</si>
  <si>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</si>
  <si>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</si>
  <si>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</si>
  <si>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</si>
  <si>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</si>
  <si>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</si>
  <si>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</si>
  <si>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</si>
  <si>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</si>
  <si>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</si>
  <si>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</si>
  <si>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</si>
  <si>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</si>
  <si>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</si>
  <si>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</si>
  <si>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</si>
  <si>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</si>
  <si>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</si>
  <si>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</si>
  <si>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</si>
  <si>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</si>
  <si>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</si>
  <si>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</si>
  <si>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</si>
  <si>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</si>
  <si>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</si>
  <si>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</si>
  <si>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</si>
  <si>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</si>
  <si>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</si>
  <si>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</si>
  <si>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</si>
  <si>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</si>
  <si>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</si>
  <si>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</si>
  <si>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</si>
  <si>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</si>
  <si>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</si>
  <si>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</si>
  <si>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</si>
  <si>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</si>
  <si>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</si>
  <si>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</si>
  <si>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</si>
  <si>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</si>
  <si>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</si>
  <si>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</si>
  <si>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</si>
  <si>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</si>
  <si>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</si>
  <si>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</si>
  <si>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</si>
  <si>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</si>
  <si>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</si>
  <si>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</si>
  <si>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</si>
  <si>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</si>
  <si>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</si>
  <si>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</si>
  <si>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</si>
  <si>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</si>
  <si>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</si>
  <si>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</si>
  <si>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</si>
  <si>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</si>
  <si>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</si>
  <si>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</si>
  <si>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</si>
  <si>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</si>
  <si>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</si>
  <si>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</si>
  <si>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</si>
  <si>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</si>
  <si>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</si>
  <si>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</si>
  <si>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</si>
  <si>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</si>
  <si>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</si>
  <si>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</si>
  <si>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</si>
  <si>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</si>
  <si>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</si>
  <si>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</si>
  <si>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</si>
  <si>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</si>
  <si>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</si>
  <si>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</si>
  <si>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</si>
  <si>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</si>
  <si>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</si>
  <si>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</si>
  <si>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</si>
  <si>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</si>
  <si>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</si>
  <si>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</si>
  <si>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</si>
  <si>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</si>
  <si>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</si>
  <si>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</si>
  <si>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</si>
  <si>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</si>
  <si>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</si>
  <si>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</si>
  <si>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</si>
  <si>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</si>
  <si>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</si>
  <si>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</si>
  <si>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</si>
  <si>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</si>
  <si>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</si>
  <si>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</si>
  <si>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</si>
  <si>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</si>
  <si>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</si>
  <si>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</si>
  <si>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</si>
  <si>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</si>
  <si>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</si>
  <si>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</si>
  <si>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</si>
  <si>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</si>
  <si>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</si>
  <si>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</si>
  <si>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</si>
  <si>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</si>
  <si>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</si>
  <si>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</si>
  <si>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</si>
  <si>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</si>
  <si>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</si>
  <si>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</si>
  <si>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</si>
  <si>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</si>
  <si>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</si>
  <si>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</si>
  <si>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</si>
  <si>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</si>
  <si>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</si>
  <si>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</si>
  <si>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</si>
  <si>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</si>
  <si>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</si>
  <si>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</si>
  <si>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</si>
  <si>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</si>
  <si>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</si>
  <si>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</si>
  <si>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</si>
  <si>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</si>
  <si>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</si>
  <si>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</si>
  <si>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</si>
  <si>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</si>
  <si>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</si>
  <si>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</si>
  <si>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</si>
  <si>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</si>
  <si>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</si>
  <si>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</si>
  <si>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</si>
  <si>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</si>
  <si>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</si>
  <si>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</si>
  <si>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</si>
  <si>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</si>
  <si>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</si>
  <si>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</si>
  <si>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</si>
  <si>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</si>
  <si>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</si>
  <si>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</si>
  <si>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</si>
  <si>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</si>
  <si>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</si>
  <si>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</si>
  <si>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</si>
  <si>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</si>
  <si>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</si>
  <si>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</si>
  <si>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</si>
  <si>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</si>
  <si>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</si>
  <si>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</si>
  <si>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</si>
  <si>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</si>
  <si>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</si>
  <si>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</si>
  <si>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</si>
  <si>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</si>
  <si>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</si>
  <si>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</si>
  <si>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</si>
  <si>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</si>
  <si>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</si>
  <si>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</si>
  <si>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</si>
  <si>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</si>
  <si>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</si>
  <si>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</si>
  <si>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</si>
  <si>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</si>
  <si>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</si>
  <si>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</si>
  <si>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</si>
  <si>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</si>
  <si>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</si>
  <si>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</si>
  <si>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</si>
  <si>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</si>
  <si>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</si>
  <si>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</si>
  <si>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</si>
  <si>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</si>
  <si>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</si>
  <si>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</si>
  <si>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</si>
  <si>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</si>
  <si>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</si>
  <si>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</si>
  <si>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</si>
  <si>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</si>
  <si>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</si>
  <si>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</si>
  <si>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</si>
  <si>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</si>
  <si>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</si>
  <si>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</si>
  <si>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</si>
  <si>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</si>
  <si>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</si>
  <si>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</si>
  <si>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</si>
  <si>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</si>
  <si>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</si>
  <si>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</si>
  <si>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</si>
  <si>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</si>
  <si>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</si>
  <si>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</si>
  <si>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</si>
  <si>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</si>
  <si>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</si>
  <si>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</si>
  <si>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</si>
  <si>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</si>
  <si>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</si>
  <si>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</si>
  <si>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</si>
  <si>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</si>
  <si>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</si>
  <si>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</si>
  <si>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</si>
  <si>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</si>
  <si>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</si>
  <si>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</si>
  <si>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</si>
  <si>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</si>
  <si>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</si>
  <si>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</si>
  <si>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</si>
  <si>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</si>
  <si>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</si>
  <si>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</si>
  <si>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</si>
  <si>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</si>
  <si>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</si>
  <si>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</si>
  <si>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</si>
  <si>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</si>
  <si>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</si>
  <si>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</si>
  <si>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</si>
  <si>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</si>
  <si>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</si>
  <si>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</si>
  <si>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</si>
  <si>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</si>
  <si>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</si>
  <si>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</si>
  <si>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</si>
  <si>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</si>
  <si>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</si>
  <si>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</si>
  <si>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</si>
  <si>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</si>
  <si>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</si>
  <si>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</si>
  <si>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</si>
  <si>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</si>
  <si>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</si>
  <si>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</si>
  <si>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</si>
  <si>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</si>
  <si>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</si>
  <si>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</si>
  <si>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</si>
  <si>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</si>
  <si>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</si>
  <si>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</si>
  <si>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</si>
  <si>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</si>
  <si>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</si>
  <si>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</si>
  <si>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</si>
  <si>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</si>
  <si>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</si>
  <si>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</si>
  <si>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</si>
  <si>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</si>
  <si>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</si>
  <si>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</si>
  <si>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</si>
  <si>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</si>
  <si>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</si>
  <si>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</si>
  <si>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</si>
  <si>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</si>
  <si>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</si>
  <si>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</si>
  <si>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</si>
  <si>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</si>
  <si>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</si>
  <si>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</si>
  <si>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</si>
  <si>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</si>
  <si>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</si>
  <si>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</si>
  <si>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</si>
  <si>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</si>
  <si>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</si>
  <si>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</si>
  <si>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</si>
  <si>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</si>
  <si>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</si>
  <si>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</si>
  <si>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</si>
  <si>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</si>
  <si>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</si>
  <si>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</si>
  <si>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</si>
  <si>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</si>
  <si>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</si>
  <si>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</si>
  <si>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</si>
  <si>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</si>
  <si>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</si>
  <si>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</si>
  <si>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</si>
  <si>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</si>
  <si>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</si>
  <si>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</si>
  <si>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</si>
  <si>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</si>
  <si>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</si>
  <si>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</si>
  <si>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</si>
  <si>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</si>
  <si>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</si>
  <si>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</si>
  <si>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</si>
  <si>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</si>
  <si>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</si>
  <si>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</si>
  <si>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</si>
  <si>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</si>
  <si>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</si>
  <si>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</si>
  <si>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</si>
  <si>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</si>
  <si>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</si>
  <si>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</si>
  <si>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</si>
  <si>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</si>
  <si>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</si>
  <si>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</si>
  <si>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</si>
  <si>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</si>
  <si>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</si>
  <si>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</si>
  <si>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</si>
  <si>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</si>
  <si>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</si>
  <si>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</si>
  <si>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</si>
  <si>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</si>
  <si>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</si>
  <si>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</si>
  <si>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</si>
  <si>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</si>
  <si>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</si>
  <si>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</si>
  <si>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</si>
  <si>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</si>
  <si>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</si>
  <si>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</si>
  <si>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</si>
  <si>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</si>
  <si>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</si>
  <si>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</si>
  <si>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</si>
  <si>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</si>
  <si>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</si>
  <si>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</si>
  <si>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</si>
  <si>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</si>
  <si>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</si>
  <si>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</si>
  <si>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</si>
  <si>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</si>
  <si>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</si>
  <si>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</si>
  <si>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</si>
  <si>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</si>
  <si>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</si>
  <si>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</si>
  <si>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</si>
  <si>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</si>
  <si>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</si>
  <si>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</si>
  <si>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</si>
  <si>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</si>
  <si>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</si>
  <si>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</si>
  <si>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</si>
  <si>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</si>
  <si>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</si>
  <si>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</si>
  <si>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</si>
  <si>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</si>
  <si>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</si>
  <si>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</si>
  <si>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</si>
  <si>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</si>
  <si>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</si>
  <si>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</si>
  <si>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</si>
  <si>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</si>
  <si>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</si>
  <si>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</si>
  <si>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</si>
  <si>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</si>
  <si>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</si>
  <si>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</si>
  <si>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</si>
  <si>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</si>
  <si>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</si>
  <si>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</si>
  <si>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</si>
  <si>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</si>
  <si>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</si>
  <si>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</si>
  <si>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</si>
  <si>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</si>
  <si>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</si>
  <si>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</si>
  <si>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</si>
  <si>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</si>
  <si>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</si>
  <si>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</si>
  <si>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</si>
  <si>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</si>
  <si>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</si>
  <si>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</si>
  <si>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</si>
  <si>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</si>
  <si>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</si>
  <si>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</si>
  <si>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</si>
  <si>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</si>
  <si>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</si>
  <si>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</si>
  <si>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</si>
  <si>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</si>
  <si>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</si>
  <si>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</si>
  <si>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</si>
  <si>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</si>
  <si>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</si>
  <si>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</si>
  <si>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</si>
  <si>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</si>
  <si>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</si>
  <si>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</si>
  <si>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</si>
  <si>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</si>
  <si>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</si>
  <si>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</si>
  <si>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</si>
  <si>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</si>
  <si>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</si>
  <si>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</si>
  <si>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</si>
  <si>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</si>
  <si>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</si>
  <si>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</si>
  <si>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</si>
  <si>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</si>
  <si>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</si>
  <si>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</si>
  <si>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</si>
  <si>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</si>
  <si>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</si>
  <si>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</si>
  <si>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</si>
  <si>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</si>
  <si>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</si>
  <si>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</si>
  <si>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</si>
  <si>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</si>
  <si>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</si>
  <si>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</si>
  <si>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</si>
  <si>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</si>
  <si>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</si>
  <si>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</si>
  <si>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</si>
  <si>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</si>
  <si>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</si>
  <si>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</si>
  <si>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</si>
  <si>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</si>
  <si>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</si>
  <si>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</si>
  <si>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</si>
  <si>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</si>
  <si>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</si>
  <si>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</si>
  <si>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</si>
  <si>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</si>
  <si>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</si>
  <si>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</si>
  <si>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</si>
  <si>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</si>
  <si>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</si>
  <si>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</si>
  <si>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</si>
  <si>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</si>
  <si>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</si>
  <si>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</si>
  <si>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</si>
  <si>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</si>
  <si>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</si>
  <si>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</si>
  <si>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</si>
  <si>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</si>
  <si>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</si>
  <si>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</si>
  <si>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</si>
  <si>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</si>
  <si>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</si>
  <si>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</si>
  <si>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</si>
  <si>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</si>
  <si>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</si>
  <si>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</si>
  <si>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</si>
  <si>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</si>
  <si>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</si>
  <si>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</si>
  <si>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</si>
  <si>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</si>
  <si>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</si>
  <si>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</si>
  <si>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</si>
  <si>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</si>
  <si>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</si>
  <si>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</si>
  <si>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</si>
  <si>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</si>
  <si>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</si>
  <si>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</si>
  <si>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</si>
  <si>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</si>
  <si>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</si>
  <si>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</si>
  <si>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</si>
  <si>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</si>
  <si>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</si>
  <si>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</si>
  <si>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</si>
  <si>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</si>
  <si>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</si>
  <si>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</si>
  <si>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</si>
  <si>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</si>
  <si>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</si>
  <si>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</si>
  <si>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</si>
  <si>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</si>
  <si>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</si>
  <si>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</si>
  <si>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</si>
  <si>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</si>
  <si>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</si>
  <si>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</si>
  <si>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</si>
  <si>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</si>
  <si>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</si>
  <si>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</si>
  <si>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</si>
  <si>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</si>
  <si>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</si>
  <si>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</si>
  <si>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</si>
  <si>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</si>
  <si>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</si>
  <si>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</si>
  <si>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</si>
  <si>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</si>
  <si>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</si>
  <si>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</si>
  <si>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</si>
  <si>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</si>
  <si>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</si>
  <si>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</si>
  <si>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</si>
  <si>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</si>
  <si>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</si>
  <si>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</si>
  <si>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</si>
  <si>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</si>
  <si>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</si>
  <si>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</si>
  <si>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</si>
  <si>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</si>
  <si>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</si>
  <si>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</si>
  <si>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</si>
  <si>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</si>
  <si>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</si>
  <si>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</si>
  <si>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</si>
  <si>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</si>
  <si>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</si>
  <si>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</si>
  <si>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</si>
  <si>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</si>
  <si>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</si>
  <si>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</si>
  <si>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</si>
  <si>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</si>
  <si>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</si>
  <si>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</si>
  <si>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</si>
  <si>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</si>
  <si>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</si>
  <si>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</si>
  <si>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</si>
  <si>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</si>
  <si>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</si>
  <si>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</si>
  <si>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</si>
  <si>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</si>
  <si>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</si>
  <si>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</si>
  <si>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</si>
  <si>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</si>
  <si>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</si>
  <si>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</si>
  <si>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</si>
  <si>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</si>
  <si>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</si>
  <si>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</si>
  <si>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</si>
  <si>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</si>
  <si>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</si>
  <si>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</si>
  <si>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</si>
  <si>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</si>
  <si>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</si>
  <si>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</si>
  <si>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</si>
  <si>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</si>
  <si>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</si>
  <si>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</si>
  <si>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</si>
  <si>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</si>
  <si>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</si>
  <si>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</si>
  <si>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</si>
  <si>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</si>
  <si>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</si>
  <si>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</si>
  <si>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</si>
  <si>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</si>
  <si>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</si>
  <si>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</si>
  <si>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</si>
  <si>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</si>
  <si>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</si>
  <si>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</si>
  <si>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</si>
  <si>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</si>
  <si>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</si>
  <si>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</si>
  <si>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</si>
  <si>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</si>
  <si>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</si>
  <si>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</si>
  <si>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</si>
  <si>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</si>
  <si>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</si>
  <si>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</si>
  <si>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</si>
  <si>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</si>
  <si>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</si>
  <si>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</si>
  <si>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</si>
  <si>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</si>
  <si>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</si>
  <si>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</si>
  <si>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</si>
  <si>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</si>
  <si>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</si>
  <si>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</si>
  <si>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</si>
  <si>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</si>
  <si>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</si>
  <si>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</si>
  <si>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</si>
  <si>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</si>
  <si>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</si>
  <si>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</si>
  <si>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</si>
  <si>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</si>
  <si>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</si>
  <si>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</si>
  <si>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</si>
  <si>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</si>
  <si>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</si>
  <si>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</si>
  <si>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</si>
  <si>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</si>
  <si>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</si>
  <si>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</si>
  <si>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</si>
  <si>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</si>
  <si>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</si>
  <si>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</si>
  <si>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</si>
  <si>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</si>
  <si>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</si>
  <si>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</si>
  <si>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</si>
  <si>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</si>
  <si>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</si>
  <si>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</si>
  <si>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</si>
  <si>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</si>
  <si>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</si>
  <si>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</si>
  <si>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</si>
  <si>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</si>
  <si>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</si>
  <si>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</si>
  <si>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</si>
  <si>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</si>
  <si>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</si>
  <si>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</si>
  <si>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</si>
  <si>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</si>
  <si>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</si>
  <si>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</si>
  <si>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</si>
  <si>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</si>
  <si>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</si>
  <si>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</si>
  <si>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</si>
  <si>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</si>
  <si>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</si>
  <si>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</si>
  <si>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</si>
  <si>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</si>
  <si>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</si>
  <si>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</si>
  <si>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</si>
  <si>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</si>
  <si>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</si>
  <si>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</si>
  <si>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</si>
  <si>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</si>
  <si>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</si>
  <si>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</si>
  <si>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</si>
  <si>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</si>
  <si>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</si>
  <si>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</si>
  <si>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</si>
  <si>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</si>
  <si>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</si>
  <si>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</si>
  <si>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</si>
  <si>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</si>
  <si>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</si>
  <si>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</si>
  <si>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</si>
  <si>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</si>
  <si>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</si>
  <si>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</si>
  <si>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</si>
  <si>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</si>
  <si>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</si>
  <si>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</si>
  <si>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</si>
  <si>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</si>
  <si>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</si>
  <si>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</si>
  <si>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</si>
  <si>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</si>
  <si>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</si>
  <si>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</si>
  <si>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</si>
  <si>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</si>
  <si>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</si>
  <si>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</si>
  <si>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</si>
  <si>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</si>
  <si>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</si>
  <si>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</si>
  <si>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</si>
  <si>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</si>
  <si>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</si>
  <si>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</si>
  <si>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</si>
  <si>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</si>
  <si>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</si>
  <si>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</si>
  <si>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</si>
  <si>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</si>
  <si>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</si>
  <si>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</si>
  <si>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</si>
  <si>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</si>
  <si>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</si>
  <si>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</si>
  <si>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</si>
  <si>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</si>
  <si>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</si>
  <si>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</si>
  <si>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</si>
  <si>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</si>
  <si>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</si>
  <si>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</si>
  <si>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</si>
  <si>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</si>
  <si>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</si>
  <si>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</si>
  <si>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</si>
  <si>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</si>
  <si>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</si>
  <si>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</si>
  <si>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</si>
  <si>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</si>
  <si>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</si>
  <si>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</si>
  <si>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</si>
  <si>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</si>
  <si>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</si>
  <si>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</si>
  <si>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</si>
  <si>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</si>
  <si>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</si>
  <si>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</si>
  <si>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</si>
  <si>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</si>
  <si>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</si>
  <si>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</si>
  <si>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</si>
  <si>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</si>
  <si>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</si>
  <si>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</si>
  <si>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</si>
  <si>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</si>
  <si>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</si>
  <si>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</si>
  <si>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</si>
  <si>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</si>
  <si>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</si>
  <si>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</si>
  <si>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</si>
  <si>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</si>
  <si>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</si>
  <si>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</si>
  <si>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</si>
  <si>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</si>
  <si>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</si>
  <si>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</si>
  <si>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</si>
  <si>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</si>
  <si>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</si>
  <si>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</si>
  <si>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</si>
  <si>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</si>
  <si>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</si>
  <si>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</si>
  <si>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</si>
  <si>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</si>
  <si>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</si>
  <si>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</si>
  <si>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</si>
  <si>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</si>
  <si>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</si>
  <si>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</si>
  <si>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</si>
  <si>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</si>
  <si>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</si>
  <si>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</si>
  <si>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</si>
  <si>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</si>
  <si>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</si>
  <si>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</si>
  <si>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</si>
  <si>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</si>
  <si>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</si>
  <si>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</si>
  <si>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</si>
  <si>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</si>
  <si>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</si>
  <si>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</si>
  <si>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</si>
  <si>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</si>
  <si>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</si>
  <si>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</si>
  <si>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</si>
  <si>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</si>
  <si>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</si>
  <si>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</si>
  <si>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</si>
  <si>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</si>
  <si>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</si>
  <si>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</si>
  <si>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</si>
  <si>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</si>
  <si>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</si>
  <si>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</si>
  <si>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</si>
  <si>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</si>
  <si>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</si>
  <si>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</si>
  <si>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</si>
  <si>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</si>
  <si>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</si>
  <si>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</si>
  <si>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</si>
  <si>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</si>
  <si>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</si>
  <si>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</si>
  <si>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</si>
  <si>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</si>
  <si>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</si>
  <si>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</si>
  <si>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</si>
  <si>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</si>
  <si>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</si>
  <si>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</si>
  <si>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</si>
  <si>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</si>
  <si>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</si>
  <si>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</si>
  <si>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</si>
  <si>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</si>
  <si>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</si>
  <si>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</si>
  <si>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</si>
  <si>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</si>
  <si>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</si>
  <si>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</si>
  <si>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</si>
  <si>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</si>
  <si>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</si>
  <si>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</si>
  <si>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</si>
  <si>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</si>
  <si>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</si>
  <si>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</si>
  <si>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</si>
  <si>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</si>
  <si>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</si>
  <si>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</si>
  <si>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</si>
  <si>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</si>
  <si>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</si>
  <si>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</si>
  <si>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</si>
  <si>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</si>
  <si>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</si>
  <si>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</si>
  <si>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</si>
  <si>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</si>
  <si>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</si>
  <si>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</si>
  <si>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</si>
  <si>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</si>
  <si>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</si>
  <si>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</si>
  <si>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</si>
  <si>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</si>
  <si>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</si>
  <si>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</si>
  <si>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</si>
  <si>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</si>
  <si>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</si>
  <si>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</si>
  <si>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</si>
  <si>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</si>
  <si>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</si>
  <si>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</si>
  <si>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</si>
  <si>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</si>
  <si>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</si>
  <si>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</si>
  <si>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</si>
  <si>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</si>
  <si>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</si>
  <si>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</si>
  <si>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</si>
  <si>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</si>
  <si>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</si>
  <si>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</si>
  <si>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</si>
  <si>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</si>
  <si>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</si>
  <si>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</si>
  <si>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</si>
  <si>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</si>
  <si>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</si>
  <si>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</si>
  <si>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</si>
  <si>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</si>
  <si>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</si>
  <si>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</si>
  <si>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</si>
  <si>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</si>
  <si>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</si>
  <si>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</si>
  <si>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</si>
  <si>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</si>
  <si>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</si>
  <si>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</si>
  <si>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</si>
  <si>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</si>
  <si>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</si>
  <si>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</si>
  <si>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</si>
  <si>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</si>
  <si>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</si>
  <si>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</si>
  <si>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</si>
  <si>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</si>
  <si>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</si>
  <si>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</si>
  <si>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</si>
  <si>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</si>
  <si>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</si>
  <si>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</si>
  <si>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</si>
  <si>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</si>
  <si>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</si>
  <si>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</si>
  <si>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</si>
  <si>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</si>
  <si>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</si>
  <si>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</si>
  <si>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</si>
  <si>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</si>
  <si>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</si>
  <si>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</si>
  <si>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</si>
  <si>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</si>
  <si>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</si>
  <si>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</si>
  <si>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</si>
  <si>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</si>
  <si>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</si>
  <si>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</si>
  <si>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</si>
  <si>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</si>
  <si>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</si>
  <si>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</si>
  <si>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</si>
  <si>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</si>
  <si>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</si>
  <si>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</si>
  <si>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</si>
  <si>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</si>
  <si>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</si>
  <si>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</si>
  <si>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</si>
  <si>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</si>
  <si>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</si>
  <si>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</si>
  <si>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</si>
  <si>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</si>
  <si>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</si>
  <si>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</si>
  <si>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</si>
  <si>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</si>
  <si>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</si>
  <si>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</si>
  <si>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</si>
  <si>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</si>
  <si>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</si>
  <si>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</si>
  <si>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</si>
  <si>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</si>
  <si>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</si>
  <si>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</si>
  <si>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</si>
  <si>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</si>
  <si>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</si>
  <si>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</si>
  <si>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</si>
  <si>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</si>
  <si>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</si>
  <si>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</si>
  <si>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</si>
  <si>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</si>
  <si>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</si>
  <si>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</si>
  <si>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</si>
  <si>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</si>
  <si>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</si>
  <si>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</si>
  <si>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</si>
  <si>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</si>
  <si>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</si>
  <si>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</si>
  <si>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</si>
  <si>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</si>
  <si>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</si>
  <si>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</si>
  <si>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</si>
  <si>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</si>
  <si>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</si>
  <si>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</si>
  <si>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</si>
  <si>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</si>
  <si>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</si>
  <si>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</si>
  <si>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</si>
  <si>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</si>
  <si>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Notes:</t>
  </si>
  <si>
    <t>Diesel hybrids, gas and blended cars turned off</t>
  </si>
  <si>
    <t>(30 nov 2023)</t>
  </si>
  <si>
    <t>BEV and H2 HCVs and buses delayed to 2040</t>
  </si>
  <si>
    <t>H2 cars and SUVs delayed to 2035</t>
  </si>
  <si>
    <t>Actual data</t>
  </si>
  <si>
    <t>Quick fixes</t>
  </si>
  <si>
    <t>Cost assumptions for base vehicles also updated (see VehicleCostData2023)</t>
  </si>
  <si>
    <t>Cost ratios per tech relative to 2022</t>
  </si>
  <si>
    <t>Type</t>
  </si>
  <si>
    <t>Description</t>
  </si>
  <si>
    <t>Assumed constant real-term price trajectory</t>
  </si>
  <si>
    <t>HEV</t>
  </si>
  <si>
    <t>Assumed IEA trajectory:</t>
  </si>
  <si>
    <t>STEPS</t>
  </si>
  <si>
    <t>HGNF</t>
  </si>
  <si>
    <t>Assumed same trajectory as BEV:</t>
  </si>
  <si>
    <t>Cost Projections [2022 ZAR]</t>
  </si>
  <si>
    <t>Base year</t>
  </si>
  <si>
    <t>FOM COST%</t>
  </si>
  <si>
    <t>Process1</t>
  </si>
  <si>
    <t>Process2</t>
  </si>
  <si>
    <t>Process3</t>
  </si>
  <si>
    <t>Process4</t>
  </si>
  <si>
    <t>New</t>
  </si>
  <si>
    <t>Existing</t>
  </si>
  <si>
    <t>Assumption</t>
  </si>
  <si>
    <t xml:space="preserve">1 2020 ZAR = </t>
  </si>
  <si>
    <t>Vehicle class</t>
  </si>
  <si>
    <t>Technology</t>
  </si>
  <si>
    <t>2022 Cost [2022 ZAR]</t>
  </si>
  <si>
    <t xml:space="preserve">1 2020 USD = </t>
  </si>
  <si>
    <t>2022 USD</t>
  </si>
  <si>
    <t xml:space="preserve">2020 ZAR = </t>
  </si>
  <si>
    <t>1 2022 ZAR =</t>
  </si>
  <si>
    <t>(average monthly CPI Nov 22 - Oct 23)</t>
  </si>
  <si>
    <t>1 2022 USD =</t>
  </si>
  <si>
    <t>2023 USD</t>
  </si>
  <si>
    <t xml:space="preserve">1 2022 USD = </t>
  </si>
  <si>
    <t xml:space="preserve">2022 ZAR = </t>
  </si>
  <si>
    <t>New ICE Petrol Sedan</t>
  </si>
  <si>
    <t>median price of new ICE sedan/hatchbacks on cars.co.za on 7 Dec 2023</t>
  </si>
  <si>
    <t>lowest price of new ICE petrol sedan/hatchback on cars.co.za on 7 Dec 2023</t>
  </si>
  <si>
    <t>median price of new petrol HEV sedan/hatchbacks on cars.co.za on 7 Dec 2023</t>
  </si>
  <si>
    <t>Assume same price ratio for diesel/petrol HEVs as for ICEs</t>
  </si>
  <si>
    <t xml:space="preserve">Volv XC60 PHEV </t>
  </si>
  <si>
    <t>https://mybroadband.co.za/news/motoring/504690-most-affordable-hybrid-cars-in-south-africa-2.html</t>
  </si>
  <si>
    <t>Audi S7 TSFI Sportback quattro</t>
  </si>
  <si>
    <t>https://mybroadband.co.za/news/motoring/495651-electric-cars-with-the-best-range-in-south-africa.html</t>
  </si>
  <si>
    <t>https://businesstech.co.za/news/motoring/661995/all-the-full-electric-cars-you-can-buy-in-south-africa-with-pricing/</t>
  </si>
  <si>
    <t>BMW iX5 estimated at AUD 145k</t>
  </si>
  <si>
    <t>Turn off in model</t>
  </si>
  <si>
    <t xml:space="preserve">median price of new bike </t>
  </si>
  <si>
    <t>https://www.autotrader.co.za/bikes-for-sale?pagenumber=27&amp;sortorder=PriceLow&amp;isused=False&amp;priceoption=RetailPrice</t>
  </si>
  <si>
    <t>assume parity</t>
  </si>
  <si>
    <t>Median price for new petrol SUV</t>
  </si>
  <si>
    <t>https://www.cars.co.za/usedcars/?body_type_exact=SUV&amp;fuel_type=p&amp;new_or_used=New&amp;sort=price&amp;vehicle_axle_config=4X4|4X2&amp;P=65</t>
  </si>
  <si>
    <t>Median price for new diesel SUV</t>
  </si>
  <si>
    <t>https://www.cars.co.za/usedcars/?body_type_exact=SUV&amp;fuel_type=d&amp;new_or_used=New&amp;sort=price&amp;vehicle_axle_config=4X4|4X2&amp;P=13</t>
  </si>
  <si>
    <t>Median price for petrol HEV SUV</t>
  </si>
  <si>
    <t>Assume same PHEV/ICE ratio as for sedans</t>
  </si>
  <si>
    <t>Assume same ratio to H2/BEV for sedans</t>
  </si>
  <si>
    <t>New LPT Tata small truck in Gauteng</t>
  </si>
  <si>
    <t>JAC N55 EV (2.5t)</t>
  </si>
  <si>
    <t>USD (2022)</t>
  </si>
  <si>
    <t>Curve fitting</t>
  </si>
  <si>
    <t>ZAR (2022)</t>
  </si>
  <si>
    <t>Price per vehicle</t>
  </si>
  <si>
    <t>Linear learning rates</t>
  </si>
  <si>
    <t>IEA scen</t>
  </si>
  <si>
    <t>2010-2022</t>
  </si>
  <si>
    <t>2022-2030</t>
  </si>
  <si>
    <t>2030-2050</t>
  </si>
  <si>
    <t>STEPS-USD</t>
  </si>
  <si>
    <t>APS-USD</t>
  </si>
  <si>
    <t>NZE-USD</t>
  </si>
  <si>
    <t>APS</t>
  </si>
  <si>
    <t>NZE</t>
  </si>
  <si>
    <t>REPLACED BY COSTPROJECTIONS TAB</t>
  </si>
  <si>
    <t>EV TAX ADJUSTMENT</t>
  </si>
  <si>
    <t>Assume sales tax on vehicles</t>
  </si>
  <si>
    <t>Net reduction</t>
  </si>
  <si>
    <t>BEV costs in purple/yellow have been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</si>
</sst>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_-[$R-1C09]* #,##0.00_-;\-[$R-1C09]* #,##0.00_-;_-[$R-1C09]* &quot;-&quot;??_-;_-@_-"/>
    <numFmt numFmtId="193" formatCode="_-[$$-409]* #,##0.00_ ;_-[$$-409]* \-#,##0.00\ ;_-[$$-409]* &quot;-&quot;??_ ;_-@_ "/>
    <numFmt numFmtId="194" formatCode="_-[$$-409]* #,##0_ ;_-[$$-409]* \-#,##0\ ;_-[$$-409]* &quot;-&quot;??_ ;_-@_ "/>
  </numFmts>
  <fonts count="141"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11"/>
      <color rgb="FFFF0000"/>
      <name val="Calibri"/>
      <family val="2"/>
    </font>
    <font>
      <sz val="10"/>
      <color rgb="FFFF0066"/>
      <name val="Arial"/>
      <family val="2"/>
    </font>
    <font>
      <sz val="11"/>
      <color theme="0"/>
      <name val="Calibri"/>
      <family val="2"/>
      <scheme val="minor"/>
    </font>
    <font>
      <sz val="11"/>
      <color rgb="FFFF0066"/>
      <name val="Calibri"/>
      <family val="2"/>
      <scheme val="minor"/>
    </font>
    <font>
      <sz val="11"/>
      <name val="Calibri"/>
      <family val="2"/>
    </font>
    <font>
      <b/>
      <u/>
      <sz val="11"/>
      <color theme="1"/>
      <name val="Calibri"/>
      <family val="2"/>
    </font>
    <font>
      <b/>
      <sz val="11"/>
      <color rgb="FF7030A0"/>
      <name val="Calibri"/>
      <family val="2"/>
    </font>
    <font>
      <b/>
      <sz val="11"/>
      <color rgb="FFFFFF00"/>
      <name val="Calibri"/>
      <family val="2"/>
    </font>
  </fonts>
  <fills count="61">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rgb="FFFFC9DF"/>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rgb="FFFFC1DA"/>
        <bgColor indexed="64"/>
      </patternFill>
    </fill>
    <fill>
      <patternFill patternType="solid">
        <fgColor rgb="FFAFEAFF"/>
        <bgColor indexed="64"/>
      </patternFill>
    </fill>
    <fill>
      <patternFill patternType="solid">
        <fgColor rgb="FF92D050"/>
        <bgColor indexed="64"/>
      </patternFill>
    </fill>
    <fill>
      <patternFill patternType="solid">
        <fgColor rgb="FF7030A0"/>
        <bgColor indexed="64"/>
      </patternFill>
    </fill>
  </fills>
  <borders count="101">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medium">
        <color indexed="64"/>
      </left>
      <right style="medium">
        <color indexed="64"/>
      </right>
      <top style="thin">
        <color indexed="64"/>
      </top>
      <bottom style="medium">
        <color indexed="64"/>
      </bottom>
      <diagonal/>
    </border>
  </borders>
  <cellStyleXfs count="94">
    <xf numFmtId="165" fontId="0" fillId="0" borderId="0"/>
    <xf numFmtId="43" fontId="4" fillId="0" borderId="0" applyFont="0" applyFill="0" applyBorder="0" applyAlignment="0" applyProtection="0"/>
    <xf numFmtId="9" fontId="4" fillId="0" borderId="0" applyFont="0" applyFill="0" applyBorder="0" applyAlignment="0" applyProtection="0"/>
    <xf numFmtId="165" fontId="5" fillId="0" borderId="1" applyNumberFormat="0" applyFill="0" applyAlignment="0" applyProtection="0"/>
    <xf numFmtId="165" fontId="6" fillId="0" borderId="2" applyNumberFormat="0" applyFill="0" applyAlignment="0" applyProtection="0"/>
    <xf numFmtId="165" fontId="7" fillId="2" borderId="0" applyNumberFormat="0" applyBorder="0" applyAlignment="0" applyProtection="0"/>
    <xf numFmtId="165" fontId="35" fillId="3" borderId="0" applyNumberFormat="0" applyBorder="0" applyAlignment="0" applyProtection="0"/>
    <xf numFmtId="165" fontId="8" fillId="4" borderId="3" applyNumberFormat="0" applyAlignment="0" applyProtection="0"/>
    <xf numFmtId="165" fontId="9" fillId="5" borderId="4" applyNumberFormat="0" applyAlignment="0" applyProtection="0"/>
    <xf numFmtId="165" fontId="10" fillId="5" borderId="3" applyNumberFormat="0" applyAlignment="0" applyProtection="0"/>
    <xf numFmtId="165" fontId="4" fillId="6" borderId="5" applyNumberFormat="0" applyFont="0" applyAlignment="0" applyProtection="0"/>
    <xf numFmtId="165" fontId="4" fillId="7" borderId="0" applyNumberFormat="0" applyBorder="0" applyAlignment="0" applyProtection="0"/>
    <xf numFmtId="0" fontId="13" fillId="0" borderId="0"/>
    <xf numFmtId="165" fontId="15" fillId="0" borderId="0" applyNumberFormat="0" applyFill="0" applyBorder="0" applyAlignment="0" applyProtection="0">
      <alignment vertical="top"/>
      <protection locked="0"/>
    </xf>
    <xf numFmtId="43" fontId="13" fillId="0" borderId="0" applyFont="0" applyFill="0" applyBorder="0" applyAlignment="0" applyProtection="0"/>
    <xf numFmtId="0" fontId="13" fillId="0" borderId="0"/>
    <xf numFmtId="165" fontId="8" fillId="22" borderId="3" applyNumberFormat="0" applyAlignment="0" applyProtection="0"/>
    <xf numFmtId="165" fontId="4" fillId="0" borderId="0"/>
    <xf numFmtId="179" fontId="4" fillId="0" borderId="0" applyFont="0" applyFill="0" applyBorder="0" applyAlignment="0" applyProtection="0"/>
    <xf numFmtId="0" fontId="4" fillId="0" borderId="0"/>
    <xf numFmtId="0" fontId="4" fillId="0" borderId="0"/>
    <xf numFmtId="0" fontId="46" fillId="0" borderId="0"/>
    <xf numFmtId="165" fontId="13" fillId="0" borderId="0"/>
    <xf numFmtId="0" fontId="4" fillId="0" borderId="0"/>
    <xf numFmtId="9" fontId="46" fillId="0" borderId="0" applyFont="0" applyFill="0" applyBorder="0" applyAlignment="0" applyProtection="0"/>
    <xf numFmtId="0" fontId="4" fillId="0" borderId="0"/>
    <xf numFmtId="0" fontId="65" fillId="0" borderId="0"/>
    <xf numFmtId="0" fontId="46" fillId="0" borderId="0"/>
    <xf numFmtId="0" fontId="46" fillId="0" borderId="0"/>
    <xf numFmtId="0" fontId="46" fillId="0" borderId="0"/>
    <xf numFmtId="0" fontId="46" fillId="0" borderId="0"/>
    <xf numFmtId="0" fontId="46" fillId="0" borderId="0"/>
    <xf numFmtId="0" fontId="46" fillId="0" borderId="0"/>
    <xf numFmtId="9" fontId="65"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165" fontId="4" fillId="0" borderId="0"/>
    <xf numFmtId="183" fontId="74"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165" fontId="101" fillId="0" borderId="0" applyNumberFormat="0" applyFill="0" applyBorder="0" applyAlignment="0" applyProtection="0"/>
    <xf numFmtId="9" fontId="13" fillId="0" borderId="0" applyFont="0" applyFill="0" applyBorder="0" applyAlignment="0" applyProtection="0"/>
    <xf numFmtId="165" fontId="103" fillId="0" borderId="0" applyNumberFormat="0" applyFill="0" applyBorder="0" applyAlignment="0" applyProtection="0"/>
    <xf numFmtId="0" fontId="113" fillId="0" borderId="0"/>
    <xf numFmtId="0" fontId="113" fillId="0" borderId="0"/>
    <xf numFmtId="164" fontId="13" fillId="0" borderId="0" applyFont="0" applyFill="0" applyBorder="0" applyAlignment="0" applyProtection="0"/>
    <xf numFmtId="4" fontId="114" fillId="0" borderId="0" applyNumberFormat="0" applyFill="0" applyBorder="0" applyAlignment="0" applyProtection="0">
      <alignment horizontal="center"/>
    </xf>
    <xf numFmtId="165" fontId="100" fillId="47" borderId="0" applyNumberFormat="0" applyBorder="0" applyAlignment="0" applyProtection="0"/>
    <xf numFmtId="191" fontId="13" fillId="48" borderId="0" applyNumberFormat="0" applyFont="0" applyBorder="0" applyAlignment="0" applyProtection="0"/>
    <xf numFmtId="0" fontId="121" fillId="0" borderId="70" applyNumberFormat="0" applyFill="0" applyAlignment="0" applyProtection="0"/>
    <xf numFmtId="0" fontId="4" fillId="0" borderId="0"/>
    <xf numFmtId="0" fontId="3" fillId="0" borderId="0"/>
    <xf numFmtId="0" fontId="122" fillId="0" borderId="0" applyNumberFormat="0" applyFill="0" applyBorder="0" applyAlignment="0" applyProtection="0"/>
    <xf numFmtId="0" fontId="2" fillId="0" borderId="0"/>
  </cellStyleXfs>
  <cellXfs count="1011">
    <xf numFmtId="165" fontId="0" fillId="0" borderId="0" xfId="0"/>
    <xf numFmtId="0" fontId="13" fillId="0" borderId="0" xfId="12"/>
    <xf numFmtId="3" fontId="13" fillId="0" borderId="0" xfId="12" applyNumberFormat="1"/>
    <xf numFmtId="165" fontId="14" fillId="0" borderId="0" xfId="0" applyFont="1"/>
    <xf numFmtId="165" fontId="15" fillId="0" borderId="0" xfId="13" applyAlignment="1" applyProtection="1">
      <alignment horizontal="right"/>
    </xf>
    <xf numFmtId="1" fontId="13" fillId="0" borderId="0" xfId="12" applyNumberFormat="1"/>
    <xf numFmtId="9" fontId="13" fillId="0" borderId="0" xfId="2" applyFont="1"/>
    <xf numFmtId="1" fontId="0" fillId="0" borderId="0" xfId="0" applyNumberFormat="1"/>
    <xf numFmtId="0" fontId="16" fillId="0" borderId="0" xfId="12" applyFont="1"/>
    <xf numFmtId="2" fontId="13" fillId="0" borderId="0" xfId="12" applyNumberFormat="1"/>
    <xf numFmtId="49" fontId="13" fillId="0" borderId="0" xfId="12" applyNumberFormat="1"/>
    <xf numFmtId="43" fontId="0" fillId="0" borderId="0" xfId="14" applyFont="1"/>
    <xf numFmtId="166" fontId="17" fillId="8" borderId="0" xfId="12" applyNumberFormat="1" applyFont="1" applyFill="1"/>
    <xf numFmtId="0" fontId="13" fillId="9" borderId="0" xfId="12" applyFill="1"/>
    <xf numFmtId="166" fontId="17" fillId="10" borderId="0" xfId="12" applyNumberFormat="1" applyFont="1" applyFill="1"/>
    <xf numFmtId="0" fontId="17" fillId="9" borderId="0" xfId="12" applyFont="1" applyFill="1"/>
    <xf numFmtId="166" fontId="18" fillId="8" borderId="0" xfId="12" applyNumberFormat="1" applyFont="1" applyFill="1"/>
    <xf numFmtId="166" fontId="18" fillId="10" borderId="0" xfId="12" applyNumberFormat="1" applyFont="1" applyFill="1"/>
    <xf numFmtId="0" fontId="18" fillId="9" borderId="0" xfId="12" applyFont="1" applyFill="1"/>
    <xf numFmtId="166" fontId="13" fillId="8" borderId="0" xfId="12" applyNumberFormat="1" applyFill="1"/>
    <xf numFmtId="166" fontId="17" fillId="8" borderId="0" xfId="12" applyNumberFormat="1" applyFont="1" applyFill="1" applyAlignment="1">
      <alignment horizontal="right"/>
    </xf>
    <xf numFmtId="4" fontId="19" fillId="0" borderId="0" xfId="15" applyNumberFormat="1" applyFont="1"/>
    <xf numFmtId="43" fontId="13" fillId="0" borderId="0" xfId="12" applyNumberFormat="1"/>
    <xf numFmtId="166" fontId="20" fillId="11" borderId="0" xfId="12" applyNumberFormat="1" applyFont="1" applyFill="1"/>
    <xf numFmtId="0" fontId="21" fillId="9" borderId="0" xfId="12" applyFont="1" applyFill="1" applyAlignment="1">
      <alignment horizontal="left" indent="1"/>
    </xf>
    <xf numFmtId="166" fontId="17" fillId="11" borderId="0" xfId="12" applyNumberFormat="1" applyFont="1" applyFill="1"/>
    <xf numFmtId="0" fontId="21" fillId="9" borderId="0" xfId="12" applyFont="1" applyFill="1" applyAlignment="1">
      <alignment horizontal="left" indent="2"/>
    </xf>
    <xf numFmtId="3" fontId="19" fillId="0" borderId="0" xfId="15" applyNumberFormat="1" applyFont="1"/>
    <xf numFmtId="166" fontId="22" fillId="8" borderId="0" xfId="12" applyNumberFormat="1" applyFont="1" applyFill="1"/>
    <xf numFmtId="166" fontId="22" fillId="10" borderId="0" xfId="12" applyNumberFormat="1" applyFont="1" applyFill="1"/>
    <xf numFmtId="166" fontId="13" fillId="0" borderId="0" xfId="12" applyNumberFormat="1"/>
    <xf numFmtId="166" fontId="23" fillId="10" borderId="0" xfId="12" applyNumberFormat="1" applyFont="1" applyFill="1" applyAlignment="1">
      <alignment horizontal="left"/>
    </xf>
    <xf numFmtId="166" fontId="24" fillId="10" borderId="0" xfId="12" applyNumberFormat="1" applyFont="1" applyFill="1" applyAlignment="1">
      <alignment horizontal="left"/>
    </xf>
    <xf numFmtId="1" fontId="18" fillId="10" borderId="0" xfId="12" applyNumberFormat="1" applyFont="1" applyFill="1" applyAlignment="1">
      <alignment horizontal="center"/>
    </xf>
    <xf numFmtId="2" fontId="23" fillId="12" borderId="0" xfId="12" applyNumberFormat="1" applyFont="1" applyFill="1" applyAlignment="1">
      <alignment horizontal="left"/>
    </xf>
    <xf numFmtId="2" fontId="23" fillId="13" borderId="0" xfId="12" applyNumberFormat="1" applyFont="1" applyFill="1" applyAlignment="1">
      <alignment horizontal="left"/>
    </xf>
    <xf numFmtId="2" fontId="23" fillId="14" borderId="0" xfId="12" applyNumberFormat="1" applyFont="1" applyFill="1" applyAlignment="1">
      <alignment horizontal="left"/>
    </xf>
    <xf numFmtId="2" fontId="23" fillId="15" borderId="0" xfId="12" applyNumberFormat="1" applyFont="1" applyFill="1" applyAlignment="1">
      <alignment horizontal="left"/>
    </xf>
    <xf numFmtId="2" fontId="23" fillId="16" borderId="0" xfId="12" applyNumberFormat="1" applyFont="1" applyFill="1" applyAlignment="1">
      <alignment horizontal="left"/>
    </xf>
    <xf numFmtId="2" fontId="23" fillId="17" borderId="0" xfId="12" applyNumberFormat="1" applyFont="1" applyFill="1" applyAlignment="1">
      <alignment horizontal="left"/>
    </xf>
    <xf numFmtId="2" fontId="23"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8" fillId="21" borderId="0" xfId="12" applyFont="1" applyFill="1" applyAlignment="1">
      <alignment horizontal="center"/>
    </xf>
    <xf numFmtId="2" fontId="18" fillId="12" borderId="0" xfId="12" applyNumberFormat="1" applyFont="1" applyFill="1" applyAlignment="1">
      <alignment horizontal="left"/>
    </xf>
    <xf numFmtId="2" fontId="18" fillId="13" borderId="0" xfId="12" applyNumberFormat="1" applyFont="1" applyFill="1" applyAlignment="1">
      <alignment horizontal="left"/>
    </xf>
    <xf numFmtId="2" fontId="18" fillId="14" borderId="0" xfId="12" applyNumberFormat="1" applyFont="1" applyFill="1" applyAlignment="1">
      <alignment horizontal="left"/>
    </xf>
    <xf numFmtId="2" fontId="18" fillId="15" borderId="0" xfId="12" applyNumberFormat="1" applyFont="1" applyFill="1" applyAlignment="1">
      <alignment horizontal="left"/>
    </xf>
    <xf numFmtId="2" fontId="18" fillId="16" borderId="0" xfId="12" applyNumberFormat="1" applyFont="1" applyFill="1" applyAlignment="1">
      <alignment horizontal="left"/>
    </xf>
    <xf numFmtId="2" fontId="18" fillId="17" borderId="0" xfId="12" applyNumberFormat="1" applyFont="1" applyFill="1" applyAlignment="1">
      <alignment horizontal="left"/>
    </xf>
    <xf numFmtId="2" fontId="18" fillId="18" borderId="0" xfId="12" applyNumberFormat="1" applyFont="1" applyFill="1" applyAlignment="1">
      <alignment horizontal="left"/>
    </xf>
    <xf numFmtId="2" fontId="25" fillId="19" borderId="0" xfId="12" applyNumberFormat="1" applyFont="1" applyFill="1" applyAlignment="1">
      <alignment horizontal="left"/>
    </xf>
    <xf numFmtId="2" fontId="25" fillId="20" borderId="0" xfId="12" applyNumberFormat="1" applyFont="1" applyFill="1" applyAlignment="1">
      <alignment horizontal="left"/>
    </xf>
    <xf numFmtId="0" fontId="17" fillId="21" borderId="0" xfId="12" applyFont="1" applyFill="1"/>
    <xf numFmtId="2" fontId="25" fillId="12" borderId="0" xfId="12" applyNumberFormat="1" applyFont="1" applyFill="1" applyAlignment="1">
      <alignment horizontal="left"/>
    </xf>
    <xf numFmtId="0" fontId="26" fillId="21" borderId="0" xfId="12" applyFont="1" applyFill="1"/>
    <xf numFmtId="0" fontId="27" fillId="0" borderId="0" xfId="12" applyFont="1" applyAlignment="1">
      <alignment wrapText="1"/>
    </xf>
    <xf numFmtId="0" fontId="27" fillId="0" borderId="0" xfId="12" applyFont="1" applyAlignment="1">
      <alignment vertical="center" wrapText="1"/>
    </xf>
    <xf numFmtId="0" fontId="17" fillId="17" borderId="0" xfId="12" applyFont="1" applyFill="1"/>
    <xf numFmtId="0" fontId="13" fillId="17" borderId="0" xfId="12" applyFill="1"/>
    <xf numFmtId="0" fontId="28"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2" fillId="0" borderId="0" xfId="0" applyNumberFormat="1" applyFont="1"/>
    <xf numFmtId="165" fontId="15" fillId="0" borderId="0" xfId="13" applyAlignment="1" applyProtection="1"/>
    <xf numFmtId="2" fontId="0" fillId="0" borderId="0" xfId="0" applyNumberFormat="1"/>
    <xf numFmtId="167" fontId="12" fillId="7" borderId="4" xfId="11" applyNumberFormat="1" applyFont="1" applyBorder="1"/>
    <xf numFmtId="165" fontId="12" fillId="0" borderId="0" xfId="0" applyFont="1"/>
    <xf numFmtId="167" fontId="9" fillId="5" borderId="4" xfId="8" applyNumberFormat="1"/>
    <xf numFmtId="2" fontId="8" fillId="4" borderId="3" xfId="7" applyNumberFormat="1"/>
    <xf numFmtId="2" fontId="9"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8" fillId="22" borderId="3" xfId="16" applyNumberFormat="1"/>
    <xf numFmtId="2" fontId="8" fillId="23" borderId="3" xfId="16" applyNumberFormat="1" applyFill="1"/>
    <xf numFmtId="2" fontId="7" fillId="0" borderId="0" xfId="5" applyNumberFormat="1" applyFill="1"/>
    <xf numFmtId="169" fontId="0" fillId="0" borderId="0" xfId="0" applyNumberFormat="1"/>
    <xf numFmtId="9" fontId="8" fillId="22" borderId="3" xfId="16" applyNumberFormat="1"/>
    <xf numFmtId="169" fontId="8" fillId="23" borderId="3" xfId="7" applyNumberFormat="1" applyFill="1"/>
    <xf numFmtId="169" fontId="8" fillId="4" borderId="3" xfId="7" applyNumberFormat="1"/>
    <xf numFmtId="9" fontId="8" fillId="23" borderId="3" xfId="7" applyNumberFormat="1" applyFill="1"/>
    <xf numFmtId="9" fontId="8" fillId="4" borderId="3" xfId="7" applyNumberFormat="1"/>
    <xf numFmtId="3" fontId="0" fillId="0" borderId="0" xfId="0" applyNumberFormat="1"/>
    <xf numFmtId="1" fontId="8" fillId="23" borderId="3" xfId="7" applyNumberFormat="1" applyFill="1"/>
    <xf numFmtId="1" fontId="8" fillId="4" borderId="3" xfId="7" applyNumberFormat="1"/>
    <xf numFmtId="2" fontId="8" fillId="23" borderId="3" xfId="7" applyNumberFormat="1" applyFill="1"/>
    <xf numFmtId="43" fontId="0" fillId="0" borderId="0" xfId="0" applyNumberFormat="1"/>
    <xf numFmtId="9" fontId="8" fillId="0" borderId="3" xfId="2" applyFont="1" applyFill="1" applyBorder="1"/>
    <xf numFmtId="167" fontId="8" fillId="23" borderId="3" xfId="7" applyNumberFormat="1" applyFill="1"/>
    <xf numFmtId="9" fontId="0" fillId="6" borderId="5" xfId="10" applyNumberFormat="1" applyFont="1"/>
    <xf numFmtId="1" fontId="0" fillId="0" borderId="0" xfId="2" applyNumberFormat="1" applyFont="1"/>
    <xf numFmtId="2" fontId="12" fillId="0" borderId="0" xfId="0" applyNumberFormat="1" applyFont="1"/>
    <xf numFmtId="168" fontId="8" fillId="4" borderId="3" xfId="7" applyNumberFormat="1"/>
    <xf numFmtId="9" fontId="7" fillId="2" borderId="3" xfId="5" applyNumberFormat="1" applyBorder="1"/>
    <xf numFmtId="0" fontId="8" fillId="4" borderId="3" xfId="7" applyNumberFormat="1"/>
    <xf numFmtId="165" fontId="33" fillId="0" borderId="0" xfId="0" applyFont="1" applyAlignment="1">
      <alignment horizontal="justify" wrapText="1"/>
    </xf>
    <xf numFmtId="10" fontId="0" fillId="0" borderId="0" xfId="2" applyNumberFormat="1" applyFont="1"/>
    <xf numFmtId="43" fontId="7"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1" fillId="24" borderId="0" xfId="0" applyFont="1" applyFill="1"/>
    <xf numFmtId="2" fontId="11" fillId="24" borderId="0" xfId="0" applyNumberFormat="1" applyFont="1" applyFill="1"/>
    <xf numFmtId="2" fontId="7" fillId="0" borderId="0" xfId="5" applyNumberFormat="1" applyFill="1" applyBorder="1"/>
    <xf numFmtId="9" fontId="11" fillId="24" borderId="0" xfId="2" applyFont="1" applyFill="1"/>
    <xf numFmtId="43" fontId="0" fillId="0" borderId="0" xfId="1" applyFont="1" applyBorder="1"/>
    <xf numFmtId="172" fontId="20" fillId="11" borderId="0" xfId="12" applyNumberFormat="1" applyFont="1" applyFill="1"/>
    <xf numFmtId="172" fontId="17" fillId="0" borderId="0" xfId="12" applyNumberFormat="1" applyFont="1"/>
    <xf numFmtId="2" fontId="7" fillId="0" borderId="6" xfId="5" applyNumberFormat="1" applyFill="1" applyBorder="1"/>
    <xf numFmtId="165" fontId="0" fillId="0" borderId="7" xfId="0" applyBorder="1"/>
    <xf numFmtId="165" fontId="7" fillId="0" borderId="8" xfId="5" applyFill="1" applyBorder="1"/>
    <xf numFmtId="165" fontId="7" fillId="0" borderId="9" xfId="5" applyFill="1" applyBorder="1"/>
    <xf numFmtId="172" fontId="20" fillId="11" borderId="10" xfId="12" applyNumberFormat="1" applyFont="1" applyFill="1" applyBorder="1"/>
    <xf numFmtId="172" fontId="17"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7" fillId="11" borderId="15" xfId="12" applyNumberFormat="1" applyFont="1" applyFill="1" applyBorder="1"/>
    <xf numFmtId="172" fontId="17"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4" fillId="26" borderId="16" xfId="0" applyNumberFormat="1" applyFont="1" applyFill="1" applyBorder="1" applyAlignment="1">
      <alignment horizontal="center"/>
    </xf>
    <xf numFmtId="173" fontId="20" fillId="11" borderId="15" xfId="12" applyNumberFormat="1" applyFont="1" applyFill="1" applyBorder="1"/>
    <xf numFmtId="1" fontId="0" fillId="25" borderId="16" xfId="0" applyNumberFormat="1" applyFill="1" applyBorder="1" applyAlignment="1">
      <alignment horizontal="center"/>
    </xf>
    <xf numFmtId="173" fontId="17" fillId="8" borderId="15" xfId="12" applyNumberFormat="1" applyFont="1" applyFill="1" applyBorder="1"/>
    <xf numFmtId="172" fontId="17" fillId="8" borderId="0" xfId="12" applyNumberFormat="1" applyFont="1" applyFill="1"/>
    <xf numFmtId="172" fontId="17" fillId="8" borderId="15" xfId="12" applyNumberFormat="1" applyFont="1" applyFill="1" applyBorder="1"/>
    <xf numFmtId="43" fontId="0" fillId="0" borderId="14" xfId="0" applyNumberFormat="1" applyBorder="1"/>
    <xf numFmtId="173" fontId="17" fillId="0" borderId="15" xfId="12" applyNumberFormat="1" applyFont="1" applyBorder="1"/>
    <xf numFmtId="167" fontId="12" fillId="0" borderId="16" xfId="2" applyNumberFormat="1" applyFont="1" applyBorder="1"/>
    <xf numFmtId="172" fontId="17" fillId="11" borderId="15" xfId="12" applyNumberFormat="1" applyFont="1" applyFill="1" applyBorder="1"/>
    <xf numFmtId="3" fontId="35" fillId="3" borderId="0" xfId="6" applyNumberFormat="1"/>
    <xf numFmtId="166" fontId="17" fillId="0" borderId="0" xfId="12" applyNumberFormat="1" applyFont="1"/>
    <xf numFmtId="4" fontId="35" fillId="3" borderId="0" xfId="6" applyNumberFormat="1"/>
    <xf numFmtId="167" fontId="12" fillId="27" borderId="16" xfId="2" applyNumberFormat="1" applyFont="1" applyFill="1" applyBorder="1"/>
    <xf numFmtId="165" fontId="0" fillId="0" borderId="0" xfId="0" applyAlignment="1">
      <alignment horizontal="right"/>
    </xf>
    <xf numFmtId="172" fontId="17" fillId="11" borderId="0" xfId="12" applyNumberFormat="1" applyFont="1" applyFill="1"/>
    <xf numFmtId="174" fontId="7" fillId="2" borderId="0" xfId="5" applyNumberFormat="1"/>
    <xf numFmtId="167" fontId="17" fillId="11" borderId="0" xfId="2" applyNumberFormat="1" applyFont="1" applyFill="1"/>
    <xf numFmtId="170" fontId="0" fillId="0" borderId="0" xfId="1" applyNumberFormat="1" applyFont="1" applyFill="1" applyBorder="1"/>
    <xf numFmtId="169" fontId="35" fillId="0" borderId="0" xfId="6" applyNumberFormat="1" applyFill="1"/>
    <xf numFmtId="9" fontId="17" fillId="11" borderId="0" xfId="2" applyFont="1" applyFill="1"/>
    <xf numFmtId="9" fontId="17" fillId="0" borderId="0" xfId="2" applyFont="1" applyFill="1"/>
    <xf numFmtId="174" fontId="17" fillId="0" borderId="0" xfId="12" applyNumberFormat="1" applyFont="1"/>
    <xf numFmtId="167" fontId="17" fillId="0" borderId="15" xfId="2" applyNumberFormat="1" applyFont="1" applyFill="1" applyBorder="1"/>
    <xf numFmtId="167" fontId="17" fillId="8" borderId="15" xfId="2" applyNumberFormat="1" applyFont="1" applyFill="1" applyBorder="1"/>
    <xf numFmtId="167" fontId="17" fillId="0" borderId="0" xfId="2" applyNumberFormat="1" applyFont="1" applyFill="1"/>
    <xf numFmtId="172" fontId="10" fillId="5" borderId="3" xfId="9" applyNumberFormat="1"/>
    <xf numFmtId="165" fontId="10"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7" fillId="8" borderId="22" xfId="12" applyNumberFormat="1" applyFont="1" applyFill="1" applyBorder="1"/>
    <xf numFmtId="165" fontId="35" fillId="3" borderId="0" xfId="6" applyNumberFormat="1"/>
    <xf numFmtId="165" fontId="35" fillId="3" borderId="0" xfId="6"/>
    <xf numFmtId="165" fontId="36" fillId="24" borderId="0" xfId="0" applyFont="1" applyFill="1"/>
    <xf numFmtId="0" fontId="41"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1"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1" fillId="0" borderId="0" xfId="1" applyNumberFormat="1" applyFont="1" applyFill="1"/>
    <xf numFmtId="168" fontId="11" fillId="0" borderId="0" xfId="2" applyNumberFormat="1" applyFont="1" applyFill="1"/>
    <xf numFmtId="165" fontId="11" fillId="0" borderId="0" xfId="0" applyFont="1"/>
    <xf numFmtId="0" fontId="0" fillId="0" borderId="0" xfId="2" applyNumberFormat="1" applyFont="1" applyFill="1"/>
    <xf numFmtId="0" fontId="8"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8" fillId="0" borderId="36" xfId="7" applyNumberFormat="1" applyFill="1" applyBorder="1"/>
    <xf numFmtId="0" fontId="8" fillId="0" borderId="37" xfId="7" applyNumberFormat="1" applyFill="1" applyBorder="1"/>
    <xf numFmtId="0" fontId="8"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8"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6" fillId="0" borderId="0" xfId="4" applyNumberFormat="1" applyFill="1" applyBorder="1"/>
    <xf numFmtId="0" fontId="6" fillId="0" borderId="2" xfId="4" applyNumberFormat="1" applyFill="1"/>
    <xf numFmtId="0" fontId="42"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3"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4" fillId="0" borderId="0" xfId="19" applyNumberFormat="1"/>
    <xf numFmtId="2" fontId="4" fillId="0" borderId="0" xfId="20" applyNumberFormat="1"/>
    <xf numFmtId="2" fontId="11" fillId="0" borderId="0" xfId="19" applyNumberFormat="1" applyFont="1"/>
    <xf numFmtId="1" fontId="11" fillId="0" borderId="0" xfId="1" applyNumberFormat="1" applyFont="1" applyFill="1"/>
    <xf numFmtId="10" fontId="0" fillId="0" borderId="0" xfId="2" applyNumberFormat="1" applyFont="1" applyFill="1"/>
    <xf numFmtId="171" fontId="0" fillId="0" borderId="0" xfId="18" applyNumberFormat="1" applyFont="1" applyFill="1"/>
    <xf numFmtId="0" fontId="4"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2" fillId="0" borderId="0" xfId="0" applyNumberFormat="1" applyFont="1" applyAlignment="1">
      <alignment wrapText="1"/>
    </xf>
    <xf numFmtId="0" fontId="11" fillId="23" borderId="0" xfId="0" applyNumberFormat="1" applyFont="1" applyFill="1"/>
    <xf numFmtId="0" fontId="6" fillId="0" borderId="2" xfId="4" applyNumberFormat="1"/>
    <xf numFmtId="180" fontId="0" fillId="0" borderId="0" xfId="0" applyNumberFormat="1"/>
    <xf numFmtId="0" fontId="5" fillId="0" borderId="1" xfId="3" applyNumberFormat="1"/>
    <xf numFmtId="0" fontId="8" fillId="6" borderId="16" xfId="10" applyNumberFormat="1" applyFont="1" applyBorder="1" applyAlignment="1">
      <alignment horizontal="right"/>
    </xf>
    <xf numFmtId="0" fontId="12" fillId="23" borderId="16" xfId="0" applyNumberFormat="1" applyFont="1" applyFill="1" applyBorder="1"/>
    <xf numFmtId="0" fontId="0" fillId="23" borderId="43" xfId="0" applyNumberFormat="1" applyFill="1" applyBorder="1" applyAlignment="1">
      <alignment horizontal="center"/>
    </xf>
    <xf numFmtId="0" fontId="8"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8"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5" fillId="0" borderId="0" xfId="0" applyFont="1" applyAlignment="1">
      <alignment horizontal="left" vertical="center"/>
    </xf>
    <xf numFmtId="0" fontId="0" fillId="0" borderId="0" xfId="2" applyNumberFormat="1" applyFont="1" applyAlignment="1">
      <alignment horizontal="center" vertical="center"/>
    </xf>
    <xf numFmtId="0" fontId="8" fillId="6" borderId="46" xfId="10" applyNumberFormat="1" applyFont="1" applyBorder="1" applyAlignment="1">
      <alignment horizontal="center"/>
    </xf>
    <xf numFmtId="0" fontId="8" fillId="31" borderId="47" xfId="7" applyNumberFormat="1" applyFill="1" applyBorder="1" applyAlignment="1">
      <alignment horizontal="center"/>
    </xf>
    <xf numFmtId="0" fontId="8" fillId="6" borderId="48" xfId="10" applyNumberFormat="1" applyFont="1" applyBorder="1" applyAlignment="1">
      <alignment horizontal="center"/>
    </xf>
    <xf numFmtId="0" fontId="8" fillId="6" borderId="49" xfId="10" applyNumberFormat="1" applyFont="1" applyBorder="1" applyAlignment="1">
      <alignment horizontal="center"/>
    </xf>
    <xf numFmtId="0" fontId="8"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7"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7" fillId="0" borderId="0" xfId="21" applyFont="1" applyAlignment="1">
      <alignment horizontal="left" vertical="top"/>
    </xf>
    <xf numFmtId="0" fontId="34" fillId="0" borderId="0" xfId="22" applyNumberFormat="1" applyFont="1"/>
    <xf numFmtId="0" fontId="48" fillId="0" borderId="0" xfId="0" applyNumberFormat="1" applyFont="1"/>
    <xf numFmtId="165" fontId="49" fillId="0" borderId="0" xfId="0" applyFont="1" applyAlignment="1">
      <alignment horizontal="left" vertical="center" indent="12"/>
    </xf>
    <xf numFmtId="0" fontId="51" fillId="0" borderId="54" xfId="23" applyFont="1" applyBorder="1" applyAlignment="1">
      <alignment vertical="center" wrapText="1"/>
    </xf>
    <xf numFmtId="1" fontId="51" fillId="0" borderId="55" xfId="23" applyNumberFormat="1" applyFont="1" applyBorder="1" applyAlignment="1">
      <alignment horizontal="center" vertical="center" wrapText="1"/>
    </xf>
    <xf numFmtId="10" fontId="52" fillId="0" borderId="55" xfId="23" applyNumberFormat="1" applyFont="1" applyBorder="1" applyAlignment="1">
      <alignment horizontal="center" vertical="center" wrapText="1"/>
    </xf>
    <xf numFmtId="169" fontId="48" fillId="0" borderId="0" xfId="0" applyNumberFormat="1" applyFont="1"/>
    <xf numFmtId="0" fontId="51" fillId="0" borderId="56" xfId="23" applyFont="1" applyBorder="1" applyAlignment="1">
      <alignment vertical="center" wrapText="1"/>
    </xf>
    <xf numFmtId="1" fontId="51" fillId="0" borderId="57" xfId="23" applyNumberFormat="1" applyFont="1" applyBorder="1" applyAlignment="1">
      <alignment horizontal="center" vertical="center" wrapText="1"/>
    </xf>
    <xf numFmtId="0" fontId="52" fillId="0" borderId="56" xfId="23" applyFont="1" applyBorder="1" applyAlignment="1">
      <alignment vertical="center" wrapText="1"/>
    </xf>
    <xf numFmtId="1" fontId="52" fillId="0" borderId="57" xfId="23" applyNumberFormat="1" applyFont="1" applyBorder="1" applyAlignment="1">
      <alignment horizontal="left" vertical="center" wrapText="1" indent="1"/>
    </xf>
    <xf numFmtId="10" fontId="52" fillId="0" borderId="57" xfId="23" applyNumberFormat="1" applyFont="1" applyBorder="1" applyAlignment="1">
      <alignment horizontal="left" vertical="center" wrapText="1" indent="1"/>
    </xf>
    <xf numFmtId="0" fontId="53" fillId="0" borderId="58" xfId="23" applyFont="1" applyBorder="1" applyAlignment="1">
      <alignment vertical="center" wrapText="1"/>
    </xf>
    <xf numFmtId="0" fontId="53" fillId="0" borderId="59" xfId="23" applyFont="1" applyBorder="1" applyAlignment="1">
      <alignment vertical="center" wrapText="1"/>
    </xf>
    <xf numFmtId="0" fontId="53" fillId="0" borderId="55" xfId="23" applyFont="1" applyBorder="1" applyAlignment="1">
      <alignment vertical="center" wrapText="1"/>
    </xf>
    <xf numFmtId="10" fontId="0" fillId="0" borderId="0" xfId="0" applyNumberFormat="1"/>
    <xf numFmtId="1" fontId="11" fillId="0" borderId="0" xfId="0" applyNumberFormat="1" applyFont="1"/>
    <xf numFmtId="2" fontId="0" fillId="0" borderId="42" xfId="0" applyNumberFormat="1" applyBorder="1"/>
    <xf numFmtId="9" fontId="0" fillId="0" borderId="42" xfId="2" applyFont="1" applyBorder="1"/>
    <xf numFmtId="165" fontId="54" fillId="0" borderId="60" xfId="0" applyFont="1" applyBorder="1" applyAlignment="1">
      <alignment vertical="center" wrapText="1"/>
    </xf>
    <xf numFmtId="165" fontId="55" fillId="0" borderId="61" xfId="0" applyFont="1" applyBorder="1" applyAlignment="1">
      <alignment horizontal="center" vertical="center" wrapText="1"/>
    </xf>
    <xf numFmtId="165" fontId="55" fillId="0" borderId="61" xfId="0" applyFont="1" applyBorder="1" applyAlignment="1">
      <alignment horizontal="left" vertical="center" wrapText="1" indent="3"/>
    </xf>
    <xf numFmtId="165" fontId="55" fillId="0" borderId="56" xfId="0" applyFont="1" applyBorder="1" applyAlignment="1">
      <alignment horizontal="center" vertical="center" wrapText="1"/>
    </xf>
    <xf numFmtId="165" fontId="55" fillId="0" borderId="57" xfId="0" applyFont="1" applyBorder="1" applyAlignment="1">
      <alignment horizontal="center" vertical="center" wrapText="1"/>
    </xf>
    <xf numFmtId="165" fontId="55" fillId="0" borderId="57" xfId="0" applyFont="1" applyBorder="1" applyAlignment="1">
      <alignment horizontal="left" vertical="center" wrapText="1" indent="2"/>
    </xf>
    <xf numFmtId="165" fontId="55"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4" fillId="0" borderId="56" xfId="0" applyFont="1" applyBorder="1" applyAlignment="1">
      <alignment vertical="center" wrapText="1"/>
    </xf>
    <xf numFmtId="1" fontId="54" fillId="0" borderId="57" xfId="0" applyNumberFormat="1"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7" xfId="0" applyFont="1" applyBorder="1" applyAlignment="1">
      <alignment vertical="center" wrapText="1"/>
    </xf>
    <xf numFmtId="1" fontId="54" fillId="0" borderId="60" xfId="0" applyNumberFormat="1" applyFont="1" applyBorder="1" applyAlignment="1">
      <alignment vertical="center" wrapText="1"/>
    </xf>
    <xf numFmtId="1" fontId="56" fillId="34" borderId="16" xfId="0" applyNumberFormat="1" applyFont="1" applyFill="1" applyBorder="1"/>
    <xf numFmtId="165" fontId="55"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7" fillId="35" borderId="51" xfId="0" applyFont="1" applyFill="1" applyBorder="1"/>
    <xf numFmtId="165" fontId="58" fillId="35" borderId="52" xfId="0" applyFont="1" applyFill="1" applyBorder="1"/>
    <xf numFmtId="165" fontId="59" fillId="35" borderId="52" xfId="0" applyFont="1" applyFill="1" applyBorder="1"/>
    <xf numFmtId="165" fontId="58" fillId="35" borderId="53" xfId="0" applyFont="1" applyFill="1" applyBorder="1"/>
    <xf numFmtId="165" fontId="56" fillId="34" borderId="16" xfId="0" applyFont="1" applyFill="1" applyBorder="1"/>
    <xf numFmtId="165" fontId="47" fillId="0" borderId="16" xfId="0" applyFont="1" applyBorder="1" applyAlignment="1">
      <alignment horizontal="left" vertical="top"/>
    </xf>
    <xf numFmtId="181" fontId="0" fillId="33" borderId="16" xfId="0" applyNumberFormat="1" applyFill="1" applyBorder="1"/>
    <xf numFmtId="165" fontId="55" fillId="0" borderId="56" xfId="0" applyFont="1" applyBorder="1" applyAlignment="1">
      <alignment horizontal="left" vertical="center" wrapText="1" indent="4"/>
    </xf>
    <xf numFmtId="165" fontId="54" fillId="0" borderId="0" xfId="0" applyFont="1" applyAlignment="1">
      <alignment vertical="center" wrapText="1"/>
    </xf>
    <xf numFmtId="1" fontId="54" fillId="0" borderId="0" xfId="0" applyNumberFormat="1" applyFont="1" applyAlignment="1">
      <alignment horizontal="center" vertical="center" wrapText="1"/>
    </xf>
    <xf numFmtId="165" fontId="54" fillId="0" borderId="0" xfId="0" applyFont="1" applyAlignment="1">
      <alignment horizontal="left" vertical="center" wrapText="1" indent="2"/>
    </xf>
    <xf numFmtId="165" fontId="60" fillId="0" borderId="16" xfId="0" applyFont="1" applyBorder="1" applyAlignment="1">
      <alignment horizontal="left" vertical="top"/>
    </xf>
    <xf numFmtId="181" fontId="61" fillId="33" borderId="16" xfId="0" applyNumberFormat="1" applyFont="1" applyFill="1" applyBorder="1"/>
    <xf numFmtId="165" fontId="62" fillId="31" borderId="16" xfId="0" applyFont="1" applyFill="1" applyBorder="1" applyProtection="1">
      <protection locked="0"/>
    </xf>
    <xf numFmtId="165" fontId="63" fillId="33" borderId="0" xfId="0" applyFont="1" applyFill="1"/>
    <xf numFmtId="165" fontId="0" fillId="33" borderId="0" xfId="0" applyFill="1"/>
    <xf numFmtId="4" fontId="0" fillId="33" borderId="16" xfId="0" applyNumberFormat="1" applyFill="1" applyBorder="1"/>
    <xf numFmtId="4" fontId="61" fillId="0" borderId="16" xfId="0" applyNumberFormat="1" applyFont="1" applyBorder="1"/>
    <xf numFmtId="165" fontId="64" fillId="33" borderId="0" xfId="0" applyFont="1" applyFill="1"/>
    <xf numFmtId="10" fontId="64" fillId="33" borderId="0" xfId="24" applyNumberFormat="1" applyFont="1" applyFill="1"/>
    <xf numFmtId="9" fontId="0" fillId="36" borderId="0" xfId="2" applyFont="1" applyFill="1"/>
    <xf numFmtId="0" fontId="0" fillId="0" borderId="0" xfId="25" applyFont="1"/>
    <xf numFmtId="0" fontId="4" fillId="0" borderId="0" xfId="25"/>
    <xf numFmtId="11" fontId="0" fillId="0" borderId="0" xfId="0" applyNumberFormat="1"/>
    <xf numFmtId="9" fontId="0" fillId="36" borderId="0" xfId="0" applyNumberFormat="1" applyFill="1"/>
    <xf numFmtId="0" fontId="0" fillId="36" borderId="0" xfId="0" applyNumberFormat="1" applyFill="1"/>
    <xf numFmtId="0" fontId="65" fillId="0" borderId="0" xfId="26" applyAlignment="1">
      <alignment horizontal="left" vertical="top"/>
    </xf>
    <xf numFmtId="0" fontId="66" fillId="0" borderId="0" xfId="26" applyFont="1" applyAlignment="1">
      <alignment horizontal="left" vertical="top"/>
    </xf>
    <xf numFmtId="4" fontId="46" fillId="0" borderId="51" xfId="27" applyNumberFormat="1" applyBorder="1"/>
    <xf numFmtId="4" fontId="46" fillId="0" borderId="51" xfId="28" applyNumberFormat="1" applyBorder="1"/>
    <xf numFmtId="4" fontId="46" fillId="0" borderId="51" xfId="29" applyNumberFormat="1" applyBorder="1"/>
    <xf numFmtId="4" fontId="46" fillId="0" borderId="51" xfId="30" applyNumberFormat="1" applyBorder="1"/>
    <xf numFmtId="4" fontId="46" fillId="0" borderId="51" xfId="31" applyNumberFormat="1" applyBorder="1"/>
    <xf numFmtId="0" fontId="62" fillId="0" borderId="16" xfId="32" applyFont="1" applyBorder="1"/>
    <xf numFmtId="2" fontId="0" fillId="0" borderId="0" xfId="33" applyNumberFormat="1" applyFont="1" applyFill="1" applyBorder="1" applyAlignment="1">
      <alignment horizontal="left" vertical="top"/>
    </xf>
    <xf numFmtId="181" fontId="61" fillId="0" borderId="51" xfId="34" applyNumberFormat="1" applyFont="1" applyBorder="1"/>
    <xf numFmtId="181" fontId="67" fillId="0" borderId="51" xfId="21" applyNumberFormat="1" applyFont="1" applyBorder="1"/>
    <xf numFmtId="181" fontId="61" fillId="0" borderId="51" xfId="35" applyNumberFormat="1" applyFont="1" applyBorder="1"/>
    <xf numFmtId="181" fontId="61" fillId="0" borderId="51" xfId="36" applyNumberFormat="1" applyFont="1" applyBorder="1"/>
    <xf numFmtId="181" fontId="61" fillId="0" borderId="51" xfId="37" applyNumberFormat="1" applyFont="1" applyBorder="1"/>
    <xf numFmtId="181" fontId="61" fillId="0" borderId="51" xfId="38" applyNumberFormat="1" applyFont="1" applyBorder="1"/>
    <xf numFmtId="0" fontId="47" fillId="0" borderId="16" xfId="39" applyFont="1" applyBorder="1" applyAlignment="1">
      <alignment horizontal="left" vertical="top"/>
    </xf>
    <xf numFmtId="0" fontId="56" fillId="34" borderId="45" xfId="27" applyFont="1" applyFill="1" applyBorder="1"/>
    <xf numFmtId="0" fontId="56" fillId="34" borderId="45" xfId="28" applyFont="1" applyFill="1" applyBorder="1"/>
    <xf numFmtId="0" fontId="56" fillId="34" borderId="45" xfId="29" applyFont="1" applyFill="1" applyBorder="1"/>
    <xf numFmtId="0" fontId="56" fillId="34" borderId="45" xfId="30" applyFont="1" applyFill="1" applyBorder="1"/>
    <xf numFmtId="0" fontId="56" fillId="34" borderId="45" xfId="31" applyFont="1" applyFill="1" applyBorder="1"/>
    <xf numFmtId="0" fontId="56" fillId="34" borderId="38" xfId="32" applyFont="1" applyFill="1" applyBorder="1"/>
    <xf numFmtId="0" fontId="56" fillId="34" borderId="40" xfId="34" applyFont="1" applyFill="1" applyBorder="1" applyAlignment="1">
      <alignment wrapText="1"/>
    </xf>
    <xf numFmtId="0" fontId="56" fillId="34" borderId="40" xfId="35" applyFont="1" applyFill="1" applyBorder="1" applyAlignment="1">
      <alignment wrapText="1"/>
    </xf>
    <xf numFmtId="0" fontId="56" fillId="34" borderId="40" xfId="36" applyFont="1" applyFill="1" applyBorder="1" applyAlignment="1">
      <alignment wrapText="1"/>
    </xf>
    <xf numFmtId="0" fontId="67" fillId="34" borderId="40" xfId="37" applyFont="1" applyFill="1" applyBorder="1" applyAlignment="1">
      <alignment wrapText="1"/>
    </xf>
    <xf numFmtId="0" fontId="56" fillId="34" borderId="40" xfId="37" applyFont="1" applyFill="1" applyBorder="1" applyAlignment="1">
      <alignment wrapText="1"/>
    </xf>
    <xf numFmtId="0" fontId="56" fillId="34" borderId="40" xfId="38" applyFont="1" applyFill="1" applyBorder="1" applyAlignment="1">
      <alignment wrapText="1"/>
    </xf>
    <xf numFmtId="0" fontId="56" fillId="34" borderId="38" xfId="39" applyFont="1" applyFill="1" applyBorder="1"/>
    <xf numFmtId="0" fontId="57" fillId="35" borderId="51" xfId="21" applyFont="1" applyFill="1" applyBorder="1"/>
    <xf numFmtId="0" fontId="57" fillId="35" borderId="51" xfId="40" applyFont="1" applyFill="1" applyBorder="1"/>
    <xf numFmtId="0" fontId="57" fillId="35" borderId="0" xfId="21" applyFont="1" applyFill="1"/>
    <xf numFmtId="0" fontId="68" fillId="35" borderId="51" xfId="21" applyFont="1" applyFill="1" applyBorder="1"/>
    <xf numFmtId="0" fontId="57" fillId="35" borderId="51" xfId="39" applyFont="1" applyFill="1" applyBorder="1"/>
    <xf numFmtId="0" fontId="62" fillId="31" borderId="16" xfId="40" applyFont="1" applyFill="1" applyBorder="1" applyProtection="1">
      <protection locked="0"/>
    </xf>
    <xf numFmtId="10" fontId="69" fillId="37" borderId="0" xfId="41" applyNumberFormat="1" applyFont="1" applyFill="1" applyProtection="1">
      <protection locked="0"/>
    </xf>
    <xf numFmtId="10" fontId="46" fillId="37" borderId="16" xfId="41" applyNumberFormat="1" applyFill="1" applyBorder="1" applyProtection="1">
      <protection locked="0"/>
    </xf>
    <xf numFmtId="0" fontId="46" fillId="0" borderId="16" xfId="41" applyBorder="1"/>
    <xf numFmtId="0" fontId="62" fillId="31" borderId="16" xfId="39" applyFont="1" applyFill="1" applyBorder="1" applyProtection="1">
      <protection locked="0"/>
    </xf>
    <xf numFmtId="4" fontId="46" fillId="0" borderId="51" xfId="42" applyNumberFormat="1" applyBorder="1"/>
    <xf numFmtId="4" fontId="46" fillId="0" borderId="51" xfId="43" applyNumberFormat="1" applyBorder="1"/>
    <xf numFmtId="4" fontId="46" fillId="0" borderId="51" xfId="44" applyNumberFormat="1" applyBorder="1"/>
    <xf numFmtId="4" fontId="46" fillId="0" borderId="51" xfId="45" applyNumberFormat="1" applyBorder="1"/>
    <xf numFmtId="4" fontId="46" fillId="0" borderId="51" xfId="46" applyNumberFormat="1" applyBorder="1"/>
    <xf numFmtId="0" fontId="62" fillId="0" borderId="16" xfId="40" applyFont="1" applyBorder="1"/>
    <xf numFmtId="181" fontId="61" fillId="0" borderId="51" xfId="47" applyNumberFormat="1" applyFont="1" applyBorder="1"/>
    <xf numFmtId="181" fontId="61" fillId="0" borderId="51" xfId="48" applyNumberFormat="1" applyFont="1" applyBorder="1"/>
    <xf numFmtId="181" fontId="61" fillId="0" borderId="51" xfId="49" applyNumberFormat="1" applyFont="1" applyBorder="1"/>
    <xf numFmtId="181" fontId="61" fillId="0" borderId="51" xfId="50" applyNumberFormat="1" applyFont="1" applyBorder="1"/>
    <xf numFmtId="181" fontId="61" fillId="0" borderId="51" xfId="51" applyNumberFormat="1" applyFont="1" applyBorder="1"/>
    <xf numFmtId="0" fontId="47" fillId="0" borderId="16" xfId="52" applyFont="1" applyBorder="1" applyAlignment="1">
      <alignment horizontal="left" vertical="top"/>
    </xf>
    <xf numFmtId="4" fontId="46" fillId="38" borderId="51" xfId="42" applyNumberFormat="1" applyFill="1" applyBorder="1"/>
    <xf numFmtId="4" fontId="46" fillId="38" borderId="51" xfId="43" applyNumberFormat="1" applyFill="1" applyBorder="1"/>
    <xf numFmtId="4" fontId="46" fillId="38" borderId="51" xfId="44" applyNumberFormat="1" applyFill="1" applyBorder="1"/>
    <xf numFmtId="4" fontId="46" fillId="38" borderId="51" xfId="45" applyNumberFormat="1" applyFill="1" applyBorder="1"/>
    <xf numFmtId="4" fontId="46" fillId="38" borderId="51" xfId="46" applyNumberFormat="1" applyFill="1" applyBorder="1"/>
    <xf numFmtId="181" fontId="61" fillId="38" borderId="51" xfId="47" applyNumberFormat="1" applyFont="1" applyFill="1" applyBorder="1"/>
    <xf numFmtId="181" fontId="61" fillId="38" borderId="51" xfId="48" applyNumberFormat="1" applyFont="1" applyFill="1" applyBorder="1"/>
    <xf numFmtId="181" fontId="61" fillId="38" borderId="51" xfId="49" applyNumberFormat="1" applyFont="1" applyFill="1" applyBorder="1"/>
    <xf numFmtId="181" fontId="67" fillId="38" borderId="51" xfId="50" applyNumberFormat="1" applyFont="1" applyFill="1" applyBorder="1"/>
    <xf numFmtId="181" fontId="61" fillId="38" borderId="51" xfId="50" applyNumberFormat="1" applyFont="1" applyFill="1" applyBorder="1"/>
    <xf numFmtId="181" fontId="61" fillId="38" borderId="51" xfId="51" applyNumberFormat="1" applyFont="1" applyFill="1" applyBorder="1"/>
    <xf numFmtId="0" fontId="56" fillId="34" borderId="45" xfId="42" applyFont="1" applyFill="1" applyBorder="1"/>
    <xf numFmtId="0" fontId="56" fillId="34" borderId="45" xfId="43" applyFont="1" applyFill="1" applyBorder="1"/>
    <xf numFmtId="0" fontId="56" fillId="34" borderId="45" xfId="44" applyFont="1" applyFill="1" applyBorder="1"/>
    <xf numFmtId="0" fontId="56" fillId="34" borderId="45" xfId="45" applyFont="1" applyFill="1" applyBorder="1"/>
    <xf numFmtId="0" fontId="56" fillId="34" borderId="45" xfId="46" applyFont="1" applyFill="1" applyBorder="1"/>
    <xf numFmtId="0" fontId="56" fillId="34" borderId="38" xfId="40" applyFont="1" applyFill="1" applyBorder="1"/>
    <xf numFmtId="0" fontId="56" fillId="34" borderId="40" xfId="47" applyFont="1" applyFill="1" applyBorder="1" applyAlignment="1">
      <alignment wrapText="1"/>
    </xf>
    <xf numFmtId="0" fontId="56" fillId="34" borderId="40" xfId="48" applyFont="1" applyFill="1" applyBorder="1" applyAlignment="1">
      <alignment wrapText="1"/>
    </xf>
    <xf numFmtId="0" fontId="56" fillId="34" borderId="40" xfId="49" applyFont="1" applyFill="1" applyBorder="1" applyAlignment="1">
      <alignment wrapText="1"/>
    </xf>
    <xf numFmtId="0" fontId="67" fillId="34" borderId="40" xfId="50" applyFont="1" applyFill="1" applyBorder="1" applyAlignment="1">
      <alignment wrapText="1"/>
    </xf>
    <xf numFmtId="0" fontId="56" fillId="34" borderId="40" xfId="50" applyFont="1" applyFill="1" applyBorder="1" applyAlignment="1">
      <alignment wrapText="1"/>
    </xf>
    <xf numFmtId="0" fontId="56" fillId="34" borderId="40" xfId="51" applyFont="1" applyFill="1" applyBorder="1" applyAlignment="1">
      <alignment wrapText="1"/>
    </xf>
    <xf numFmtId="0" fontId="56" fillId="34" borderId="38" xfId="52" applyFont="1" applyFill="1" applyBorder="1"/>
    <xf numFmtId="0" fontId="57" fillId="35" borderId="51" xfId="52" applyFont="1" applyFill="1" applyBorder="1"/>
    <xf numFmtId="0" fontId="62" fillId="31" borderId="16" xfId="41" applyFont="1" applyFill="1" applyBorder="1" applyProtection="1">
      <protection locked="0"/>
    </xf>
    <xf numFmtId="4" fontId="46" fillId="0" borderId="51" xfId="53" applyNumberFormat="1" applyBorder="1"/>
    <xf numFmtId="4" fontId="46" fillId="0" borderId="51" xfId="54" applyNumberFormat="1" applyBorder="1"/>
    <xf numFmtId="4" fontId="46" fillId="0" borderId="51" xfId="55" applyNumberFormat="1" applyBorder="1"/>
    <xf numFmtId="4" fontId="46" fillId="0" borderId="51" xfId="56" applyNumberFormat="1" applyBorder="1"/>
    <xf numFmtId="4" fontId="46" fillId="0" borderId="51" xfId="57" applyNumberFormat="1" applyBorder="1"/>
    <xf numFmtId="0" fontId="62" fillId="0" borderId="16" xfId="58" applyFont="1" applyBorder="1"/>
    <xf numFmtId="181" fontId="61" fillId="0" borderId="51" xfId="59" applyNumberFormat="1" applyFont="1" applyBorder="1"/>
    <xf numFmtId="181" fontId="61" fillId="0" borderId="51" xfId="60" applyNumberFormat="1" applyFont="1" applyBorder="1"/>
    <xf numFmtId="181" fontId="61" fillId="0" borderId="51" xfId="61" applyNumberFormat="1" applyFont="1" applyBorder="1"/>
    <xf numFmtId="181" fontId="61" fillId="0" borderId="51" xfId="62" applyNumberFormat="1" applyFont="1" applyBorder="1"/>
    <xf numFmtId="181" fontId="61" fillId="0" borderId="51" xfId="63" applyNumberFormat="1" applyFont="1" applyBorder="1"/>
    <xf numFmtId="0" fontId="47" fillId="0" borderId="16" xfId="64" applyFont="1" applyBorder="1" applyAlignment="1">
      <alignment horizontal="left" vertical="top"/>
    </xf>
    <xf numFmtId="4" fontId="46" fillId="38" borderId="51" xfId="53" applyNumberFormat="1" applyFill="1" applyBorder="1"/>
    <xf numFmtId="4" fontId="46" fillId="38" borderId="51" xfId="54" applyNumberFormat="1" applyFill="1" applyBorder="1"/>
    <xf numFmtId="4" fontId="46" fillId="38" borderId="51" xfId="55" applyNumberFormat="1" applyFill="1" applyBorder="1"/>
    <xf numFmtId="4" fontId="46" fillId="38" borderId="51" xfId="56" applyNumberFormat="1" applyFill="1" applyBorder="1"/>
    <xf numFmtId="4" fontId="46" fillId="38" borderId="51" xfId="57" applyNumberFormat="1" applyFill="1" applyBorder="1"/>
    <xf numFmtId="181" fontId="61" fillId="38" borderId="51" xfId="59" applyNumberFormat="1" applyFont="1" applyFill="1" applyBorder="1"/>
    <xf numFmtId="181" fontId="61" fillId="38" borderId="51" xfId="60" applyNumberFormat="1" applyFont="1" applyFill="1" applyBorder="1"/>
    <xf numFmtId="181" fontId="61" fillId="38" borderId="51" xfId="61" applyNumberFormat="1" applyFont="1" applyFill="1" applyBorder="1"/>
    <xf numFmtId="181" fontId="67" fillId="38" borderId="51" xfId="62" applyNumberFormat="1" applyFont="1" applyFill="1" applyBorder="1"/>
    <xf numFmtId="181" fontId="61" fillId="38" borderId="51" xfId="62" applyNumberFormat="1" applyFont="1" applyFill="1" applyBorder="1"/>
    <xf numFmtId="181" fontId="61" fillId="38" borderId="51" xfId="63" applyNumberFormat="1" applyFont="1" applyFill="1" applyBorder="1"/>
    <xf numFmtId="9" fontId="0" fillId="0" borderId="0" xfId="33" applyFont="1" applyFill="1" applyBorder="1" applyAlignment="1">
      <alignment horizontal="left" vertical="top"/>
    </xf>
    <xf numFmtId="0" fontId="56" fillId="34" borderId="45" xfId="53" applyFont="1" applyFill="1" applyBorder="1"/>
    <xf numFmtId="0" fontId="56" fillId="34" borderId="45" xfId="54" applyFont="1" applyFill="1" applyBorder="1"/>
    <xf numFmtId="0" fontId="56" fillId="34" borderId="45" xfId="56" applyFont="1" applyFill="1" applyBorder="1"/>
    <xf numFmtId="0" fontId="56" fillId="34" borderId="45" xfId="57" applyFont="1" applyFill="1" applyBorder="1"/>
    <xf numFmtId="0" fontId="56" fillId="34" borderId="38" xfId="58" applyFont="1" applyFill="1" applyBorder="1"/>
    <xf numFmtId="0" fontId="56" fillId="34" borderId="40" xfId="59" applyFont="1" applyFill="1" applyBorder="1" applyAlignment="1">
      <alignment wrapText="1"/>
    </xf>
    <xf numFmtId="0" fontId="56" fillId="34" borderId="40" xfId="60" applyFont="1" applyFill="1" applyBorder="1" applyAlignment="1">
      <alignment wrapText="1"/>
    </xf>
    <xf numFmtId="0" fontId="56" fillId="34" borderId="40" xfId="61" applyFont="1" applyFill="1" applyBorder="1" applyAlignment="1">
      <alignment wrapText="1"/>
    </xf>
    <xf numFmtId="0" fontId="67" fillId="34" borderId="40" xfId="62" applyFont="1" applyFill="1" applyBorder="1" applyAlignment="1">
      <alignment wrapText="1"/>
    </xf>
    <xf numFmtId="0" fontId="56" fillId="34" borderId="40" xfId="62" applyFont="1" applyFill="1" applyBorder="1" applyAlignment="1">
      <alignment wrapText="1"/>
    </xf>
    <xf numFmtId="0" fontId="56" fillId="34" borderId="40" xfId="63" applyFont="1" applyFill="1" applyBorder="1" applyAlignment="1">
      <alignment wrapText="1"/>
    </xf>
    <xf numFmtId="0" fontId="56" fillId="34" borderId="38" xfId="64" applyFont="1" applyFill="1" applyBorder="1"/>
    <xf numFmtId="0" fontId="57" fillId="35" borderId="51" xfId="58" applyFont="1" applyFill="1" applyBorder="1"/>
    <xf numFmtId="0" fontId="57" fillId="35" borderId="51" xfId="64" applyFont="1" applyFill="1" applyBorder="1"/>
    <xf numFmtId="0" fontId="62" fillId="31" borderId="16" xfId="58" applyFont="1" applyFill="1" applyBorder="1" applyProtection="1">
      <protection locked="0"/>
    </xf>
    <xf numFmtId="0" fontId="62" fillId="31" borderId="16" xfId="64" applyFont="1" applyFill="1" applyBorder="1" applyProtection="1">
      <protection locked="0"/>
    </xf>
    <xf numFmtId="4" fontId="46" fillId="0" borderId="51" xfId="21" applyNumberFormat="1" applyBorder="1"/>
    <xf numFmtId="4" fontId="13" fillId="0" borderId="16" xfId="21" applyNumberFormat="1" applyFont="1" applyBorder="1" applyAlignment="1">
      <alignment horizontal="right" vertical="top" wrapText="1"/>
    </xf>
    <xf numFmtId="0" fontId="70" fillId="0" borderId="53" xfId="21" applyFont="1" applyBorder="1"/>
    <xf numFmtId="181" fontId="61" fillId="0" borderId="51" xfId="21" applyNumberFormat="1" applyFont="1" applyBorder="1"/>
    <xf numFmtId="4" fontId="46" fillId="38" borderId="51" xfId="21" applyNumberFormat="1" applyFill="1" applyBorder="1"/>
    <xf numFmtId="181" fontId="61" fillId="38" borderId="51" xfId="21" applyNumberFormat="1" applyFont="1" applyFill="1" applyBorder="1"/>
    <xf numFmtId="181" fontId="67" fillId="38" borderId="51" xfId="21" applyNumberFormat="1" applyFont="1" applyFill="1" applyBorder="1"/>
    <xf numFmtId="0" fontId="56" fillId="34" borderId="45" xfId="21" applyFont="1" applyFill="1" applyBorder="1"/>
    <xf numFmtId="0" fontId="56" fillId="34" borderId="38" xfId="21" applyFont="1" applyFill="1" applyBorder="1"/>
    <xf numFmtId="0" fontId="56" fillId="34" borderId="40" xfId="21" applyFont="1" applyFill="1" applyBorder="1" applyAlignment="1">
      <alignment wrapText="1"/>
    </xf>
    <xf numFmtId="0" fontId="56" fillId="34" borderId="45" xfId="21" applyFont="1" applyFill="1" applyBorder="1" applyAlignment="1">
      <alignment wrapText="1"/>
    </xf>
    <xf numFmtId="0" fontId="67" fillId="34" borderId="45" xfId="21" applyFont="1" applyFill="1" applyBorder="1" applyAlignment="1">
      <alignment wrapText="1"/>
    </xf>
    <xf numFmtId="0" fontId="71" fillId="35" borderId="44" xfId="21" applyFont="1" applyFill="1" applyBorder="1"/>
    <xf numFmtId="0" fontId="62" fillId="31" borderId="16" xfId="21" applyFont="1" applyFill="1" applyBorder="1" applyProtection="1">
      <protection locked="0"/>
    </xf>
    <xf numFmtId="0" fontId="46" fillId="33" borderId="0" xfId="21" applyFill="1"/>
    <xf numFmtId="10" fontId="69" fillId="37" borderId="0" xfId="21" applyNumberFormat="1" applyFont="1" applyFill="1" applyProtection="1">
      <protection locked="0"/>
    </xf>
    <xf numFmtId="10" fontId="46" fillId="37" borderId="16" xfId="21" applyNumberFormat="1" applyFill="1" applyBorder="1" applyProtection="1">
      <protection locked="0"/>
    </xf>
    <xf numFmtId="0" fontId="46" fillId="0" borderId="16" xfId="21" applyBorder="1"/>
    <xf numFmtId="181" fontId="61" fillId="0" borderId="0" xfId="21" applyNumberFormat="1" applyFont="1"/>
    <xf numFmtId="181" fontId="67" fillId="0" borderId="0" xfId="21" applyNumberFormat="1" applyFont="1"/>
    <xf numFmtId="0" fontId="62" fillId="0" borderId="16" xfId="21" applyFont="1" applyBorder="1"/>
    <xf numFmtId="4" fontId="72" fillId="0" borderId="51" xfId="21" applyNumberFormat="1" applyFont="1" applyBorder="1"/>
    <xf numFmtId="0" fontId="72" fillId="0" borderId="16" xfId="21" applyFont="1" applyBorder="1" applyAlignment="1">
      <alignment horizontal="left" vertical="top"/>
    </xf>
    <xf numFmtId="0" fontId="67" fillId="34" borderId="40" xfId="21" applyFont="1" applyFill="1" applyBorder="1" applyAlignment="1">
      <alignment wrapText="1"/>
    </xf>
    <xf numFmtId="4" fontId="46" fillId="0" borderId="0" xfId="21" applyNumberFormat="1"/>
    <xf numFmtId="0" fontId="62" fillId="0" borderId="0" xfId="21" applyFont="1"/>
    <xf numFmtId="0" fontId="4" fillId="0" borderId="0" xfId="65" applyNumberFormat="1"/>
    <xf numFmtId="0" fontId="4" fillId="0" borderId="0" xfId="65" applyNumberFormat="1" applyAlignment="1">
      <alignment horizontal="right"/>
    </xf>
    <xf numFmtId="4" fontId="46" fillId="0" borderId="43" xfId="21" applyNumberFormat="1" applyBorder="1"/>
    <xf numFmtId="181" fontId="61" fillId="0" borderId="43" xfId="21" applyNumberFormat="1" applyFont="1" applyBorder="1"/>
    <xf numFmtId="2" fontId="73" fillId="0" borderId="0" xfId="26" applyNumberFormat="1" applyFont="1" applyAlignment="1">
      <alignment horizontal="left" vertical="top"/>
    </xf>
    <xf numFmtId="183" fontId="0" fillId="0" borderId="0" xfId="66" applyFont="1" applyFill="1" applyBorder="1" applyAlignment="1">
      <alignment horizontal="left" vertical="top"/>
    </xf>
    <xf numFmtId="165" fontId="4" fillId="0" borderId="0" xfId="65"/>
    <xf numFmtId="4" fontId="61" fillId="0" borderId="51" xfId="67" applyNumberFormat="1" applyFont="1" applyBorder="1"/>
    <xf numFmtId="4" fontId="61" fillId="0" borderId="51" xfId="68" applyNumberFormat="1" applyFont="1" applyBorder="1"/>
    <xf numFmtId="4" fontId="61" fillId="0" borderId="51" xfId="69" applyNumberFormat="1" applyFont="1" applyBorder="1"/>
    <xf numFmtId="4" fontId="61" fillId="0" borderId="51" xfId="70" applyNumberFormat="1" applyFont="1" applyBorder="1"/>
    <xf numFmtId="4" fontId="61" fillId="0" borderId="51" xfId="71" applyNumberFormat="1" applyFont="1" applyBorder="1"/>
    <xf numFmtId="0" fontId="62" fillId="0" borderId="16" xfId="72" applyFont="1" applyBorder="1"/>
    <xf numFmtId="181" fontId="61" fillId="0" borderId="51" xfId="73" applyNumberFormat="1" applyFont="1" applyBorder="1"/>
    <xf numFmtId="181" fontId="61" fillId="0" borderId="51" xfId="74" applyNumberFormat="1" applyFont="1" applyBorder="1"/>
    <xf numFmtId="181" fontId="61" fillId="0" borderId="51" xfId="75" applyNumberFormat="1" applyFont="1" applyBorder="1"/>
    <xf numFmtId="181" fontId="61" fillId="0" borderId="51" xfId="76" applyNumberFormat="1" applyFont="1" applyBorder="1"/>
    <xf numFmtId="181" fontId="61" fillId="0" borderId="51" xfId="77" applyNumberFormat="1" applyFont="1" applyBorder="1"/>
    <xf numFmtId="0" fontId="47" fillId="0" borderId="16" xfId="78" applyFont="1" applyBorder="1" applyAlignment="1">
      <alignment horizontal="left" vertical="top"/>
    </xf>
    <xf numFmtId="0" fontId="56" fillId="34" borderId="40" xfId="67" applyFont="1" applyFill="1" applyBorder="1"/>
    <xf numFmtId="0" fontId="56" fillId="34" borderId="40" xfId="68" applyFont="1" applyFill="1" applyBorder="1"/>
    <xf numFmtId="0" fontId="56" fillId="34" borderId="40" xfId="69" applyFont="1" applyFill="1" applyBorder="1"/>
    <xf numFmtId="0" fontId="56" fillId="34" borderId="40" xfId="70" applyFont="1" applyFill="1" applyBorder="1"/>
    <xf numFmtId="0" fontId="56" fillId="34" borderId="40" xfId="71" applyFont="1" applyFill="1" applyBorder="1"/>
    <xf numFmtId="0" fontId="56" fillId="34" borderId="38" xfId="72" applyFont="1" applyFill="1" applyBorder="1"/>
    <xf numFmtId="0" fontId="56" fillId="34" borderId="40" xfId="73" applyFont="1" applyFill="1" applyBorder="1" applyAlignment="1">
      <alignment wrapText="1"/>
    </xf>
    <xf numFmtId="0" fontId="56" fillId="34" borderId="40" xfId="74" applyFont="1" applyFill="1" applyBorder="1" applyAlignment="1">
      <alignment wrapText="1"/>
    </xf>
    <xf numFmtId="0" fontId="56" fillId="34" borderId="40" xfId="75" applyFont="1" applyFill="1" applyBorder="1" applyAlignment="1">
      <alignment wrapText="1"/>
    </xf>
    <xf numFmtId="0" fontId="67" fillId="34" borderId="40" xfId="76" applyFont="1" applyFill="1" applyBorder="1" applyAlignment="1">
      <alignment wrapText="1"/>
    </xf>
    <xf numFmtId="0" fontId="56" fillId="34" borderId="40" xfId="76" applyFont="1" applyFill="1" applyBorder="1" applyAlignment="1">
      <alignment wrapText="1"/>
    </xf>
    <xf numFmtId="0" fontId="56" fillId="34" borderId="40" xfId="77" applyFont="1" applyFill="1" applyBorder="1" applyAlignment="1">
      <alignment wrapText="1"/>
    </xf>
    <xf numFmtId="0" fontId="56" fillId="34" borderId="38" xfId="78" applyFont="1" applyFill="1" applyBorder="1"/>
    <xf numFmtId="0" fontId="75" fillId="35" borderId="53" xfId="67" applyFont="1" applyFill="1" applyBorder="1" applyAlignment="1">
      <alignment horizontal="left" vertical="top" wrapText="1"/>
    </xf>
    <xf numFmtId="0" fontId="75" fillId="35" borderId="53" xfId="68" applyFont="1" applyFill="1" applyBorder="1" applyAlignment="1">
      <alignment horizontal="left" vertical="top" wrapText="1"/>
    </xf>
    <xf numFmtId="0" fontId="75" fillId="35" borderId="53" xfId="69" applyFont="1" applyFill="1" applyBorder="1" applyAlignment="1">
      <alignment horizontal="left" vertical="top" wrapText="1"/>
    </xf>
    <xf numFmtId="0" fontId="75" fillId="35" borderId="53" xfId="70" applyFont="1" applyFill="1" applyBorder="1" applyAlignment="1">
      <alignment horizontal="left" vertical="top" wrapText="1"/>
    </xf>
    <xf numFmtId="0" fontId="75" fillId="35" borderId="53" xfId="71" applyFont="1" applyFill="1" applyBorder="1" applyAlignment="1">
      <alignment horizontal="left" vertical="top" wrapText="1"/>
    </xf>
    <xf numFmtId="0" fontId="57" fillId="35" borderId="51" xfId="72" applyFont="1" applyFill="1" applyBorder="1"/>
    <xf numFmtId="0" fontId="57" fillId="35" borderId="51" xfId="78" applyFont="1" applyFill="1" applyBorder="1"/>
    <xf numFmtId="2" fontId="65" fillId="0" borderId="0" xfId="26" applyNumberFormat="1" applyAlignment="1">
      <alignment horizontal="left" vertical="top"/>
    </xf>
    <xf numFmtId="0" fontId="62" fillId="31" borderId="16" xfId="72" applyFont="1" applyFill="1" applyBorder="1" applyProtection="1">
      <protection locked="0"/>
    </xf>
    <xf numFmtId="9" fontId="65" fillId="0" borderId="0" xfId="26" applyNumberFormat="1" applyAlignment="1">
      <alignment horizontal="left" vertical="top"/>
    </xf>
    <xf numFmtId="0" fontId="56" fillId="24" borderId="40" xfId="21" applyFont="1" applyFill="1" applyBorder="1" applyAlignment="1">
      <alignment horizontal="center" wrapText="1"/>
    </xf>
    <xf numFmtId="0" fontId="56" fillId="24" borderId="40" xfId="21" applyFont="1" applyFill="1" applyBorder="1" applyAlignment="1">
      <alignment wrapText="1"/>
    </xf>
    <xf numFmtId="0" fontId="22" fillId="24" borderId="51" xfId="21" applyFont="1" applyFill="1" applyBorder="1" applyAlignment="1">
      <alignment horizontal="center"/>
    </xf>
    <xf numFmtId="0" fontId="22" fillId="24" borderId="51" xfId="21" applyFont="1" applyFill="1" applyBorder="1"/>
    <xf numFmtId="0" fontId="76" fillId="0" borderId="0" xfId="26" applyFont="1" applyAlignment="1">
      <alignment horizontal="left" vertical="top"/>
    </xf>
    <xf numFmtId="168" fontId="77" fillId="0" borderId="0" xfId="0" applyNumberFormat="1" applyFont="1" applyAlignment="1">
      <alignment horizontal="center"/>
    </xf>
    <xf numFmtId="10" fontId="46" fillId="37" borderId="0" xfId="21" applyNumberFormat="1" applyFill="1" applyProtection="1">
      <protection locked="0"/>
    </xf>
    <xf numFmtId="184" fontId="77" fillId="0" borderId="0" xfId="0" applyNumberFormat="1" applyFont="1" applyAlignment="1">
      <alignment horizontal="center"/>
    </xf>
    <xf numFmtId="0" fontId="0" fillId="30" borderId="0" xfId="0" applyNumberFormat="1" applyFill="1" applyAlignment="1">
      <alignment horizontal="center"/>
    </xf>
    <xf numFmtId="0" fontId="8" fillId="31" borderId="0" xfId="7" applyNumberFormat="1" applyFill="1" applyBorder="1" applyAlignment="1">
      <alignment horizontal="center"/>
    </xf>
    <xf numFmtId="0" fontId="8" fillId="31" borderId="62" xfId="7" applyNumberFormat="1" applyFill="1" applyBorder="1" applyAlignment="1">
      <alignment horizontal="center"/>
    </xf>
    <xf numFmtId="0" fontId="8" fillId="31" borderId="63" xfId="7" applyNumberFormat="1" applyFill="1" applyBorder="1" applyAlignment="1">
      <alignment horizontal="center"/>
    </xf>
    <xf numFmtId="0" fontId="8" fillId="31" borderId="64" xfId="7" applyNumberFormat="1" applyFill="1" applyBorder="1" applyAlignment="1">
      <alignment horizontal="center"/>
    </xf>
    <xf numFmtId="0" fontId="8" fillId="31" borderId="65" xfId="7" applyNumberFormat="1" applyFill="1" applyBorder="1" applyAlignment="1">
      <alignment horizontal="center"/>
    </xf>
    <xf numFmtId="178" fontId="8" fillId="0" borderId="3" xfId="7" applyNumberFormat="1" applyFill="1"/>
    <xf numFmtId="0" fontId="78" fillId="0" borderId="0" xfId="0" applyNumberFormat="1" applyFont="1"/>
    <xf numFmtId="0" fontId="78" fillId="39" borderId="0" xfId="0" applyNumberFormat="1" applyFont="1" applyFill="1"/>
    <xf numFmtId="0" fontId="79" fillId="0" borderId="0" xfId="0" applyNumberFormat="1" applyFont="1"/>
    <xf numFmtId="2" fontId="78" fillId="40" borderId="16" xfId="0" applyNumberFormat="1" applyFont="1" applyFill="1" applyBorder="1" applyAlignment="1">
      <alignment horizontal="center"/>
    </xf>
    <xf numFmtId="0" fontId="78" fillId="40" borderId="16" xfId="0" applyNumberFormat="1" applyFont="1" applyFill="1" applyBorder="1"/>
    <xf numFmtId="0" fontId="80" fillId="0" borderId="16" xfId="0" applyNumberFormat="1" applyFont="1" applyBorder="1"/>
    <xf numFmtId="0" fontId="80" fillId="0" borderId="16" xfId="0" applyNumberFormat="1" applyFont="1" applyBorder="1" applyAlignment="1">
      <alignment horizontal="center"/>
    </xf>
    <xf numFmtId="0" fontId="80" fillId="0" borderId="16" xfId="0" quotePrefix="1" applyNumberFormat="1" applyFont="1" applyBorder="1"/>
    <xf numFmtId="0" fontId="78" fillId="0" borderId="16" xfId="0" applyNumberFormat="1" applyFont="1" applyBorder="1"/>
    <xf numFmtId="0" fontId="80" fillId="0" borderId="0" xfId="0" applyNumberFormat="1" applyFont="1"/>
    <xf numFmtId="0" fontId="78" fillId="41" borderId="0" xfId="0" applyNumberFormat="1" applyFont="1" applyFill="1"/>
    <xf numFmtId="0" fontId="81" fillId="41" borderId="0" xfId="0" applyNumberFormat="1" applyFont="1" applyFill="1" applyAlignment="1">
      <alignment vertical="center"/>
    </xf>
    <xf numFmtId="0" fontId="78" fillId="40" borderId="0" xfId="0" applyNumberFormat="1" applyFont="1" applyFill="1"/>
    <xf numFmtId="2" fontId="82" fillId="40" borderId="16" xfId="0" applyNumberFormat="1" applyFont="1" applyFill="1" applyBorder="1" applyAlignment="1">
      <alignment horizontal="center"/>
    </xf>
    <xf numFmtId="185" fontId="83" fillId="42" borderId="16" xfId="0" applyNumberFormat="1" applyFont="1" applyFill="1" applyBorder="1" applyAlignment="1">
      <alignment horizontal="center" vertical="center" wrapText="1"/>
    </xf>
    <xf numFmtId="165" fontId="84" fillId="42" borderId="16" xfId="0" applyFont="1" applyFill="1" applyBorder="1" applyAlignment="1">
      <alignment horizontal="left" vertical="top" wrapText="1"/>
    </xf>
    <xf numFmtId="165" fontId="84" fillId="42" borderId="16" xfId="0" applyFont="1" applyFill="1" applyBorder="1" applyAlignment="1">
      <alignment horizontal="left" vertical="center" wrapText="1"/>
    </xf>
    <xf numFmtId="185" fontId="83" fillId="42" borderId="16" xfId="0" applyNumberFormat="1" applyFont="1" applyFill="1" applyBorder="1" applyAlignment="1">
      <alignment horizontal="center" vertical="top" wrapText="1"/>
    </xf>
    <xf numFmtId="186" fontId="83" fillId="42" borderId="16" xfId="0" applyNumberFormat="1" applyFont="1" applyFill="1" applyBorder="1" applyAlignment="1">
      <alignment horizontal="center" vertical="center" wrapText="1"/>
    </xf>
    <xf numFmtId="165" fontId="84" fillId="42" borderId="16" xfId="0" applyFont="1" applyFill="1" applyBorder="1" applyAlignment="1">
      <alignment horizontal="center" vertical="top" wrapText="1"/>
    </xf>
    <xf numFmtId="165" fontId="84" fillId="42" borderId="16" xfId="0" applyFont="1" applyFill="1" applyBorder="1" applyAlignment="1">
      <alignment horizontal="center" vertical="center" wrapText="1"/>
    </xf>
    <xf numFmtId="165" fontId="84" fillId="42" borderId="51" xfId="0" applyFont="1" applyFill="1" applyBorder="1" applyAlignment="1">
      <alignment horizontal="center" vertical="center" wrapText="1"/>
    </xf>
    <xf numFmtId="165" fontId="84" fillId="43" borderId="0" xfId="0" applyFont="1" applyFill="1" applyAlignment="1">
      <alignment horizontal="center" vertical="top"/>
    </xf>
    <xf numFmtId="165" fontId="84" fillId="43" borderId="0" xfId="0" applyFont="1" applyFill="1" applyAlignment="1">
      <alignment horizontal="left" vertical="top"/>
    </xf>
    <xf numFmtId="185" fontId="88" fillId="43" borderId="16" xfId="0" applyNumberFormat="1" applyFont="1" applyFill="1" applyBorder="1" applyAlignment="1">
      <alignment horizontal="center" vertical="top" wrapText="1"/>
    </xf>
    <xf numFmtId="185" fontId="89" fillId="43" borderId="16" xfId="0" applyNumberFormat="1" applyFont="1" applyFill="1" applyBorder="1" applyAlignment="1">
      <alignment horizontal="left" vertical="top" wrapText="1"/>
    </xf>
    <xf numFmtId="10" fontId="90" fillId="0" borderId="16" xfId="2" applyNumberFormat="1" applyFont="1" applyBorder="1" applyAlignment="1">
      <alignment horizontal="center"/>
    </xf>
    <xf numFmtId="0" fontId="90" fillId="0" borderId="16" xfId="0" applyNumberFormat="1" applyFont="1" applyBorder="1"/>
    <xf numFmtId="2" fontId="78" fillId="24" borderId="16" xfId="0" applyNumberFormat="1" applyFont="1" applyFill="1" applyBorder="1" applyAlignment="1">
      <alignment horizontal="center"/>
    </xf>
    <xf numFmtId="0" fontId="78" fillId="24" borderId="16" xfId="0" applyNumberFormat="1" applyFont="1" applyFill="1" applyBorder="1"/>
    <xf numFmtId="165" fontId="79" fillId="43" borderId="16" xfId="0" applyFont="1" applyFill="1" applyBorder="1" applyAlignment="1">
      <alignment horizontal="center" vertical="top" wrapText="1"/>
    </xf>
    <xf numFmtId="0" fontId="78" fillId="24" borderId="16" xfId="0" applyNumberFormat="1" applyFont="1" applyFill="1" applyBorder="1" applyAlignment="1">
      <alignment horizontal="center"/>
    </xf>
    <xf numFmtId="0" fontId="78" fillId="0" borderId="16" xfId="0" applyNumberFormat="1" applyFont="1" applyBorder="1" applyAlignment="1">
      <alignment horizontal="center"/>
    </xf>
    <xf numFmtId="165" fontId="79" fillId="43" borderId="16" xfId="0" applyFont="1" applyFill="1" applyBorder="1" applyAlignment="1">
      <alignment horizontal="center" vertical="center" wrapText="1"/>
    </xf>
    <xf numFmtId="165" fontId="79"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8" fillId="41" borderId="16" xfId="0" applyNumberFormat="1" applyFont="1" applyFill="1" applyBorder="1" applyAlignment="1">
      <alignment horizontal="center"/>
    </xf>
    <xf numFmtId="167" fontId="79" fillId="0" borderId="16" xfId="2" applyNumberFormat="1" applyFont="1" applyBorder="1" applyAlignment="1">
      <alignment horizontal="center"/>
    </xf>
    <xf numFmtId="0" fontId="92" fillId="0" borderId="16" xfId="0" applyNumberFormat="1" applyFont="1" applyBorder="1"/>
    <xf numFmtId="9" fontId="79" fillId="0" borderId="16" xfId="2" applyFont="1" applyBorder="1" applyAlignment="1">
      <alignment horizontal="center"/>
    </xf>
    <xf numFmtId="187" fontId="88" fillId="43" borderId="16" xfId="0" applyNumberFormat="1" applyFont="1" applyFill="1" applyBorder="1" applyAlignment="1">
      <alignment horizontal="center" vertical="top" wrapText="1"/>
    </xf>
    <xf numFmtId="187" fontId="88" fillId="43" borderId="16" xfId="0" applyNumberFormat="1" applyFont="1" applyFill="1" applyBorder="1" applyAlignment="1">
      <alignment horizontal="center" vertical="top"/>
    </xf>
    <xf numFmtId="185" fontId="89" fillId="43" borderId="16" xfId="0" applyNumberFormat="1" applyFont="1" applyFill="1" applyBorder="1" applyAlignment="1">
      <alignment horizontal="center" vertical="top" wrapText="1"/>
    </xf>
    <xf numFmtId="165" fontId="93" fillId="0" borderId="0" xfId="0" applyFont="1" applyAlignment="1">
      <alignment horizontal="left" vertical="center"/>
    </xf>
    <xf numFmtId="9" fontId="93" fillId="0" borderId="8" xfId="0" applyNumberFormat="1" applyFont="1" applyBorder="1" applyAlignment="1">
      <alignment horizontal="center" vertical="center"/>
    </xf>
    <xf numFmtId="165" fontId="93" fillId="0" borderId="10" xfId="0" applyFont="1" applyBorder="1" applyAlignment="1">
      <alignment horizontal="left" vertical="center"/>
    </xf>
    <xf numFmtId="165" fontId="79" fillId="43" borderId="16" xfId="0" applyFont="1" applyFill="1" applyBorder="1" applyAlignment="1">
      <alignment horizontal="center" vertical="top"/>
    </xf>
    <xf numFmtId="9" fontId="78" fillId="0" borderId="0" xfId="2" applyFont="1"/>
    <xf numFmtId="165" fontId="79" fillId="43" borderId="53" xfId="0" applyFont="1" applyFill="1" applyBorder="1" applyAlignment="1">
      <alignment horizontal="center" vertical="top" wrapText="1"/>
    </xf>
    <xf numFmtId="165" fontId="95" fillId="0" borderId="67" xfId="0" applyFont="1" applyBorder="1" applyAlignment="1">
      <alignment horizontal="center" vertical="center"/>
    </xf>
    <xf numFmtId="165" fontId="95" fillId="0" borderId="67" xfId="0" applyFont="1" applyBorder="1" applyAlignment="1">
      <alignment horizontal="center" vertical="center" wrapText="1"/>
    </xf>
    <xf numFmtId="165" fontId="95" fillId="0" borderId="68" xfId="0" applyFont="1" applyBorder="1" applyAlignment="1">
      <alignment horizontal="left" vertical="center"/>
    </xf>
    <xf numFmtId="165" fontId="79" fillId="43" borderId="53" xfId="0" applyFont="1" applyFill="1" applyBorder="1" applyAlignment="1">
      <alignment vertical="top"/>
    </xf>
    <xf numFmtId="165" fontId="79" fillId="43" borderId="52" xfId="0" applyFont="1" applyFill="1" applyBorder="1" applyAlignment="1">
      <alignment vertical="top"/>
    </xf>
    <xf numFmtId="165" fontId="79" fillId="43" borderId="51" xfId="0" applyFont="1" applyFill="1" applyBorder="1" applyAlignment="1">
      <alignment vertical="top"/>
    </xf>
    <xf numFmtId="165" fontId="96" fillId="0" borderId="0" xfId="0" applyFont="1" applyAlignment="1">
      <alignment horizontal="justify" vertical="center"/>
    </xf>
    <xf numFmtId="2" fontId="88" fillId="0" borderId="8" xfId="0" applyNumberFormat="1" applyFont="1" applyBorder="1" applyAlignment="1">
      <alignment horizontal="center" vertical="center"/>
    </xf>
    <xf numFmtId="165" fontId="88" fillId="0" borderId="8" xfId="0" applyFont="1" applyBorder="1" applyAlignment="1">
      <alignment horizontal="center" vertical="center" wrapText="1"/>
    </xf>
    <xf numFmtId="165" fontId="88" fillId="0" borderId="10" xfId="0" applyFont="1" applyBorder="1" applyAlignment="1">
      <alignment horizontal="left" vertical="center"/>
    </xf>
    <xf numFmtId="167" fontId="92" fillId="0" borderId="16" xfId="2" applyNumberFormat="1" applyFont="1" applyBorder="1" applyAlignment="1">
      <alignment horizontal="center"/>
    </xf>
    <xf numFmtId="9" fontId="92" fillId="0" borderId="16" xfId="2" applyFont="1" applyBorder="1" applyAlignment="1">
      <alignment horizontal="center"/>
    </xf>
    <xf numFmtId="2" fontId="79" fillId="0" borderId="8" xfId="0" applyNumberFormat="1" applyFont="1" applyBorder="1" applyAlignment="1">
      <alignment horizontal="center" vertical="center"/>
    </xf>
    <xf numFmtId="165" fontId="79" fillId="0" borderId="8" xfId="0" applyFont="1" applyBorder="1" applyAlignment="1">
      <alignment horizontal="center" vertical="center" wrapText="1"/>
    </xf>
    <xf numFmtId="165" fontId="79" fillId="0" borderId="10" xfId="0" applyFont="1" applyBorder="1" applyAlignment="1">
      <alignment horizontal="left" vertical="center"/>
    </xf>
    <xf numFmtId="185" fontId="88" fillId="43" borderId="16" xfId="0" applyNumberFormat="1" applyFont="1" applyFill="1" applyBorder="1" applyAlignment="1">
      <alignment horizontal="center" vertical="center" wrapText="1"/>
    </xf>
    <xf numFmtId="185" fontId="89" fillId="43" borderId="16" xfId="0" applyNumberFormat="1" applyFont="1" applyFill="1" applyBorder="1" applyAlignment="1">
      <alignment horizontal="center" vertical="center" wrapText="1"/>
    </xf>
    <xf numFmtId="2" fontId="79" fillId="0" borderId="8" xfId="0" applyNumberFormat="1" applyFont="1" applyBorder="1" applyAlignment="1">
      <alignment horizontal="center" vertical="center" wrapText="1"/>
    </xf>
    <xf numFmtId="165" fontId="78" fillId="0" borderId="16" xfId="0" applyFont="1" applyBorder="1"/>
    <xf numFmtId="165" fontId="79" fillId="43" borderId="0" xfId="0" applyFont="1" applyFill="1" applyAlignment="1">
      <alignment horizontal="left" vertical="top"/>
    </xf>
    <xf numFmtId="165" fontId="92" fillId="43" borderId="16" xfId="0" applyFont="1" applyFill="1" applyBorder="1" applyAlignment="1">
      <alignment vertical="center" wrapText="1"/>
    </xf>
    <xf numFmtId="165" fontId="92" fillId="43" borderId="16" xfId="0" applyFont="1" applyFill="1" applyBorder="1" applyAlignment="1">
      <alignment horizontal="center" vertical="center" wrapText="1"/>
    </xf>
    <xf numFmtId="165" fontId="88" fillId="0" borderId="8" xfId="0" applyFont="1" applyBorder="1" applyAlignment="1">
      <alignment horizontal="center" vertical="center"/>
    </xf>
    <xf numFmtId="165" fontId="88" fillId="0" borderId="10" xfId="0" applyFont="1" applyBorder="1" applyAlignment="1">
      <alignment horizontal="center" vertical="center" wrapText="1"/>
    </xf>
    <xf numFmtId="165" fontId="88" fillId="0" borderId="22" xfId="0" applyFont="1" applyBorder="1" applyAlignment="1">
      <alignment horizontal="center" vertical="center" wrapText="1"/>
    </xf>
    <xf numFmtId="165" fontId="88" fillId="0" borderId="20" xfId="0" applyFont="1" applyBorder="1" applyAlignment="1">
      <alignment horizontal="center" vertical="center"/>
    </xf>
    <xf numFmtId="0" fontId="99" fillId="0" borderId="0" xfId="0" applyNumberFormat="1" applyFont="1"/>
    <xf numFmtId="0" fontId="79" fillId="41" borderId="0" xfId="0" applyNumberFormat="1" applyFont="1" applyFill="1"/>
    <xf numFmtId="0" fontId="81" fillId="41" borderId="0" xfId="0" applyNumberFormat="1" applyFont="1" applyFill="1"/>
    <xf numFmtId="165" fontId="5" fillId="0" borderId="1" xfId="3"/>
    <xf numFmtId="0" fontId="13" fillId="44" borderId="0" xfId="12" applyFill="1"/>
    <xf numFmtId="2" fontId="102" fillId="0" borderId="0" xfId="80" applyNumberFormat="1" applyFont="1" applyAlignment="1">
      <alignment horizontal="center"/>
    </xf>
    <xf numFmtId="0" fontId="42" fillId="0" borderId="0" xfId="12" applyFont="1" applyAlignment="1">
      <alignment horizontal="center"/>
    </xf>
    <xf numFmtId="0" fontId="42" fillId="0" borderId="0" xfId="12" applyFont="1" applyAlignment="1">
      <alignment horizontal="right"/>
    </xf>
    <xf numFmtId="9" fontId="42" fillId="0" borderId="0" xfId="81" applyFont="1" applyFill="1" applyBorder="1" applyAlignment="1" applyProtection="1">
      <alignment horizontal="center"/>
      <protection locked="0"/>
    </xf>
    <xf numFmtId="0" fontId="42" fillId="0" borderId="0" xfId="12" applyFont="1"/>
    <xf numFmtId="169" fontId="103" fillId="0" borderId="0" xfId="82" applyNumberFormat="1" applyAlignment="1">
      <alignment horizontal="center"/>
    </xf>
    <xf numFmtId="0" fontId="42" fillId="0" borderId="0" xfId="12" applyFont="1" applyAlignment="1">
      <alignment horizontal="left" indent="1"/>
    </xf>
    <xf numFmtId="0" fontId="42" fillId="0" borderId="0" xfId="12" applyFont="1" applyAlignment="1" applyProtection="1">
      <alignment horizontal="center"/>
      <protection locked="0"/>
    </xf>
    <xf numFmtId="2" fontId="101" fillId="0" borderId="0" xfId="80" applyNumberFormat="1" applyAlignment="1">
      <alignment horizontal="center"/>
    </xf>
    <xf numFmtId="9" fontId="103" fillId="0" borderId="0" xfId="82" applyNumberFormat="1" applyFill="1" applyBorder="1" applyAlignment="1" applyProtection="1">
      <alignment horizontal="center"/>
      <protection locked="0"/>
    </xf>
    <xf numFmtId="3" fontId="103" fillId="0" borderId="0" xfId="82" applyNumberFormat="1" applyAlignment="1">
      <alignment horizontal="center"/>
    </xf>
    <xf numFmtId="2" fontId="103" fillId="0" borderId="0" xfId="82" applyNumberFormat="1" applyAlignment="1">
      <alignment horizontal="center"/>
    </xf>
    <xf numFmtId="168" fontId="103" fillId="0" borderId="0" xfId="82" applyNumberFormat="1" applyAlignment="1">
      <alignment horizontal="center"/>
    </xf>
    <xf numFmtId="0" fontId="13" fillId="0" borderId="0" xfId="12" applyAlignment="1" applyProtection="1">
      <alignment horizontal="left"/>
      <protection locked="0"/>
    </xf>
    <xf numFmtId="175" fontId="101" fillId="0" borderId="0" xfId="80" applyNumberFormat="1" applyAlignment="1">
      <alignment horizontal="center"/>
    </xf>
    <xf numFmtId="169" fontId="103" fillId="0" borderId="0" xfId="82" applyNumberFormat="1" applyFill="1" applyAlignment="1">
      <alignment horizontal="center"/>
    </xf>
    <xf numFmtId="0" fontId="22" fillId="0" borderId="0" xfId="12" applyFont="1" applyAlignment="1">
      <alignment horizontal="center" wrapText="1"/>
    </xf>
    <xf numFmtId="0" fontId="104" fillId="0" borderId="0" xfId="12" applyFont="1" applyAlignment="1">
      <alignment horizontal="center" wrapText="1"/>
    </xf>
    <xf numFmtId="0" fontId="104" fillId="0" borderId="0" xfId="12" applyFont="1" applyAlignment="1" applyProtection="1">
      <alignment horizontal="left"/>
      <protection locked="0"/>
    </xf>
    <xf numFmtId="175" fontId="102" fillId="0" borderId="0" xfId="80" applyNumberFormat="1" applyFont="1" applyAlignment="1">
      <alignment horizontal="center"/>
    </xf>
    <xf numFmtId="168" fontId="13" fillId="0" borderId="0" xfId="12" applyNumberFormat="1"/>
    <xf numFmtId="0" fontId="13" fillId="27" borderId="0" xfId="12" applyFill="1"/>
    <xf numFmtId="2" fontId="103" fillId="0" borderId="0" xfId="2" applyNumberFormat="1" applyFont="1" applyAlignment="1">
      <alignment horizontal="center"/>
    </xf>
    <xf numFmtId="168" fontId="103" fillId="0" borderId="0" xfId="2" applyNumberFormat="1" applyFont="1" applyAlignment="1">
      <alignment horizontal="center"/>
    </xf>
    <xf numFmtId="176" fontId="103" fillId="0" borderId="0" xfId="2" applyNumberFormat="1" applyFont="1" applyAlignment="1">
      <alignment horizontal="center"/>
    </xf>
    <xf numFmtId="175" fontId="103" fillId="0" borderId="0" xfId="2" applyNumberFormat="1" applyFont="1" applyAlignment="1">
      <alignment horizontal="center"/>
    </xf>
    <xf numFmtId="175" fontId="13" fillId="0" borderId="0" xfId="12" applyNumberFormat="1"/>
    <xf numFmtId="2" fontId="105" fillId="0" borderId="0" xfId="2" applyNumberFormat="1" applyFont="1" applyAlignment="1">
      <alignment horizontal="center"/>
    </xf>
    <xf numFmtId="3" fontId="101" fillId="0" borderId="0" xfId="80" applyNumberFormat="1" applyAlignment="1">
      <alignment horizontal="center"/>
    </xf>
    <xf numFmtId="1" fontId="103" fillId="0" borderId="0" xfId="82" applyNumberFormat="1" applyAlignment="1">
      <alignment horizontal="center"/>
    </xf>
    <xf numFmtId="165" fontId="13" fillId="0" borderId="0" xfId="12" applyNumberFormat="1"/>
    <xf numFmtId="165" fontId="106" fillId="0" borderId="0" xfId="12" applyNumberFormat="1" applyFont="1" applyAlignment="1">
      <alignment horizontal="center"/>
    </xf>
    <xf numFmtId="165" fontId="106" fillId="0" borderId="0" xfId="81" applyNumberFormat="1" applyFont="1" applyFill="1" applyAlignment="1">
      <alignment horizontal="center"/>
    </xf>
    <xf numFmtId="165" fontId="42" fillId="0" borderId="0" xfId="12" applyNumberFormat="1" applyFont="1" applyAlignment="1" applyProtection="1">
      <alignment horizontal="left"/>
      <protection locked="0"/>
    </xf>
    <xf numFmtId="165" fontId="13" fillId="0" borderId="39" xfId="12" applyNumberFormat="1" applyBorder="1" applyAlignment="1" applyProtection="1">
      <alignment horizontal="left"/>
      <protection locked="0"/>
    </xf>
    <xf numFmtId="0" fontId="13" fillId="0" borderId="0" xfId="12" quotePrefix="1" applyAlignment="1" applyProtection="1">
      <alignment horizontal="center"/>
      <protection locked="0"/>
    </xf>
    <xf numFmtId="0" fontId="13" fillId="0" borderId="0" xfId="12" quotePrefix="1" applyAlignment="1">
      <alignment horizontal="center"/>
    </xf>
    <xf numFmtId="0" fontId="13" fillId="0" borderId="0" xfId="12" applyAlignment="1">
      <alignment horizontal="center" wrapText="1"/>
    </xf>
    <xf numFmtId="0" fontId="13" fillId="0" borderId="39" xfId="12" applyBorder="1"/>
    <xf numFmtId="165" fontId="22" fillId="45" borderId="69" xfId="12" applyNumberFormat="1" applyFont="1" applyFill="1" applyBorder="1" applyAlignment="1">
      <alignment horizontal="center" wrapText="1"/>
    </xf>
    <xf numFmtId="0" fontId="22" fillId="45" borderId="69" xfId="12" applyFont="1" applyFill="1" applyBorder="1" applyAlignment="1">
      <alignment horizontal="center" wrapText="1"/>
    </xf>
    <xf numFmtId="9" fontId="22" fillId="45" borderId="69" xfId="12" applyNumberFormat="1" applyFont="1" applyFill="1" applyBorder="1" applyAlignment="1">
      <alignment horizontal="center" wrapText="1"/>
    </xf>
    <xf numFmtId="165" fontId="107" fillId="45" borderId="69" xfId="12" applyNumberFormat="1" applyFont="1" applyFill="1" applyBorder="1"/>
    <xf numFmtId="0" fontId="22" fillId="46" borderId="0" xfId="12" applyFont="1" applyFill="1" applyAlignment="1">
      <alignment horizontal="center" wrapText="1"/>
    </xf>
    <xf numFmtId="2" fontId="108" fillId="0" borderId="0" xfId="12" applyNumberFormat="1" applyFont="1" applyAlignment="1">
      <alignment horizontal="center"/>
    </xf>
    <xf numFmtId="9" fontId="13" fillId="0" borderId="0" xfId="12" applyNumberFormat="1"/>
    <xf numFmtId="0" fontId="13" fillId="24" borderId="0" xfId="12" applyFill="1"/>
    <xf numFmtId="2" fontId="106" fillId="0" borderId="39" xfId="12" applyNumberFormat="1" applyFont="1" applyBorder="1" applyAlignment="1">
      <alignment horizontal="center"/>
    </xf>
    <xf numFmtId="43" fontId="102" fillId="0" borderId="39" xfId="1" applyFont="1" applyBorder="1" applyAlignment="1">
      <alignment horizontal="center"/>
    </xf>
    <xf numFmtId="0" fontId="42" fillId="0" borderId="39" xfId="12" applyFont="1" applyBorder="1" applyAlignment="1" applyProtection="1">
      <alignment horizontal="center"/>
      <protection locked="0"/>
    </xf>
    <xf numFmtId="179" fontId="106" fillId="0" borderId="39" xfId="12" applyNumberFormat="1" applyFont="1" applyBorder="1" applyAlignment="1">
      <alignment horizontal="center"/>
    </xf>
    <xf numFmtId="0" fontId="109" fillId="0" borderId="0" xfId="12" applyFont="1"/>
    <xf numFmtId="165" fontId="110" fillId="0" borderId="0" xfId="0" applyFont="1" applyAlignment="1">
      <alignment horizontal="left" vertical="center" readingOrder="1"/>
    </xf>
    <xf numFmtId="0" fontId="13" fillId="0" borderId="0" xfId="12" applyAlignment="1" applyProtection="1">
      <alignment horizontal="center"/>
      <protection locked="0"/>
    </xf>
    <xf numFmtId="43" fontId="102" fillId="0" borderId="0" xfId="1" applyFont="1" applyAlignment="1">
      <alignment horizontal="center"/>
    </xf>
    <xf numFmtId="9" fontId="111" fillId="0" borderId="0" xfId="2" applyFont="1" applyAlignment="1">
      <alignment horizontal="right"/>
    </xf>
    <xf numFmtId="165" fontId="112" fillId="0" borderId="0" xfId="0" applyFont="1" applyAlignment="1" applyProtection="1">
      <alignment horizontal="center"/>
      <protection locked="0"/>
    </xf>
    <xf numFmtId="165" fontId="104" fillId="0" borderId="0" xfId="0" applyFont="1" applyAlignment="1" applyProtection="1">
      <alignment horizontal="left"/>
      <protection locked="0"/>
    </xf>
    <xf numFmtId="3" fontId="111" fillId="0" borderId="0" xfId="83" applyNumberFormat="1" applyFont="1" applyAlignment="1">
      <alignment horizontal="right"/>
    </xf>
    <xf numFmtId="3" fontId="111" fillId="0" borderId="0" xfId="84" applyNumberFormat="1" applyFont="1" applyAlignment="1">
      <alignment horizontal="right"/>
    </xf>
    <xf numFmtId="179" fontId="13" fillId="0" borderId="0" xfId="12" applyNumberFormat="1"/>
    <xf numFmtId="9" fontId="103" fillId="0" borderId="0" xfId="82" applyNumberFormat="1" applyAlignment="1">
      <alignment horizontal="center"/>
    </xf>
    <xf numFmtId="43" fontId="103" fillId="0" borderId="0" xfId="1" applyFont="1" applyAlignment="1">
      <alignment horizontal="center"/>
    </xf>
    <xf numFmtId="0" fontId="22" fillId="0" borderId="0" xfId="12" applyFont="1"/>
    <xf numFmtId="165" fontId="22" fillId="0" borderId="0" xfId="0" applyFont="1"/>
    <xf numFmtId="0" fontId="22" fillId="0" borderId="39" xfId="12" applyFont="1" applyBorder="1"/>
    <xf numFmtId="0" fontId="22" fillId="0" borderId="0" xfId="12" applyFont="1" applyAlignment="1">
      <alignment horizontal="left"/>
    </xf>
    <xf numFmtId="188" fontId="13" fillId="0" borderId="0" xfId="12" applyNumberFormat="1" applyAlignment="1" applyProtection="1">
      <alignment horizontal="left"/>
      <protection locked="0"/>
    </xf>
    <xf numFmtId="0" fontId="22" fillId="0" borderId="0" xfId="12" applyFont="1" applyAlignment="1">
      <alignment horizontal="center"/>
    </xf>
    <xf numFmtId="164" fontId="101" fillId="0" borderId="0" xfId="85" applyFont="1"/>
    <xf numFmtId="9" fontId="114" fillId="0" borderId="0" xfId="81" applyFont="1" applyAlignment="1">
      <alignment horizontal="center"/>
    </xf>
    <xf numFmtId="2" fontId="13" fillId="0" borderId="0" xfId="12" applyNumberFormat="1" applyAlignment="1">
      <alignment horizontal="center"/>
    </xf>
    <xf numFmtId="2" fontId="13" fillId="0" borderId="0" xfId="12" applyNumberFormat="1" applyAlignment="1" applyProtection="1">
      <alignment horizontal="center"/>
      <protection locked="0"/>
    </xf>
    <xf numFmtId="4" fontId="114" fillId="0" borderId="0" xfId="86">
      <alignment horizontal="center"/>
    </xf>
    <xf numFmtId="4" fontId="114" fillId="0" borderId="0" xfId="86" applyAlignment="1">
      <alignment horizontal="center"/>
    </xf>
    <xf numFmtId="0" fontId="107" fillId="0" borderId="0" xfId="12" applyFont="1" applyAlignment="1">
      <alignment horizontal="center"/>
    </xf>
    <xf numFmtId="0" fontId="107" fillId="0" borderId="0" xfId="12" applyFont="1"/>
    <xf numFmtId="165" fontId="27" fillId="0" borderId="0" xfId="12" applyNumberFormat="1" applyFont="1"/>
    <xf numFmtId="0" fontId="27" fillId="0" borderId="0" xfId="12" applyFont="1"/>
    <xf numFmtId="165" fontId="115" fillId="0" borderId="0" xfId="12" applyNumberFormat="1" applyFont="1"/>
    <xf numFmtId="165" fontId="116" fillId="0" borderId="0" xfId="12" applyNumberFormat="1" applyFont="1"/>
    <xf numFmtId="189" fontId="6" fillId="0" borderId="42" xfId="79" applyNumberFormat="1" applyFill="1" applyBorder="1" applyAlignment="1">
      <alignment horizontal="left"/>
    </xf>
    <xf numFmtId="189" fontId="6" fillId="0" borderId="0" xfId="79" applyNumberFormat="1" applyFill="1"/>
    <xf numFmtId="0" fontId="13" fillId="0" borderId="0" xfId="12" applyAlignment="1">
      <alignment horizontal="right"/>
    </xf>
    <xf numFmtId="165" fontId="13" fillId="0" borderId="39" xfId="12" applyNumberFormat="1" applyBorder="1"/>
    <xf numFmtId="1" fontId="103" fillId="0" borderId="0" xfId="82" applyNumberFormat="1" applyFill="1" applyAlignment="1">
      <alignment horizontal="center"/>
    </xf>
    <xf numFmtId="2" fontId="101" fillId="0" borderId="0" xfId="80" applyNumberFormat="1" applyFill="1" applyAlignment="1">
      <alignment horizontal="center"/>
    </xf>
    <xf numFmtId="190" fontId="103" fillId="0" borderId="0" xfId="82" applyNumberFormat="1" applyFill="1" applyAlignment="1">
      <alignment horizontal="center"/>
    </xf>
    <xf numFmtId="168" fontId="103" fillId="0" borderId="0" xfId="82" applyNumberFormat="1" applyFill="1" applyAlignment="1">
      <alignment horizontal="center"/>
    </xf>
    <xf numFmtId="1" fontId="117" fillId="0" borderId="3" xfId="87" applyNumberFormat="1" applyFont="1" applyFill="1" applyBorder="1" applyAlignment="1">
      <alignment horizontal="center"/>
    </xf>
    <xf numFmtId="3" fontId="103" fillId="0" borderId="0" xfId="82" applyNumberFormat="1" applyFill="1" applyAlignment="1">
      <alignment horizontal="center"/>
    </xf>
    <xf numFmtId="0" fontId="13" fillId="0" borderId="0" xfId="12" applyAlignment="1" applyProtection="1">
      <alignment horizontal="right"/>
      <protection locked="0"/>
    </xf>
    <xf numFmtId="168" fontId="105" fillId="0" borderId="0" xfId="82" applyNumberFormat="1" applyFont="1" applyFill="1" applyAlignment="1">
      <alignment horizontal="center"/>
    </xf>
    <xf numFmtId="3" fontId="101" fillId="0" borderId="0" xfId="80" applyNumberFormat="1" applyFill="1" applyAlignment="1">
      <alignment horizontal="center"/>
    </xf>
    <xf numFmtId="0" fontId="118" fillId="0" borderId="0" xfId="12" applyFont="1"/>
    <xf numFmtId="165" fontId="104" fillId="0" borderId="0" xfId="12" applyNumberFormat="1" applyFont="1" applyAlignment="1">
      <alignment horizontal="center" wrapText="1"/>
    </xf>
    <xf numFmtId="1" fontId="13" fillId="0" borderId="0" xfId="12" applyNumberFormat="1" applyAlignment="1">
      <alignment horizontal="center"/>
    </xf>
    <xf numFmtId="0" fontId="13" fillId="23" borderId="16" xfId="12" applyFill="1" applyBorder="1"/>
    <xf numFmtId="0" fontId="106" fillId="0" borderId="39" xfId="12" applyFont="1" applyBorder="1" applyAlignment="1">
      <alignment horizontal="center"/>
    </xf>
    <xf numFmtId="0" fontId="13" fillId="0" borderId="0" xfId="12" applyAlignment="1">
      <alignment vertical="center"/>
    </xf>
    <xf numFmtId="43" fontId="102" fillId="0" borderId="0" xfId="1" applyFont="1" applyAlignment="1">
      <alignment horizontal="center" vertical="center"/>
    </xf>
    <xf numFmtId="165" fontId="112" fillId="0" borderId="0" xfId="0" applyFont="1" applyAlignment="1" applyProtection="1">
      <alignment horizontal="center" vertical="center"/>
      <protection locked="0"/>
    </xf>
    <xf numFmtId="165" fontId="104" fillId="0" borderId="0" xfId="0" applyFont="1" applyAlignment="1" applyProtection="1">
      <alignment horizontal="left" vertical="center"/>
      <protection locked="0"/>
    </xf>
    <xf numFmtId="165" fontId="13" fillId="0" borderId="0" xfId="12" applyNumberFormat="1" applyAlignment="1">
      <alignment horizontal="right"/>
    </xf>
    <xf numFmtId="165" fontId="22" fillId="0" borderId="0" xfId="12" applyNumberFormat="1" applyFont="1"/>
    <xf numFmtId="0" fontId="107" fillId="24" borderId="0" xfId="12" applyFont="1" applyFill="1" applyAlignment="1">
      <alignment horizontal="center"/>
    </xf>
    <xf numFmtId="0" fontId="107" fillId="26" borderId="0" xfId="12" applyFont="1" applyFill="1" applyAlignment="1">
      <alignment horizontal="center"/>
    </xf>
    <xf numFmtId="0" fontId="115" fillId="0" borderId="0" xfId="12" applyFont="1"/>
    <xf numFmtId="0" fontId="116" fillId="0" borderId="0" xfId="12" applyFont="1"/>
    <xf numFmtId="0" fontId="6" fillId="0" borderId="0" xfId="79"/>
    <xf numFmtId="165" fontId="121" fillId="0" borderId="70" xfId="89" applyNumberFormat="1"/>
    <xf numFmtId="175" fontId="11" fillId="0" borderId="0" xfId="19" applyNumberFormat="1" applyFont="1"/>
    <xf numFmtId="176" fontId="0" fillId="0" borderId="0" xfId="0" applyNumberFormat="1"/>
    <xf numFmtId="169" fontId="105" fillId="0" borderId="0" xfId="12" applyNumberFormat="1" applyFont="1" applyAlignment="1">
      <alignment horizontal="right"/>
    </xf>
    <xf numFmtId="169" fontId="105" fillId="0" borderId="0" xfId="12" applyNumberFormat="1" applyFont="1"/>
    <xf numFmtId="0" fontId="8" fillId="0" borderId="71" xfId="10" applyNumberFormat="1" applyFont="1" applyFill="1" applyBorder="1"/>
    <xf numFmtId="0" fontId="8" fillId="0" borderId="72" xfId="7" applyNumberFormat="1" applyFill="1" applyBorder="1"/>
    <xf numFmtId="0" fontId="8" fillId="0" borderId="37" xfId="2" applyNumberFormat="1" applyFont="1" applyFill="1" applyBorder="1"/>
    <xf numFmtId="0" fontId="8" fillId="0" borderId="73" xfId="7" applyNumberFormat="1" applyFill="1" applyBorder="1"/>
    <xf numFmtId="0" fontId="0" fillId="0" borderId="21" xfId="0" applyNumberFormat="1" applyBorder="1"/>
    <xf numFmtId="0" fontId="0" fillId="0" borderId="74" xfId="0" applyNumberFormat="1" applyBorder="1"/>
    <xf numFmtId="0" fontId="34" fillId="0" borderId="74" xfId="7" applyNumberFormat="1" applyFont="1" applyFill="1" applyBorder="1"/>
    <xf numFmtId="0" fontId="0" fillId="0" borderId="20" xfId="0" applyNumberFormat="1" applyBorder="1"/>
    <xf numFmtId="182" fontId="61" fillId="0" borderId="21" xfId="21" applyNumberFormat="1" applyFont="1" applyBorder="1"/>
    <xf numFmtId="182" fontId="61" fillId="0" borderId="74" xfId="21" applyNumberFormat="1" applyFont="1" applyBorder="1"/>
    <xf numFmtId="182" fontId="61" fillId="0" borderId="20" xfId="21" applyNumberFormat="1" applyFont="1" applyBorder="1"/>
    <xf numFmtId="182" fontId="61" fillId="0" borderId="14" xfId="21" applyNumberFormat="1" applyFont="1" applyBorder="1"/>
    <xf numFmtId="182" fontId="61" fillId="0" borderId="0" xfId="21" applyNumberFormat="1" applyFont="1"/>
    <xf numFmtId="182" fontId="61" fillId="0" borderId="13" xfId="21" applyNumberFormat="1" applyFont="1" applyBorder="1"/>
    <xf numFmtId="181" fontId="61" fillId="0" borderId="14" xfId="21" applyNumberFormat="1" applyFont="1" applyBorder="1"/>
    <xf numFmtId="181" fontId="61" fillId="0" borderId="13" xfId="21" applyNumberFormat="1" applyFont="1" applyBorder="1"/>
    <xf numFmtId="0" fontId="57" fillId="35" borderId="14" xfId="21" applyFont="1" applyFill="1" applyBorder="1"/>
    <xf numFmtId="0" fontId="57" fillId="35" borderId="13" xfId="21" applyFont="1" applyFill="1" applyBorder="1"/>
    <xf numFmtId="0" fontId="65" fillId="0" borderId="14" xfId="26" applyBorder="1" applyAlignment="1">
      <alignment horizontal="left" vertical="top"/>
    </xf>
    <xf numFmtId="0" fontId="65" fillId="0" borderId="13" xfId="26" applyBorder="1" applyAlignment="1">
      <alignment horizontal="left" vertical="top"/>
    </xf>
    <xf numFmtId="0" fontId="46" fillId="33" borderId="14" xfId="21" applyFill="1" applyBorder="1"/>
    <xf numFmtId="0" fontId="46" fillId="33" borderId="13" xfId="21" applyFill="1" applyBorder="1"/>
    <xf numFmtId="0" fontId="65" fillId="0" borderId="9" xfId="26" applyBorder="1" applyAlignment="1">
      <alignment horizontal="left" vertical="top"/>
    </xf>
    <xf numFmtId="0" fontId="65" fillId="0" borderId="76" xfId="26" applyBorder="1" applyAlignment="1">
      <alignment horizontal="left" vertical="top"/>
    </xf>
    <xf numFmtId="0" fontId="65" fillId="0" borderId="8" xfId="26" applyBorder="1" applyAlignment="1">
      <alignment horizontal="left" vertical="top"/>
    </xf>
    <xf numFmtId="0" fontId="3" fillId="0" borderId="0" xfId="91"/>
    <xf numFmtId="0" fontId="3" fillId="0" borderId="39" xfId="91" applyBorder="1"/>
    <xf numFmtId="192" fontId="3" fillId="24" borderId="39" xfId="91" applyNumberFormat="1" applyFill="1" applyBorder="1"/>
    <xf numFmtId="192" fontId="3" fillId="0" borderId="0" xfId="91" applyNumberFormat="1"/>
    <xf numFmtId="0" fontId="122" fillId="0" borderId="0" xfId="92"/>
    <xf numFmtId="17" fontId="3" fillId="0" borderId="0" xfId="91" applyNumberFormat="1"/>
    <xf numFmtId="192" fontId="3" fillId="24" borderId="0" xfId="91" applyNumberFormat="1" applyFill="1"/>
    <xf numFmtId="0" fontId="2" fillId="0" borderId="0" xfId="91" applyFont="1"/>
    <xf numFmtId="0" fontId="127" fillId="0" borderId="0" xfId="91" applyFont="1"/>
    <xf numFmtId="192" fontId="127" fillId="0" borderId="0" xfId="91" applyNumberFormat="1" applyFont="1"/>
    <xf numFmtId="0" fontId="128" fillId="0" borderId="0" xfId="91" applyFont="1"/>
    <xf numFmtId="0" fontId="129" fillId="0" borderId="0" xfId="91" applyFont="1"/>
    <xf numFmtId="0" fontId="3" fillId="24" borderId="0" xfId="91" applyFill="1"/>
    <xf numFmtId="0" fontId="124" fillId="0" borderId="0" xfId="91" applyFont="1"/>
    <xf numFmtId="192" fontId="2" fillId="0" borderId="0" xfId="91" applyNumberFormat="1" applyFont="1"/>
    <xf numFmtId="0" fontId="123" fillId="35" borderId="0" xfId="21" applyFont="1" applyFill="1"/>
    <xf numFmtId="0" fontId="124" fillId="0" borderId="0" xfId="26" applyFont="1" applyAlignment="1">
      <alignment horizontal="left" vertical="top"/>
    </xf>
    <xf numFmtId="0" fontId="113" fillId="0" borderId="0" xfId="26" applyFont="1" applyAlignment="1">
      <alignment horizontal="left" vertical="top"/>
    </xf>
    <xf numFmtId="182" fontId="125" fillId="0" borderId="21" xfId="21" applyNumberFormat="1" applyFont="1" applyBorder="1"/>
    <xf numFmtId="182" fontId="125" fillId="0" borderId="74" xfId="21" applyNumberFormat="1" applyFont="1" applyBorder="1"/>
    <xf numFmtId="182" fontId="125" fillId="0" borderId="20" xfId="21" applyNumberFormat="1" applyFont="1" applyBorder="1"/>
    <xf numFmtId="182" fontId="125" fillId="0" borderId="14" xfId="21" applyNumberFormat="1" applyFont="1" applyBorder="1"/>
    <xf numFmtId="182" fontId="125" fillId="0" borderId="0" xfId="21" applyNumberFormat="1" applyFont="1"/>
    <xf numFmtId="182" fontId="125" fillId="0" borderId="13" xfId="21" applyNumberFormat="1" applyFont="1" applyBorder="1"/>
    <xf numFmtId="181" fontId="125" fillId="0" borderId="14" xfId="21" applyNumberFormat="1" applyFont="1" applyBorder="1"/>
    <xf numFmtId="181" fontId="125" fillId="0" borderId="0" xfId="21" applyNumberFormat="1" applyFont="1"/>
    <xf numFmtId="181" fontId="125" fillId="0" borderId="13" xfId="21" applyNumberFormat="1" applyFont="1" applyBorder="1"/>
    <xf numFmtId="0" fontId="123" fillId="35" borderId="14" xfId="21" applyFont="1" applyFill="1" applyBorder="1"/>
    <xf numFmtId="0" fontId="123" fillId="35" borderId="13" xfId="21" applyFont="1" applyFill="1" applyBorder="1"/>
    <xf numFmtId="0" fontId="113" fillId="0" borderId="14" xfId="26" applyFont="1" applyBorder="1" applyAlignment="1">
      <alignment horizontal="left" vertical="top"/>
    </xf>
    <xf numFmtId="0" fontId="113" fillId="0" borderId="13" xfId="26" applyFont="1" applyBorder="1" applyAlignment="1">
      <alignment horizontal="left" vertical="top"/>
    </xf>
    <xf numFmtId="0" fontId="2" fillId="33" borderId="14" xfId="21" applyFont="1" applyFill="1" applyBorder="1"/>
    <xf numFmtId="0" fontId="2" fillId="33" borderId="0" xfId="21" applyFont="1" applyFill="1"/>
    <xf numFmtId="0" fontId="2" fillId="33" borderId="13" xfId="21" applyFont="1" applyFill="1" applyBorder="1"/>
    <xf numFmtId="0" fontId="128" fillId="0" borderId="0" xfId="26" applyFont="1" applyAlignment="1">
      <alignment horizontal="left" vertical="top"/>
    </xf>
    <xf numFmtId="182" fontId="129" fillId="24" borderId="0" xfId="21" applyNumberFormat="1" applyFont="1" applyFill="1"/>
    <xf numFmtId="182" fontId="129" fillId="24" borderId="13" xfId="21" applyNumberFormat="1" applyFont="1" applyFill="1" applyBorder="1"/>
    <xf numFmtId="0" fontId="12" fillId="0" borderId="77" xfId="0" applyNumberFormat="1" applyFont="1" applyBorder="1"/>
    <xf numFmtId="0" fontId="65" fillId="0" borderId="78" xfId="26" applyBorder="1" applyAlignment="1">
      <alignment horizontal="left" vertical="top"/>
    </xf>
    <xf numFmtId="0" fontId="65" fillId="0" borderId="79" xfId="26" applyBorder="1" applyAlignment="1">
      <alignment horizontal="left" vertical="top"/>
    </xf>
    <xf numFmtId="184" fontId="77" fillId="0" borderId="80" xfId="0" applyNumberFormat="1" applyFont="1" applyBorder="1" applyAlignment="1">
      <alignment horizontal="center"/>
    </xf>
    <xf numFmtId="0" fontId="65" fillId="0" borderId="81" xfId="26" applyBorder="1" applyAlignment="1">
      <alignment horizontal="left" vertical="top"/>
    </xf>
    <xf numFmtId="0" fontId="62" fillId="31" borderId="82" xfId="21" applyFont="1" applyFill="1" applyBorder="1" applyProtection="1">
      <protection locked="0"/>
    </xf>
    <xf numFmtId="0" fontId="46" fillId="33" borderId="81" xfId="21" applyFill="1" applyBorder="1"/>
    <xf numFmtId="0" fontId="57" fillId="35" borderId="83" xfId="21" applyFont="1" applyFill="1" applyBorder="1"/>
    <xf numFmtId="0" fontId="57" fillId="35" borderId="84" xfId="21" applyFont="1" applyFill="1" applyBorder="1"/>
    <xf numFmtId="0" fontId="56" fillId="34" borderId="85" xfId="21" applyFont="1" applyFill="1" applyBorder="1"/>
    <xf numFmtId="0" fontId="56" fillId="34" borderId="86" xfId="21" applyFont="1" applyFill="1" applyBorder="1" applyAlignment="1">
      <alignment wrapText="1"/>
    </xf>
    <xf numFmtId="0" fontId="47" fillId="0" borderId="82" xfId="21" applyFont="1" applyBorder="1" applyAlignment="1">
      <alignment horizontal="left" vertical="top"/>
    </xf>
    <xf numFmtId="181" fontId="61" fillId="0" borderId="84" xfId="21" applyNumberFormat="1" applyFont="1" applyBorder="1"/>
    <xf numFmtId="181" fontId="61" fillId="0" borderId="87" xfId="21" applyNumberFormat="1" applyFont="1" applyBorder="1"/>
    <xf numFmtId="0" fontId="47" fillId="0" borderId="80" xfId="21" applyFont="1" applyBorder="1" applyAlignment="1">
      <alignment horizontal="left" vertical="top"/>
    </xf>
    <xf numFmtId="181" fontId="61" fillId="0" borderId="81" xfId="21" applyNumberFormat="1" applyFont="1" applyBorder="1"/>
    <xf numFmtId="0" fontId="57" fillId="35" borderId="83" xfId="78" applyFont="1" applyFill="1" applyBorder="1"/>
    <xf numFmtId="0" fontId="56" fillId="34" borderId="85" xfId="78" applyFont="1" applyFill="1" applyBorder="1"/>
    <xf numFmtId="0" fontId="56" fillId="34" borderId="86" xfId="73" applyFont="1" applyFill="1" applyBorder="1" applyAlignment="1">
      <alignment wrapText="1"/>
    </xf>
    <xf numFmtId="0" fontId="47" fillId="0" borderId="82" xfId="78" applyFont="1" applyBorder="1" applyAlignment="1">
      <alignment horizontal="left" vertical="top"/>
    </xf>
    <xf numFmtId="181" fontId="61" fillId="0" borderId="84" xfId="73" applyNumberFormat="1" applyFont="1" applyBorder="1"/>
    <xf numFmtId="0" fontId="65" fillId="0" borderId="80" xfId="26" applyBorder="1" applyAlignment="1">
      <alignment horizontal="left" vertical="top"/>
    </xf>
    <xf numFmtId="0" fontId="72" fillId="0" borderId="82" xfId="21" applyFont="1" applyBorder="1" applyAlignment="1">
      <alignment horizontal="left" vertical="top"/>
    </xf>
    <xf numFmtId="181" fontId="61" fillId="38" borderId="84" xfId="21" applyNumberFormat="1" applyFont="1" applyFill="1" applyBorder="1"/>
    <xf numFmtId="0" fontId="62" fillId="31" borderId="82" xfId="64" applyFont="1" applyFill="1" applyBorder="1" applyProtection="1">
      <protection locked="0"/>
    </xf>
    <xf numFmtId="0" fontId="57" fillId="35" borderId="83" xfId="64" applyFont="1" applyFill="1" applyBorder="1"/>
    <xf numFmtId="0" fontId="56" fillId="34" borderId="85" xfId="64" applyFont="1" applyFill="1" applyBorder="1"/>
    <xf numFmtId="0" fontId="56" fillId="34" borderId="86" xfId="59" applyFont="1" applyFill="1" applyBorder="1" applyAlignment="1">
      <alignment wrapText="1"/>
    </xf>
    <xf numFmtId="0" fontId="47" fillId="0" borderId="82" xfId="64" applyFont="1" applyBorder="1" applyAlignment="1">
      <alignment horizontal="left" vertical="top"/>
    </xf>
    <xf numFmtId="181" fontId="61" fillId="0" borderId="84" xfId="59" applyNumberFormat="1" applyFont="1" applyBorder="1"/>
    <xf numFmtId="181" fontId="61" fillId="38" borderId="84" xfId="59" applyNumberFormat="1" applyFont="1" applyFill="1" applyBorder="1"/>
    <xf numFmtId="0" fontId="62" fillId="31" borderId="82" xfId="41" applyFont="1" applyFill="1" applyBorder="1" applyProtection="1">
      <protection locked="0"/>
    </xf>
    <xf numFmtId="0" fontId="57" fillId="35" borderId="83" xfId="52" applyFont="1" applyFill="1" applyBorder="1"/>
    <xf numFmtId="0" fontId="56" fillId="34" borderId="85" xfId="52" applyFont="1" applyFill="1" applyBorder="1"/>
    <xf numFmtId="0" fontId="56" fillId="34" borderId="86" xfId="47" applyFont="1" applyFill="1" applyBorder="1" applyAlignment="1">
      <alignment wrapText="1"/>
    </xf>
    <xf numFmtId="0" fontId="47" fillId="0" borderId="82" xfId="52" applyFont="1" applyBorder="1" applyAlignment="1">
      <alignment horizontal="left" vertical="top"/>
    </xf>
    <xf numFmtId="181" fontId="61" fillId="0" borderId="84" xfId="47" applyNumberFormat="1" applyFont="1" applyBorder="1"/>
    <xf numFmtId="181" fontId="61" fillId="38" borderId="84" xfId="47" applyNumberFormat="1" applyFont="1" applyFill="1" applyBorder="1"/>
    <xf numFmtId="0" fontId="62" fillId="31" borderId="82" xfId="39" applyFont="1" applyFill="1" applyBorder="1" applyProtection="1">
      <protection locked="0"/>
    </xf>
    <xf numFmtId="0" fontId="57" fillId="35" borderId="83" xfId="39" applyFont="1" applyFill="1" applyBorder="1"/>
    <xf numFmtId="0" fontId="56" fillId="34" borderId="85" xfId="39" applyFont="1" applyFill="1" applyBorder="1"/>
    <xf numFmtId="0" fontId="56" fillId="34" borderId="86" xfId="34" applyFont="1" applyFill="1" applyBorder="1" applyAlignment="1">
      <alignment wrapText="1"/>
    </xf>
    <xf numFmtId="0" fontId="47" fillId="0" borderId="82" xfId="39" applyFont="1" applyBorder="1" applyAlignment="1">
      <alignment horizontal="left" vertical="top"/>
    </xf>
    <xf numFmtId="181" fontId="61" fillId="0" borderId="84" xfId="34" applyNumberFormat="1" applyFont="1" applyBorder="1"/>
    <xf numFmtId="0" fontId="65" fillId="0" borderId="88" xfId="26" applyBorder="1" applyAlignment="1">
      <alignment horizontal="left" vertical="top"/>
    </xf>
    <xf numFmtId="0" fontId="65" fillId="0" borderId="89" xfId="26" applyBorder="1" applyAlignment="1">
      <alignment horizontal="left" vertical="top"/>
    </xf>
    <xf numFmtId="0" fontId="66" fillId="0" borderId="89" xfId="26" applyFont="1" applyBorder="1" applyAlignment="1">
      <alignment horizontal="left" vertical="top"/>
    </xf>
    <xf numFmtId="0" fontId="65" fillId="0" borderId="90" xfId="26" applyBorder="1" applyAlignment="1">
      <alignment horizontal="left" vertical="top"/>
    </xf>
    <xf numFmtId="0" fontId="65" fillId="0" borderId="91" xfId="26" applyBorder="1" applyAlignment="1">
      <alignment horizontal="left" vertical="top"/>
    </xf>
    <xf numFmtId="0" fontId="65" fillId="0" borderId="92" xfId="26" applyBorder="1" applyAlignment="1">
      <alignment horizontal="left" vertical="top"/>
    </xf>
    <xf numFmtId="0" fontId="65" fillId="0" borderId="93" xfId="26" applyBorder="1" applyAlignment="1">
      <alignment horizontal="left" vertical="top"/>
    </xf>
    <xf numFmtId="0" fontId="65" fillId="0" borderId="94" xfId="26" applyBorder="1" applyAlignment="1">
      <alignment horizontal="left" vertical="top"/>
    </xf>
    <xf numFmtId="0" fontId="131" fillId="0" borderId="80" xfId="26" applyFont="1" applyBorder="1" applyAlignment="1">
      <alignment horizontal="left" vertical="top"/>
    </xf>
    <xf numFmtId="0" fontId="131" fillId="0" borderId="0" xfId="26" applyFont="1" applyAlignment="1">
      <alignment horizontal="left" vertical="top"/>
    </xf>
    <xf numFmtId="0" fontId="46" fillId="33" borderId="94" xfId="21" applyFill="1" applyBorder="1"/>
    <xf numFmtId="0" fontId="57" fillId="35" borderId="80" xfId="21" applyFont="1" applyFill="1" applyBorder="1"/>
    <xf numFmtId="0" fontId="57" fillId="35" borderId="94" xfId="21" applyFont="1" applyFill="1" applyBorder="1"/>
    <xf numFmtId="182" fontId="61" fillId="0" borderId="95" xfId="21" applyNumberFormat="1" applyFont="1" applyBorder="1"/>
    <xf numFmtId="182" fontId="61" fillId="0" borderId="96" xfId="21" applyNumberFormat="1" applyFont="1" applyBorder="1"/>
    <xf numFmtId="182" fontId="61" fillId="0" borderId="80" xfId="21" applyNumberFormat="1" applyFont="1" applyBorder="1"/>
    <xf numFmtId="182" fontId="61" fillId="0" borderId="94" xfId="21" applyNumberFormat="1" applyFont="1" applyBorder="1"/>
    <xf numFmtId="181" fontId="61" fillId="0" borderId="80" xfId="21" applyNumberFormat="1" applyFont="1" applyBorder="1"/>
    <xf numFmtId="181" fontId="61" fillId="0" borderId="94" xfId="21" applyNumberFormat="1" applyFont="1" applyBorder="1"/>
    <xf numFmtId="0" fontId="46" fillId="33" borderId="80" xfId="21" applyFill="1" applyBorder="1"/>
    <xf numFmtId="0" fontId="65" fillId="0" borderId="97" xfId="26" applyBorder="1" applyAlignment="1">
      <alignment horizontal="left" vertical="top"/>
    </xf>
    <xf numFmtId="0" fontId="65" fillId="0" borderId="98" xfId="26" applyBorder="1" applyAlignment="1">
      <alignment horizontal="left" vertical="top"/>
    </xf>
    <xf numFmtId="0" fontId="65" fillId="0" borderId="99" xfId="26" applyBorder="1" applyAlignment="1">
      <alignment horizontal="left" vertical="top"/>
    </xf>
    <xf numFmtId="0" fontId="132" fillId="0" borderId="92" xfId="26" applyFont="1" applyBorder="1" applyAlignment="1">
      <alignment horizontal="left" vertical="top"/>
    </xf>
    <xf numFmtId="0" fontId="47" fillId="0" borderId="51" xfId="21" applyFont="1" applyBorder="1" applyAlignment="1">
      <alignment horizontal="left" vertical="top"/>
    </xf>
    <xf numFmtId="1" fontId="105" fillId="0" borderId="0" xfId="82" applyNumberFormat="1" applyFont="1" applyFill="1" applyAlignment="1">
      <alignment horizontal="center"/>
    </xf>
    <xf numFmtId="182" fontId="133" fillId="41" borderId="14" xfId="21" applyNumberFormat="1" applyFont="1" applyFill="1" applyBorder="1"/>
    <xf numFmtId="175" fontId="8"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1" fillId="28" borderId="0" xfId="0" applyNumberFormat="1" applyFont="1" applyFill="1"/>
    <xf numFmtId="169" fontId="4" fillId="28" borderId="0" xfId="17" applyNumberFormat="1" applyFill="1"/>
    <xf numFmtId="170" fontId="11" fillId="28" borderId="0" xfId="1" applyNumberFormat="1" applyFont="1" applyFill="1" applyBorder="1"/>
    <xf numFmtId="0" fontId="11" fillId="28" borderId="0" xfId="1" applyNumberFormat="1" applyFont="1" applyFill="1" applyBorder="1"/>
    <xf numFmtId="169" fontId="11" fillId="28" borderId="0" xfId="0" applyNumberFormat="1" applyFont="1" applyFill="1"/>
    <xf numFmtId="2" fontId="11" fillId="28" borderId="0" xfId="0" applyNumberFormat="1" applyFont="1" applyFill="1"/>
    <xf numFmtId="0" fontId="7" fillId="28" borderId="0" xfId="5" applyNumberFormat="1" applyFill="1" applyBorder="1"/>
    <xf numFmtId="0" fontId="7"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7" fillId="28" borderId="0" xfId="5" applyNumberFormat="1" applyFill="1" applyBorder="1"/>
    <xf numFmtId="168" fontId="0" fillId="28" borderId="0" xfId="1" applyNumberFormat="1" applyFont="1" applyFill="1" applyBorder="1"/>
    <xf numFmtId="0" fontId="41" fillId="28" borderId="14" xfId="0" applyNumberFormat="1" applyFont="1" applyFill="1" applyBorder="1"/>
    <xf numFmtId="0" fontId="41" fillId="28" borderId="0" xfId="0" applyNumberFormat="1" applyFont="1" applyFill="1"/>
    <xf numFmtId="0" fontId="41" fillId="28" borderId="0" xfId="1" applyNumberFormat="1" applyFont="1" applyFill="1" applyBorder="1"/>
    <xf numFmtId="175" fontId="41" fillId="28" borderId="0" xfId="0" applyNumberFormat="1" applyFont="1" applyFill="1"/>
    <xf numFmtId="167" fontId="41" fillId="28" borderId="0" xfId="2" applyNumberFormat="1" applyFont="1" applyFill="1" applyBorder="1"/>
    <xf numFmtId="0" fontId="41"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192" fontId="124" fillId="24" borderId="0" xfId="91" applyNumberFormat="1" applyFont="1" applyFill="1"/>
    <xf numFmtId="2" fontId="0" fillId="49" borderId="0" xfId="0" applyNumberFormat="1" applyFill="1"/>
    <xf numFmtId="175" fontId="0" fillId="49" borderId="0" xfId="1" applyNumberFormat="1" applyFont="1" applyFill="1" applyBorder="1"/>
    <xf numFmtId="0" fontId="0" fillId="49" borderId="0" xfId="0" applyNumberFormat="1" applyFill="1"/>
    <xf numFmtId="165" fontId="0" fillId="49" borderId="0" xfId="0" applyFill="1"/>
    <xf numFmtId="175" fontId="8"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4" fillId="49" borderId="0" xfId="20" applyNumberFormat="1" applyFill="1"/>
    <xf numFmtId="175" fontId="0" fillId="49" borderId="0" xfId="0" applyNumberFormat="1" applyFill="1"/>
    <xf numFmtId="0" fontId="0" fillId="49" borderId="0" xfId="1" applyNumberFormat="1" applyFont="1" applyFill="1" applyBorder="1"/>
    <xf numFmtId="0" fontId="11" fillId="49" borderId="0" xfId="0" applyNumberFormat="1" applyFont="1" applyFill="1"/>
    <xf numFmtId="168" fontId="0" fillId="49" borderId="0" xfId="1" applyNumberFormat="1" applyFont="1" applyFill="1" applyBorder="1"/>
    <xf numFmtId="2" fontId="103" fillId="24" borderId="0" xfId="82" applyNumberFormat="1" applyFill="1" applyAlignment="1">
      <alignment horizontal="center"/>
    </xf>
    <xf numFmtId="169" fontId="103" fillId="24" borderId="0" xfId="82" applyNumberFormat="1" applyFill="1" applyAlignment="1">
      <alignment horizontal="center"/>
    </xf>
    <xf numFmtId="0" fontId="13" fillId="24" borderId="0" xfId="12" applyFill="1" applyAlignment="1" applyProtection="1">
      <alignment horizontal="left"/>
      <protection locked="0"/>
    </xf>
    <xf numFmtId="0" fontId="13" fillId="0" borderId="0" xfId="12" applyAlignment="1">
      <alignment horizontal="left"/>
    </xf>
    <xf numFmtId="1" fontId="130" fillId="0" borderId="3" xfId="87" applyNumberFormat="1" applyFont="1" applyFill="1" applyBorder="1" applyAlignment="1">
      <alignment horizontal="center"/>
    </xf>
    <xf numFmtId="1" fontId="134" fillId="0" borderId="0" xfId="82" applyNumberFormat="1" applyFont="1" applyFill="1" applyAlignment="1">
      <alignment horizontal="center"/>
    </xf>
    <xf numFmtId="0" fontId="2" fillId="24" borderId="0" xfId="91" applyFont="1" applyFill="1"/>
    <xf numFmtId="192" fontId="3" fillId="49" borderId="0" xfId="91" applyNumberFormat="1" applyFill="1"/>
    <xf numFmtId="0" fontId="125" fillId="49" borderId="0" xfId="91" applyFont="1" applyFill="1"/>
    <xf numFmtId="0" fontId="2" fillId="49" borderId="0" xfId="91" applyFont="1" applyFill="1"/>
    <xf numFmtId="0" fontId="3" fillId="49" borderId="0" xfId="91" applyFill="1"/>
    <xf numFmtId="192" fontId="129" fillId="49" borderId="0" xfId="91" applyNumberFormat="1" applyFont="1" applyFill="1"/>
    <xf numFmtId="0" fontId="129" fillId="49" borderId="0" xfId="91" applyFont="1" applyFill="1"/>
    <xf numFmtId="192" fontId="124" fillId="49" borderId="0" xfId="91" applyNumberFormat="1" applyFont="1" applyFill="1"/>
    <xf numFmtId="165" fontId="0" fillId="0" borderId="16" xfId="0" applyBorder="1"/>
    <xf numFmtId="0" fontId="0" fillId="50" borderId="16" xfId="0" applyNumberFormat="1" applyFill="1" applyBorder="1"/>
    <xf numFmtId="0" fontId="0" fillId="51" borderId="16" xfId="0" applyNumberFormat="1" applyFill="1" applyBorder="1"/>
    <xf numFmtId="165" fontId="84" fillId="0" borderId="16" xfId="0" applyFont="1" applyBorder="1"/>
    <xf numFmtId="167" fontId="0" fillId="24" borderId="16" xfId="2" applyNumberFormat="1" applyFont="1" applyFill="1" applyBorder="1"/>
    <xf numFmtId="168" fontId="0" fillId="51" borderId="16" xfId="0" applyNumberFormat="1" applyFill="1" applyBorder="1"/>
    <xf numFmtId="0" fontId="0" fillId="24" borderId="16" xfId="0" applyNumberFormat="1" applyFill="1" applyBorder="1"/>
    <xf numFmtId="0" fontId="0" fillId="24" borderId="22" xfId="0" applyNumberFormat="1" applyFill="1" applyBorder="1" applyAlignment="1">
      <alignment horizontal="center"/>
    </xf>
    <xf numFmtId="0" fontId="12" fillId="0" borderId="16" xfId="0" applyNumberFormat="1" applyFont="1" applyBorder="1"/>
    <xf numFmtId="165" fontId="12" fillId="0" borderId="16" xfId="0" applyFont="1" applyBorder="1"/>
    <xf numFmtId="165" fontId="12" fillId="0" borderId="51" xfId="0" applyFont="1" applyBorder="1"/>
    <xf numFmtId="0" fontId="12" fillId="24" borderId="100" xfId="0" applyNumberFormat="1" applyFont="1" applyFill="1" applyBorder="1" applyAlignment="1">
      <alignment horizontal="center"/>
    </xf>
    <xf numFmtId="0" fontId="12" fillId="24" borderId="53" xfId="0" applyNumberFormat="1" applyFont="1" applyFill="1" applyBorder="1"/>
    <xf numFmtId="165" fontId="130" fillId="24" borderId="16" xfId="0" applyFont="1" applyFill="1" applyBorder="1" applyAlignment="1">
      <alignment horizontal="center"/>
    </xf>
    <xf numFmtId="165" fontId="0" fillId="52" borderId="16" xfId="0" applyFill="1" applyBorder="1"/>
    <xf numFmtId="0" fontId="0" fillId="0" borderId="16" xfId="0" applyNumberFormat="1" applyBorder="1"/>
    <xf numFmtId="4" fontId="0" fillId="31" borderId="45" xfId="0" applyNumberFormat="1" applyFill="1" applyBorder="1"/>
    <xf numFmtId="4" fontId="0" fillId="0" borderId="16" xfId="0" applyNumberFormat="1" applyBorder="1"/>
    <xf numFmtId="10" fontId="136" fillId="24" borderId="16" xfId="2" applyNumberFormat="1" applyFont="1" applyFill="1" applyBorder="1"/>
    <xf numFmtId="4" fontId="0" fillId="50" borderId="16" xfId="0" applyNumberFormat="1" applyFill="1" applyBorder="1"/>
    <xf numFmtId="4" fontId="0" fillId="31" borderId="16" xfId="0" applyNumberFormat="1" applyFill="1" applyBorder="1"/>
    <xf numFmtId="165" fontId="0" fillId="53" borderId="16" xfId="0" applyFill="1" applyBorder="1"/>
    <xf numFmtId="0" fontId="2" fillId="0" borderId="0" xfId="93"/>
    <xf numFmtId="17" fontId="2" fillId="0" borderId="0" xfId="93" applyNumberFormat="1"/>
    <xf numFmtId="192" fontId="2" fillId="0" borderId="0" xfId="93" applyNumberFormat="1"/>
    <xf numFmtId="0" fontId="2" fillId="34" borderId="0" xfId="93" applyFill="1"/>
    <xf numFmtId="192" fontId="2" fillId="34" borderId="0" xfId="93" applyNumberFormat="1" applyFill="1"/>
    <xf numFmtId="192" fontId="2" fillId="24" borderId="39" xfId="93" applyNumberFormat="1" applyFill="1" applyBorder="1"/>
    <xf numFmtId="0" fontId="2" fillId="0" borderId="39" xfId="93" applyBorder="1"/>
    <xf numFmtId="0" fontId="15" fillId="0" borderId="0" xfId="13" applyNumberFormat="1" applyAlignment="1" applyProtection="1"/>
    <xf numFmtId="192" fontId="2" fillId="24" borderId="0" xfId="93" applyNumberFormat="1" applyFill="1"/>
    <xf numFmtId="0" fontId="2" fillId="24" borderId="0" xfId="93" applyFill="1"/>
    <xf numFmtId="192" fontId="2" fillId="49" borderId="0" xfId="93" applyNumberFormat="1" applyFill="1"/>
    <xf numFmtId="0" fontId="125" fillId="49" borderId="0" xfId="93" applyFont="1" applyFill="1"/>
    <xf numFmtId="192" fontId="2" fillId="54" borderId="0" xfId="93" applyNumberFormat="1" applyFill="1"/>
    <xf numFmtId="0" fontId="2" fillId="54" borderId="0" xfId="93" applyFill="1"/>
    <xf numFmtId="0" fontId="125" fillId="54" borderId="0" xfId="93" applyFont="1" applyFill="1"/>
    <xf numFmtId="0" fontId="124" fillId="0" borderId="0" xfId="93" applyFont="1"/>
    <xf numFmtId="192" fontId="2" fillId="55" borderId="0" xfId="93" applyNumberFormat="1" applyFill="1"/>
    <xf numFmtId="0" fontId="2" fillId="55" borderId="0" xfId="93" applyFill="1"/>
    <xf numFmtId="0" fontId="2" fillId="49" borderId="0" xfId="93" applyFill="1"/>
    <xf numFmtId="192" fontId="137" fillId="24" borderId="0" xfId="93" applyNumberFormat="1" applyFont="1" applyFill="1"/>
    <xf numFmtId="0" fontId="2" fillId="56" borderId="0" xfId="93" applyFill="1"/>
    <xf numFmtId="192" fontId="2" fillId="56" borderId="0" xfId="93" applyNumberFormat="1" applyFill="1"/>
    <xf numFmtId="0" fontId="129" fillId="0" borderId="0" xfId="93" applyFont="1"/>
    <xf numFmtId="192" fontId="129" fillId="0" borderId="0" xfId="93" applyNumberFormat="1" applyFont="1"/>
    <xf numFmtId="193" fontId="0" fillId="0" borderId="0" xfId="0" applyNumberFormat="1"/>
    <xf numFmtId="192" fontId="0" fillId="0" borderId="0" xfId="0" applyNumberFormat="1"/>
    <xf numFmtId="165" fontId="135" fillId="35" borderId="0" xfId="0" applyFont="1" applyFill="1"/>
    <xf numFmtId="0" fontId="12" fillId="0" borderId="0" xfId="0" quotePrefix="1" applyNumberFormat="1" applyFont="1"/>
    <xf numFmtId="194" fontId="0" fillId="49" borderId="0" xfId="0" applyNumberFormat="1" applyFill="1"/>
    <xf numFmtId="194" fontId="0" fillId="24" borderId="0" xfId="0" applyNumberFormat="1" applyFill="1"/>
    <xf numFmtId="168" fontId="0" fillId="32" borderId="0" xfId="0" applyNumberFormat="1" applyFill="1"/>
    <xf numFmtId="169" fontId="103" fillId="57" borderId="0" xfId="82" applyNumberFormat="1" applyFill="1" applyAlignment="1">
      <alignment horizontal="center"/>
    </xf>
    <xf numFmtId="169" fontId="103" fillId="58" borderId="0" xfId="82" applyNumberFormat="1" applyFill="1" applyAlignment="1">
      <alignment horizontal="center"/>
    </xf>
    <xf numFmtId="1" fontId="136" fillId="33" borderId="0" xfId="1" applyNumberFormat="1" applyFont="1" applyFill="1" applyBorder="1"/>
    <xf numFmtId="0" fontId="136" fillId="33" borderId="0" xfId="0" applyNumberFormat="1" applyFont="1" applyFill="1"/>
    <xf numFmtId="167" fontId="136" fillId="33" borderId="0" xfId="2" applyNumberFormat="1" applyFont="1" applyFill="1" applyBorder="1"/>
    <xf numFmtId="169" fontId="136" fillId="33" borderId="0" xfId="0" applyNumberFormat="1" applyFont="1" applyFill="1"/>
    <xf numFmtId="169" fontId="136" fillId="33" borderId="13" xfId="0" applyNumberFormat="1" applyFont="1" applyFill="1" applyBorder="1"/>
    <xf numFmtId="0" fontId="0" fillId="0" borderId="0" xfId="0" applyNumberFormat="1" applyAlignment="1">
      <alignment wrapText="1"/>
    </xf>
    <xf numFmtId="10" fontId="0" fillId="0" borderId="0" xfId="2" applyNumberFormat="1" applyFont="1" applyFill="1" applyAlignment="1">
      <alignment horizontal="center" vertical="center"/>
    </xf>
    <xf numFmtId="2" fontId="11" fillId="0" borderId="0" xfId="0" applyNumberFormat="1" applyFont="1"/>
    <xf numFmtId="9" fontId="0" fillId="0" borderId="42" xfId="2" applyFont="1" applyFill="1" applyBorder="1"/>
    <xf numFmtId="165" fontId="0" fillId="57" borderId="0" xfId="0" applyFill="1"/>
    <xf numFmtId="165" fontId="136" fillId="57" borderId="0" xfId="0" applyFont="1" applyFill="1"/>
    <xf numFmtId="0" fontId="1" fillId="59" borderId="0" xfId="93" applyFont="1" applyFill="1"/>
    <xf numFmtId="9" fontId="2" fillId="59" borderId="0" xfId="93" applyNumberFormat="1" applyFill="1"/>
    <xf numFmtId="9" fontId="139" fillId="24" borderId="0" xfId="93" applyNumberFormat="1" applyFont="1" applyFill="1"/>
    <xf numFmtId="192" fontId="140" fillId="60" borderId="0" xfId="93" applyNumberFormat="1" applyFont="1" applyFill="1"/>
    <xf numFmtId="0" fontId="140" fillId="60" borderId="0" xfId="93" applyFont="1" applyFill="1"/>
    <xf numFmtId="192" fontId="2" fillId="41" borderId="0" xfId="93" applyNumberFormat="1" applyFill="1"/>
    <xf numFmtId="0" fontId="107" fillId="0" borderId="0" xfId="12" applyFont="1" applyAlignment="1">
      <alignment horizontal="center"/>
    </xf>
    <xf numFmtId="0" fontId="138" fillId="59" borderId="0" xfId="93" applyFont="1" applyFill="1" applyAlignment="1">
      <alignment horizontal="center"/>
    </xf>
    <xf numFmtId="0" fontId="140" fillId="60" borderId="0" xfId="93" applyFont="1" applyFill="1" applyAlignment="1">
      <alignment wrapText="1"/>
    </xf>
    <xf numFmtId="165" fontId="88" fillId="0" borderId="22" xfId="0" applyFont="1" applyBorder="1" applyAlignment="1">
      <alignment horizontal="left" vertical="center"/>
    </xf>
    <xf numFmtId="165" fontId="88" fillId="0" borderId="10" xfId="0" applyFont="1" applyBorder="1" applyAlignment="1">
      <alignment horizontal="left" vertical="center"/>
    </xf>
    <xf numFmtId="165" fontId="88" fillId="0" borderId="22" xfId="0" applyFont="1" applyBorder="1" applyAlignment="1">
      <alignment horizontal="center" vertical="center" wrapText="1"/>
    </xf>
    <xf numFmtId="165" fontId="88" fillId="0" borderId="10" xfId="0" applyFont="1" applyBorder="1" applyAlignment="1">
      <alignment horizontal="center" vertical="center" wrapText="1"/>
    </xf>
    <xf numFmtId="165" fontId="88" fillId="0" borderId="22" xfId="0" applyFont="1" applyBorder="1" applyAlignment="1">
      <alignment horizontal="center" vertical="center"/>
    </xf>
    <xf numFmtId="165" fontId="88" fillId="0" borderId="10" xfId="0" applyFont="1" applyBorder="1" applyAlignment="1">
      <alignment horizontal="center" vertical="center"/>
    </xf>
    <xf numFmtId="165" fontId="88" fillId="0" borderId="20" xfId="0" applyFont="1" applyBorder="1" applyAlignment="1">
      <alignment horizontal="center" vertical="center" wrapText="1"/>
    </xf>
    <xf numFmtId="165" fontId="88" fillId="0" borderId="8" xfId="0" applyFont="1" applyBorder="1" applyAlignment="1">
      <alignment horizontal="center" vertical="center" wrapText="1"/>
    </xf>
  </cellXfs>
  <cellStyles count="94">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 2" xfId="93" xr:uid="{A281B63C-8D38-412A-B195-542A9F8856F3}"/>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C1DA"/>
      <color rgb="FFFF0066"/>
      <color rgb="FFAFEAFF"/>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data'!$A$11</c:f>
          <c:strCache>
            <c:ptCount val="1"/>
            <c:pt idx="0">
              <c:v>BEV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data'!$B$11</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data'!$C$11:$F$11</c:f>
              <c:numCache>
                <c:formatCode>0.000</c:formatCode>
                <c:ptCount val="4"/>
                <c:pt idx="0">
                  <c:v>3.5611050290305353</c:v>
                </c:pt>
                <c:pt idx="1">
                  <c:v>1</c:v>
                </c:pt>
                <c:pt idx="2">
                  <c:v>0.80975609756097566</c:v>
                </c:pt>
                <c:pt idx="3">
                  <c:v>0.71707317073170729</c:v>
                </c:pt>
              </c:numCache>
            </c:numRef>
          </c:yVal>
          <c:smooth val="0"/>
          <c:extLst>
            <c:ext xmlns:c16="http://schemas.microsoft.com/office/drawing/2014/chart" uri="{C3380CC4-5D6E-409C-BE32-E72D297353CC}">
              <c16:uniqueId val="{00000000-C148-467B-8578-4FB5F15E850C}"/>
            </c:ext>
          </c:extLst>
        </c:ser>
        <c:ser>
          <c:idx val="1"/>
          <c:order val="1"/>
          <c:tx>
            <c:strRef>
              <c:f>'IEAWEO2023 cost data'!$B$12</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data'!$C$12:$F$12</c:f>
              <c:numCache>
                <c:formatCode>0.000</c:formatCode>
                <c:ptCount val="4"/>
                <c:pt idx="0">
                  <c:v>3.5611050290305353</c:v>
                </c:pt>
                <c:pt idx="1">
                  <c:v>1</c:v>
                </c:pt>
                <c:pt idx="2">
                  <c:v>0.78536585365853662</c:v>
                </c:pt>
                <c:pt idx="3">
                  <c:v>0.68780487804878043</c:v>
                </c:pt>
              </c:numCache>
            </c:numRef>
          </c:yVal>
          <c:smooth val="0"/>
          <c:extLst>
            <c:ext xmlns:c16="http://schemas.microsoft.com/office/drawing/2014/chart" uri="{C3380CC4-5D6E-409C-BE32-E72D297353CC}">
              <c16:uniqueId val="{00000001-C148-467B-8578-4FB5F15E850C}"/>
            </c:ext>
          </c:extLst>
        </c:ser>
        <c:ser>
          <c:idx val="2"/>
          <c:order val="2"/>
          <c:tx>
            <c:strRef>
              <c:f>'IEAWEO2023 cost data'!$B$13</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data'!$C$13:$F$13</c:f>
              <c:numCache>
                <c:formatCode>0.000</c:formatCode>
                <c:ptCount val="4"/>
                <c:pt idx="0">
                  <c:v>3.5611050290305353</c:v>
                </c:pt>
                <c:pt idx="1">
                  <c:v>1</c:v>
                </c:pt>
                <c:pt idx="2">
                  <c:v>0.76097560975609757</c:v>
                </c:pt>
                <c:pt idx="3">
                  <c:v>0.66829268292682931</c:v>
                </c:pt>
              </c:numCache>
            </c:numRef>
          </c:yVal>
          <c:smooth val="0"/>
          <c:extLst>
            <c:ext xmlns:c16="http://schemas.microsoft.com/office/drawing/2014/chart" uri="{C3380CC4-5D6E-409C-BE32-E72D297353CC}">
              <c16:uniqueId val="{00000002-C148-467B-8578-4FB5F15E850C}"/>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'IEAWEO2023 cost data'!$A$17</c:f>
          <c:strCache>
            <c:ptCount val="1"/>
            <c:pt idx="0">
              <c:v>HEV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'IEAWEO2023 cost data'!$B$17</c:f>
              <c:strCache>
                <c:ptCount val="1"/>
                <c:pt idx="0">
                  <c:v>STEPS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data'!$C$17:$F$17</c:f>
              <c:numCache>
                <c:formatCode>0.000</c:formatCode>
                <c:ptCount val="4"/>
                <c:pt idx="0">
                  <c:v>2.0837431896804861</c:v>
                </c:pt>
                <c:pt idx="1">
                  <c:v>1</c:v>
                </c:pt>
                <c:pt idx="2">
                  <c:v>0.9107142857142857</c:v>
                </c:pt>
                <c:pt idx="3">
                  <c:v>0.91666666666666663</c:v>
                </c:pt>
              </c:numCache>
            </c:numRef>
          </c:yVal>
          <c:smooth val="0"/>
          <c:extLst>
            <c:ext xmlns:c16="http://schemas.microsoft.com/office/drawing/2014/chart" uri="{C3380CC4-5D6E-409C-BE32-E72D297353CC}">
              <c16:uniqueId val="{00000000-ECD2-455A-A9F8-038345C0BEF6}"/>
            </c:ext>
          </c:extLst>
        </c:ser>
        <c:ser>
          <c:idx val="1"/>
          <c:order val="1"/>
          <c:tx>
            <c:strRef>
              <c:f>'IEAWEO2023 cost data'!$B$18</c:f>
              <c:strCache>
                <c:ptCount val="1"/>
                <c:pt idx="0">
                  <c:v>APS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data'!$C$18:$F$18</c:f>
              <c:numCache>
                <c:formatCode>0.000</c:formatCode>
                <c:ptCount val="4"/>
                <c:pt idx="0">
                  <c:v>2.0837431896804861</c:v>
                </c:pt>
                <c:pt idx="1">
                  <c:v>1</c:v>
                </c:pt>
                <c:pt idx="2">
                  <c:v>0.90476190476190477</c:v>
                </c:pt>
                <c:pt idx="3">
                  <c:v>0.9107142857142857</c:v>
                </c:pt>
              </c:numCache>
            </c:numRef>
          </c:yVal>
          <c:smooth val="0"/>
          <c:extLst>
            <c:ext xmlns:c16="http://schemas.microsoft.com/office/drawing/2014/chart" uri="{C3380CC4-5D6E-409C-BE32-E72D297353CC}">
              <c16:uniqueId val="{00000001-ECD2-455A-A9F8-038345C0BEF6}"/>
            </c:ext>
          </c:extLst>
        </c:ser>
        <c:ser>
          <c:idx val="2"/>
          <c:order val="2"/>
          <c:tx>
            <c:strRef>
              <c:f>'IEAWEO2023 cost data'!$B$19</c:f>
              <c:strCache>
                <c:ptCount val="1"/>
                <c:pt idx="0">
                  <c:v>NZE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'IEAWEO2023 cost data'!$C$7:$F$7</c:f>
              <c:numCache>
                <c:formatCode>General</c:formatCode>
                <c:ptCount val="4"/>
                <c:pt idx="0">
                  <c:v>2010</c:v>
                </c:pt>
                <c:pt idx="1">
                  <c:v>2022</c:v>
                </c:pt>
                <c:pt idx="2">
                  <c:v>2030</c:v>
                </c:pt>
                <c:pt idx="3">
                  <c:v>2050</c:v>
                </c:pt>
              </c:numCache>
            </c:numRef>
          </c:xVal>
          <c:yVal>
            <c:numRef>
              <c:f>'IEAWEO2023 cost data'!$C$19:$F$19</c:f>
              <c:numCache>
                <c:formatCode>0.000</c:formatCode>
                <c:ptCount val="4"/>
                <c:pt idx="0">
                  <c:v>2.0837431896804861</c:v>
                </c:pt>
                <c:pt idx="1">
                  <c:v>1</c:v>
                </c:pt>
                <c:pt idx="2">
                  <c:v>0.89880952380952384</c:v>
                </c:pt>
                <c:pt idx="3">
                  <c:v>0.90476190476190477</c:v>
                </c:pt>
              </c:numCache>
            </c:numRef>
          </c:yVal>
          <c:smooth val="0"/>
          <c:extLst>
            <c:ext xmlns:c16="http://schemas.microsoft.com/office/drawing/2014/chart" uri="{C3380CC4-5D6E-409C-BE32-E72D297353CC}">
              <c16:uniqueId val="{00000002-ECD2-455A-A9F8-038345C0BEF6}"/>
            </c:ext>
          </c:extLst>
        </c:ser>
        <c:dLbls>
          <c:showLegendKey val="0"/>
          <c:showVal val="0"/>
          <c:showCatName val="0"/>
          <c:showSerName val="0"/>
          <c:showPercent val="0"/>
          <c:showBubbleSize val="0"/>
        </c:dLbls>
        <c:axId val="1874823248"/>
        <c:axId val="1588132496"/>
      </c:scatterChart>
      <c:valAx>
        <c:axId val="187482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32496"/>
        <c:crosses val="autoZero"/>
        <c:crossBetween val="midCat"/>
      </c:valAx>
      <c:valAx>
        <c:axId val="1588132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823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data-proc2023'!$V$20:$AB$20</c15:sqref>
                  </c15:fullRef>
                </c:ext>
              </c:extLst>
              <c:f>'Vehicle data-proc2023'!$W$20:$AB$20</c:f>
              <c:numCache>
                <c:formatCode>[$£-809]#,##0.00;[Red]"-"[$£-809]#,##0.00</c:formatCode>
                <c:ptCount val="6"/>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data-proc2023'!$V$21:$AB$21</c15:sqref>
                  </c15:fullRef>
                </c:ext>
              </c:extLst>
              <c:f>'Vehicle data-proc2023'!$W$21:$AB$21</c:f>
              <c:numCache>
                <c:formatCode>[$£-809]#,##0.00;[Red]"-"[$£-809]#,##0.00</c:formatCode>
                <c:ptCount val="6"/>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data-proc2023'!$V$22:$AB$22</c15:sqref>
                  </c15:fullRef>
                </c:ext>
              </c:extLst>
              <c:f>'Vehicle data-proc2023'!$W$22:$AB$22</c:f>
              <c:numCache>
                <c:formatCode>[$£-809]#,##0.00;[Red]"-"[$£-809]#,##0.00</c:formatCode>
                <c:ptCount val="6"/>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data-proc2023'!$V$23:$AB$23</c15:sqref>
                  </c15:fullRef>
                </c:ext>
              </c:extLst>
              <c:f>'Vehicle data-proc2023'!$W$23:$AB$23</c:f>
              <c:numCache>
                <c:formatCode>[$£-809]#,##0.00;[Red]"-"[$£-809]#,##0.00</c:formatCode>
                <c:ptCount val="6"/>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data-proc2023'!$V$24:$AB$24</c15:sqref>
                  </c15:fullRef>
                </c:ext>
              </c:extLst>
              <c:f>'Vehicle data-proc2023'!$W$24:$AB$24</c:f>
              <c:numCache>
                <c:formatCode>[$£-809]#,##0.00;[Red]"-"[$£-809]#,##0.00</c:formatCode>
                <c:ptCount val="6"/>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data-proc2023'!$V$25:$AB$25</c15:sqref>
                  </c15:fullRef>
                </c:ext>
              </c:extLst>
              <c:f>'Vehicle data-proc2023'!$W$25:$AB$25</c:f>
              <c:numCache>
                <c:formatCode>[$£-809]#,##0.00;[Red]"-"[$£-809]#,##0.00</c:formatCode>
                <c:ptCount val="6"/>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data-proc2023'!$V$26:$AB$26</c15:sqref>
                  </c15:fullRef>
                </c:ext>
              </c:extLst>
              <c:f>'Vehicle data-proc2023'!$W$26:$AB$26</c:f>
              <c:numCache>
                <c:formatCode>[$£-809]#,##0.00;[Red]"-"[$£-809]#,##0.00</c:formatCode>
                <c:ptCount val="6"/>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data-proc2023'!$V$27:$AB$27</c15:sqref>
                  </c15:fullRef>
                </c:ext>
              </c:extLst>
              <c:f>'Vehicle data-proc2023'!$W$27:$AB$27</c:f>
              <c:numCache>
                <c:formatCode>[$£-809]#,##0.00;[Red]"-"[$£-809]#,##0.00</c:formatCode>
                <c:ptCount val="6"/>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data-proc2023'!$V$28:$AB$28</c15:sqref>
                  </c15:fullRef>
                </c:ext>
              </c:extLst>
              <c:f>'Vehicle data-proc2023'!$W$28:$AB$28</c:f>
              <c:numCache>
                <c:formatCode>[$£-809]#,##0.00;[Red]"-"[$£-809]#,##0.00</c:formatCode>
                <c:ptCount val="6"/>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[$£-809]#,##0.00;[Red]"-"[$£-809]#,##0.00</c:formatCode>
                <c:ptCount val="6"/>
              </c:numCache>
            </c:numRef>
          </c:cat>
          <c:val>
            <c:numRef>
              <c:extLst>
                <c:ext xmlns:c15="http://schemas.microsoft.com/office/drawing/2012/chart" uri="{02D57815-91ED-43cb-92C2-25804820EDAC}">
                  <c15:fullRef>
                    <c15:sqref>'Vehicle data-proc2023'!$V$29:$AB$29</c15:sqref>
                  </c15:fullRef>
                </c:ext>
              </c:extLst>
              <c:f>'Vehicle data-proc2023'!$W$29:$AB$29</c:f>
              <c:numCache>
                <c:formatCode>[$£-809]#,##0.00;[Red]"-"[$£-809]#,##0.00</c:formatCode>
                <c:ptCount val="6"/>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809]#,##0.00;[Red]&quot;-&quot;[$£-809]#,##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809]#,##0.00;[Red]&quot;-&quot;[$£-8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data-proc2023'!$V$121:$AB$121</c:f>
              <c:numCache>
                <c:formatCode>0</c:formatCode>
                <c:ptCount val="7"/>
                <c:pt idx="0">
                  <c:v>2010</c:v>
                </c:pt>
                <c:pt idx="1">
                  <c:v>2018</c:v>
                </c:pt>
                <c:pt idx="2">
                  <c:v>2020</c:v>
                </c:pt>
                <c:pt idx="3">
                  <c:v>2030</c:v>
                </c:pt>
                <c:pt idx="4">
                  <c:v>2040</c:v>
                </c:pt>
                <c:pt idx="5">
                  <c:v>2050</c:v>
                </c:pt>
              </c:numCache>
            </c:numRef>
          </c:xVal>
          <c:yVal>
            <c:numRef>
              <c:f>'Vehicle data-proc2023'!$V$122:$AB$122</c:f>
              <c:numCache>
                <c:formatCode>0.0000</c:formatCode>
                <c:ptCount val="7"/>
                <c:pt idx="0">
                  <c:v>0</c:v>
                </c:pt>
                <c:pt idx="1">
                  <c:v>2.0232263513513513</c:v>
                </c:pt>
                <c:pt idx="2">
                  <c:v>0</c:v>
                </c:pt>
                <c:pt idx="3">
                  <c:v>0</c:v>
                </c:pt>
                <c:pt idx="4">
                  <c:v>0</c:v>
                </c:pt>
                <c:pt idx="5">
                  <c:v>0</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data-proc2023'!$AA$1</c:f>
              <c:strCache>
                <c:ptCount val="1"/>
                <c:pt idx="0">
                  <c:v>PAS</c:v>
                </c:pt>
              </c:strCache>
            </c:strRef>
          </c:tx>
          <c:spPr>
            <a:ln w="28575" cap="rnd">
              <a:solidFill>
                <a:schemeClr val="accent1"/>
              </a:solidFill>
              <a:round/>
            </a:ln>
            <a:effectLst/>
          </c:spPr>
          <c:marker>
            <c:symbol val="none"/>
          </c:marker>
          <c:cat>
            <c:numRef>
              <c:f>'Vehicle data-proc2023'!$AD$16:$AH$16</c:f>
              <c:numCache>
                <c:formatCode>General</c:formatCode>
                <c:ptCount val="5"/>
                <c:pt idx="0">
                  <c:v>2017</c:v>
                </c:pt>
                <c:pt idx="1">
                  <c:v>2020</c:v>
                </c:pt>
                <c:pt idx="2">
                  <c:v>2030</c:v>
                </c:pt>
                <c:pt idx="3">
                  <c:v>2040</c:v>
                </c:pt>
                <c:pt idx="4">
                  <c:v>2050</c:v>
                </c:pt>
              </c:numCache>
            </c:numRef>
          </c:cat>
          <c:val>
            <c:numRef>
              <c:f>'Vehicle data-proc2023'!$AD$1:$AH$1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data-proc2023'!$AA$2</c:f>
              <c:strCache>
                <c:ptCount val="1"/>
                <c:pt idx="0">
                  <c:v>FRE</c:v>
                </c:pt>
              </c:strCache>
            </c:strRef>
          </c:tx>
          <c:spPr>
            <a:ln w="28575" cap="rnd">
              <a:solidFill>
                <a:schemeClr val="accent2"/>
              </a:solidFill>
              <a:round/>
            </a:ln>
            <a:effectLst/>
          </c:spPr>
          <c:marker>
            <c:symbol val="none"/>
          </c:marker>
          <c:val>
            <c:numRef>
              <c:f>'Vehicle data-proc2023'!$AD$2:$AH$2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268486.68958349986</c:v>
                </c:pt>
                <c:pt idx="1">
                  <c:v>273058.85559014819</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402730.03437524982</c:v>
                </c:pt>
                <c:pt idx="1">
                  <c:v>408991.83210867527</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460902.15045167482</c:v>
                </c:pt>
                <c:pt idx="1">
                  <c:v>456925.32105162693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691353.22567751224</c:v>
                </c:pt>
                <c:pt idx="1">
                  <c:v>685881.01096414251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612999.86010072753</c:v>
                </c:pt>
                <c:pt idx="1">
                  <c:v>594007.49324474961</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919499.79015109118</c:v>
                </c:pt>
                <c:pt idx="1">
                  <c:v>891562.78630562383</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648842.83316012472</c:v>
                </c:pt>
                <c:pt idx="1">
                  <c:v>593071.84107131546</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2684866.8958349987</c:v>
                </c:pt>
                <c:pt idx="1">
                  <c:v>2048203.2707303744</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443003.03781277488</c:v>
                </c:pt>
                <c:pt idx="1">
                  <c:v>447480.62192535622</c:v>
                </c:pt>
                <c:pt idx="2">
                  <c:v>277631.02159679646</c:v>
                </c:pt>
                <c:pt idx="3">
                  <c:v>280673.26534900116</c:v>
                </c:pt>
                <c:pt idx="4">
                  <c:v>283715.50910120585</c:v>
                </c:pt>
                <c:pt idx="5">
                  <c:v>287262.75055196777</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3.8544926288750614</c:v>
                </c:pt>
                <c:pt idx="1">
                  <c:v>2.0232263513513513</c:v>
                </c:pt>
                <c:pt idx="2">
                  <c:v>2.416666666666667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6.xml"/><Relationship Id="rId7"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12.xml"/><Relationship Id="rId7"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image" Target="../media/image9.png"/><Relationship Id="rId1" Type="http://schemas.openxmlformats.org/officeDocument/2006/relationships/chart" Target="../charts/chart17.xml"/><Relationship Id="rId6" Type="http://schemas.openxmlformats.org/officeDocument/2006/relationships/image" Target="../media/image12.png"/><Relationship Id="rId5" Type="http://schemas.openxmlformats.org/officeDocument/2006/relationships/chart" Target="../charts/chart20.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3.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19</xdr:row>
      <xdr:rowOff>142875</xdr:rowOff>
    </xdr:from>
    <xdr:to>
      <xdr:col>11</xdr:col>
      <xdr:colOff>305903</xdr:colOff>
      <xdr:row>42</xdr:row>
      <xdr:rowOff>72991</xdr:rowOff>
    </xdr:to>
    <xdr:pic>
      <xdr:nvPicPr>
        <xdr:cNvPr id="2" name="Picture 1">
          <a:extLst>
            <a:ext uri="{FF2B5EF4-FFF2-40B4-BE49-F238E27FC236}">
              <a16:creationId xmlns:a16="http://schemas.microsoft.com/office/drawing/2014/main" id="{D1F2F32A-15FE-4241-AB16-6854ECC83A27}"/>
            </a:ext>
          </a:extLst>
        </xdr:cNvPr>
        <xdr:cNvPicPr>
          <a:picLocks noChangeAspect="1"/>
        </xdr:cNvPicPr>
      </xdr:nvPicPr>
      <xdr:blipFill>
        <a:blip xmlns:r="http://schemas.openxmlformats.org/officeDocument/2006/relationships" r:embed="rId1"/>
        <a:stretch>
          <a:fillRect/>
        </a:stretch>
      </xdr:blipFill>
      <xdr:spPr>
        <a:xfrm>
          <a:off x="0" y="3762375"/>
          <a:ext cx="7906853" cy="4311616"/>
        </a:xfrm>
        <a:prstGeom prst="rect">
          <a:avLst/>
        </a:prstGeom>
      </xdr:spPr>
    </xdr:pic>
    <xdr:clientData/>
  </xdr:twoCellAnchor>
  <xdr:twoCellAnchor>
    <xdr:from>
      <xdr:col>11</xdr:col>
      <xdr:colOff>419100</xdr:colOff>
      <xdr:row>18</xdr:row>
      <xdr:rowOff>4762</xdr:rowOff>
    </xdr:from>
    <xdr:to>
      <xdr:col>18</xdr:col>
      <xdr:colOff>209550</xdr:colOff>
      <xdr:row>32</xdr:row>
      <xdr:rowOff>80962</xdr:rowOff>
    </xdr:to>
    <xdr:graphicFrame macro="">
      <xdr:nvGraphicFramePr>
        <xdr:cNvPr id="3" name="Chart 2">
          <a:extLst>
            <a:ext uri="{FF2B5EF4-FFF2-40B4-BE49-F238E27FC236}">
              <a16:creationId xmlns:a16="http://schemas.microsoft.com/office/drawing/2014/main" id="{78252AFE-0C02-4E2E-890C-AB53A0B82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33</xdr:row>
      <xdr:rowOff>123825</xdr:rowOff>
    </xdr:from>
    <xdr:to>
      <xdr:col>18</xdr:col>
      <xdr:colOff>228600</xdr:colOff>
      <xdr:row>48</xdr:row>
      <xdr:rowOff>9525</xdr:rowOff>
    </xdr:to>
    <xdr:graphicFrame macro="">
      <xdr:nvGraphicFramePr>
        <xdr:cNvPr id="4" name="Chart 3">
          <a:extLst>
            <a:ext uri="{FF2B5EF4-FFF2-40B4-BE49-F238E27FC236}">
              <a16:creationId xmlns:a16="http://schemas.microsoft.com/office/drawing/2014/main" id="{8D041027-5AAA-4A9B-8918-69ED3C815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22</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27</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19</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21</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Guy Cunliffe" id="{73DAEFDC-F9F0-46CE-9554-67FD290B1104}" userId="2804e71ab4b29b06" providerId="Windows Liv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A24" dT="2023-09-21T19:53:28.01" personId="{00E01F63-B0C9-4432-BD61-F9175D9B0347}" id="{72E22EBC-6F1C-44E6-9D37-6A2EDC68C4EF}">
    <text>Turned off for now until biofuel supply chain is put back into model.</text>
  </threadedComment>
  <threadedComment ref="AA34" dT="2023-09-21T19:53:28.01" personId="{00E01F63-B0C9-4432-BD61-F9175D9B0347}" id="{68365649-69BE-42E1-A3D3-7826C339A4A4}">
    <text>Turned off for now until biofuel supply chain is put back into model.</text>
  </threadedComment>
  <threadedComment ref="AA42" dT="2023-09-21T19:53:28.01" personId="{00E01F63-B0C9-4432-BD61-F9175D9B0347}" id="{78C9CCF7-1AE4-47F9-BE3C-84B6FCC19C48}">
    <text>Turned off for now until biofuel supply chain is put back into model.</text>
  </threadedComment>
  <threadedComment ref="AA50" dT="2023-09-21T19:53:28.01" personId="{00E01F63-B0C9-4432-BD61-F9175D9B0347}" id="{B5986BBB-6093-45C3-916A-D12C4DF390D0}">
    <text>Turned off for now until biofuel supply chain is put back into model.</text>
  </threadedComment>
  <threadedComment ref="AA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C8" dT="2023-12-08T09:41:25.31" personId="{73DAEFDC-F9F0-46CE-9554-67FD290B1104}" id="{716FFDAB-882E-46E7-908D-74A5A8CF4E8F}">
    <text>Assumed BEV cost in 2022$ in 2010 based on AEA2012 summary data (converted from 2012 GBP to 2022 USD)</text>
  </threadedComment>
  <threadedComment ref="C14" dT="2023-12-08T09:41:25.31" personId="{73DAEFDC-F9F0-46CE-9554-67FD290B1104}" id="{8CE8F409-86C6-4BEF-A484-A7A3BD0C0B5F}">
    <text>Assumed HEV cost in 2022$ in 2010 based on AEA2012 summary data (converted from 2012 GBP to 2022 USD)</text>
  </threadedComment>
</ThreadedComments>
</file>

<file path=xl/threadedComments/threadedComment8.xml><?xml version="1.0" encoding="utf-8"?>
<ThreadedComments xmlns="http://schemas.microsoft.com/office/spreadsheetml/2018/threadedcomments" xmlns:x="http://schemas.openxmlformats.org/spreadsheetml/2006/main">
  <threadedComment ref="AD89" dT="2023-10-02T10:31:20.20" personId="{E9290C55-13E6-48AF-BF49-53655B7185FF}" id="{C06AB8DB-BF19-45BB-9878-3BEF31AF4D3B}">
    <text>Calibrated to HCV3 to save time… these spreadsheets need a comprehensive overhaul</text>
  </threadedComment>
  <threadedComment ref="AD94" dT="2023-10-02T10:31:20.20" personId="{E9290C55-13E6-48AF-BF49-53655B7185FF}" id="{B145FC4B-A8C0-4D98-A708-25F02365CC9C}">
    <text>Hard coded to save time… these worksheets are a nightmare!</text>
  </threadedComment>
  <threadedComment ref="AD99" dT="2023-10-02T10:31:20.20" personId="{E9290C55-13E6-48AF-BF49-53655B7185FF}" id="{3DD77A3B-7073-4DBD-8F36-00840457D557}">
    <text>Hard coded to save time… these worksheets are a nightmare!</text>
  </threadedComment>
  <threadedComment ref="AD104" dT="2023-10-02T10:31:20.20" personId="{E9290C55-13E6-48AF-BF49-53655B7185FF}" id="{7555FA29-3561-4436-BC88-FA817888949B}">
    <text>Hard coded to save time… these worksheets are a nightmare!</text>
  </threadedComment>
  <threadedComment ref="AD109" dT="2023-10-02T10:31:20.20" personId="{E9290C55-13E6-48AF-BF49-53655B7185FF}" id="{E24D87DA-40FF-48A0-95B8-D43BC7C38EF3}">
    <text>Hard coded to save time… these worksheets are a nightmare!</text>
  </threadedComment>
  <threadedComment ref="AD114" dT="2023-10-02T10:31:20.20" personId="{E9290C55-13E6-48AF-BF49-53655B7185FF}" id="{8CA81508-80A8-4300-9A10-0FFA993D4FCD}">
    <text>Hard coded to save time… these worksheets are a nightmare!</text>
  </threadedComment>
</ThreadedComments>
</file>

<file path=xl/threadedComments/threadedComment9.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5.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9.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workbookViewId="0"/>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1000" t="s">
        <v>1119</v>
      </c>
      <c r="C1" s="1000"/>
      <c r="D1" s="1000"/>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C125"/>
  <sheetViews>
    <sheetView topLeftCell="A66" zoomScale="60" zoomScaleNormal="60" workbookViewId="0">
      <selection activeCell="U100" sqref="U100"/>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3" width="10" style="1" customWidth="1"/>
    <col min="14" max="15" width="14" style="687" customWidth="1"/>
    <col min="16" max="29" width="10" style="1" customWidth="1"/>
    <col min="30" max="30" width="9.140625" style="1" customWidth="1"/>
    <col min="31" max="32" width="8.85546875" style="1"/>
    <col min="33" max="33" width="9.5703125" style="1" bestFit="1" customWidth="1"/>
    <col min="34" max="16384" width="8.85546875" style="1"/>
  </cols>
  <sheetData>
    <row r="1" spans="1:29" ht="30.75" customHeight="1" x14ac:dyDescent="0.25">
      <c r="A1" s="679" t="s">
        <v>1120</v>
      </c>
      <c r="B1" s="1000" t="s">
        <v>1119</v>
      </c>
      <c r="C1" s="1000"/>
      <c r="D1" s="1000"/>
      <c r="E1" s="680"/>
      <c r="F1" s="680"/>
      <c r="G1" s="667"/>
      <c r="H1" s="679"/>
      <c r="I1" s="667"/>
      <c r="J1" s="679"/>
      <c r="K1" s="679"/>
      <c r="L1" s="679"/>
      <c r="M1" s="679"/>
    </row>
    <row r="2" spans="1:29" ht="15.75" x14ac:dyDescent="0.25">
      <c r="A2" s="710"/>
      <c r="B2" s="709"/>
      <c r="C2" s="657"/>
      <c r="D2" s="657"/>
      <c r="E2" s="657"/>
      <c r="F2" s="657"/>
      <c r="G2" s="193"/>
      <c r="H2" s="657"/>
      <c r="I2" s="657"/>
      <c r="J2" s="657"/>
      <c r="K2" s="657"/>
      <c r="L2" s="657"/>
      <c r="M2" s="657"/>
      <c r="P2" s="657"/>
      <c r="Q2" s="657"/>
      <c r="R2" s="657"/>
      <c r="S2" s="657"/>
      <c r="T2" s="657"/>
      <c r="U2" s="657"/>
      <c r="V2" s="193"/>
      <c r="W2" s="657"/>
      <c r="X2" s="657"/>
      <c r="Y2" s="657"/>
      <c r="Z2" s="657"/>
      <c r="AA2" s="657"/>
      <c r="AB2" s="657"/>
      <c r="AC2" s="657"/>
    </row>
    <row r="3" spans="1:29" x14ac:dyDescent="0.2">
      <c r="A3" s="193"/>
      <c r="B3" s="193"/>
      <c r="C3" s="670" t="s">
        <v>1118</v>
      </c>
      <c r="D3" s="670"/>
      <c r="E3" s="670"/>
      <c r="F3" s="670"/>
      <c r="G3" s="670"/>
      <c r="H3" s="670"/>
      <c r="I3" s="670"/>
      <c r="J3" s="670"/>
      <c r="K3" s="670"/>
      <c r="L3" s="670"/>
      <c r="M3" s="670"/>
      <c r="P3" s="657"/>
      <c r="Q3" s="657"/>
      <c r="R3" s="657"/>
      <c r="S3" s="657"/>
      <c r="T3" s="657"/>
      <c r="U3" s="657"/>
      <c r="V3" s="657"/>
      <c r="W3" s="657"/>
      <c r="X3" s="657"/>
      <c r="Y3" s="657"/>
      <c r="Z3" s="657"/>
      <c r="AA3" s="657"/>
      <c r="AB3" s="657"/>
      <c r="AC3" s="657"/>
    </row>
    <row r="4" spans="1:29" s="634" customFormat="1" x14ac:dyDescent="0.2">
      <c r="A4" s="708" t="s">
        <v>1116</v>
      </c>
      <c r="B4" s="193"/>
      <c r="C4" s="193"/>
      <c r="D4" s="193"/>
      <c r="E4" s="193"/>
      <c r="F4" s="193"/>
      <c r="G4" s="193"/>
      <c r="H4" s="193"/>
      <c r="I4" s="193"/>
      <c r="J4" s="193"/>
      <c r="K4" s="193"/>
      <c r="L4" s="193"/>
      <c r="M4" s="193"/>
      <c r="N4" s="707"/>
      <c r="O4" s="707"/>
      <c r="Z4" s="193" t="s">
        <v>1333</v>
      </c>
      <c r="AA4" s="917" t="s">
        <v>1334</v>
      </c>
    </row>
    <row r="5" spans="1:29" x14ac:dyDescent="0.2">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193"/>
      <c r="P5" s="657"/>
      <c r="Q5" s="657"/>
      <c r="R5" s="657"/>
      <c r="S5" s="657"/>
      <c r="T5" s="657"/>
      <c r="U5" s="657"/>
      <c r="V5" s="657"/>
      <c r="W5" s="193"/>
      <c r="X5" s="193"/>
      <c r="Y5" s="193"/>
      <c r="AA5" s="1" t="s">
        <v>1337</v>
      </c>
      <c r="AB5" s="193"/>
      <c r="AC5" s="193"/>
    </row>
    <row r="6" spans="1:29" x14ac:dyDescent="0.2">
      <c r="A6" s="667" t="s">
        <v>1107</v>
      </c>
      <c r="B6" s="193" t="s">
        <v>1106</v>
      </c>
      <c r="C6" s="657" t="s">
        <v>1141</v>
      </c>
      <c r="D6" s="657" t="s">
        <v>1142</v>
      </c>
      <c r="E6" s="657" t="s">
        <v>1131</v>
      </c>
      <c r="F6" s="657" t="s">
        <v>1143</v>
      </c>
      <c r="G6" s="657" t="s">
        <v>1144</v>
      </c>
      <c r="H6" s="657" t="s">
        <v>1145</v>
      </c>
      <c r="I6" s="657" t="s">
        <v>1146</v>
      </c>
      <c r="J6" s="657" t="s">
        <v>1147</v>
      </c>
      <c r="K6" s="657" t="s">
        <v>1130</v>
      </c>
      <c r="L6" s="657" t="s">
        <v>1148</v>
      </c>
      <c r="M6" s="657"/>
      <c r="O6" s="717">
        <v>253.25598236623085</v>
      </c>
      <c r="P6" s="718">
        <v>233.01022890384667</v>
      </c>
      <c r="Q6" s="718">
        <v>155.89943525653939</v>
      </c>
      <c r="R6" s="718">
        <v>159.30398338651003</v>
      </c>
      <c r="S6" s="718">
        <v>162.70853151648063</v>
      </c>
      <c r="T6" s="718">
        <v>166.12010524536515</v>
      </c>
      <c r="AA6" s="1" t="s">
        <v>1336</v>
      </c>
    </row>
    <row r="7" spans="1:29" x14ac:dyDescent="0.2">
      <c r="A7" s="667"/>
      <c r="B7" s="675"/>
      <c r="C7" s="677"/>
      <c r="D7" s="677"/>
      <c r="E7" s="677"/>
      <c r="F7" s="677"/>
      <c r="G7" s="677"/>
      <c r="H7" s="677"/>
      <c r="I7" s="677"/>
      <c r="J7" s="677"/>
      <c r="K7" s="677"/>
      <c r="L7" s="677"/>
      <c r="M7" s="677"/>
      <c r="AA7" s="1" t="s">
        <v>1340</v>
      </c>
    </row>
    <row r="8" spans="1:29" x14ac:dyDescent="0.2">
      <c r="A8" s="667"/>
      <c r="B8" s="193"/>
      <c r="C8" s="193"/>
      <c r="D8" s="193"/>
      <c r="E8" s="193"/>
      <c r="F8" s="193"/>
      <c r="G8" s="193"/>
      <c r="H8" s="193"/>
      <c r="I8" s="193"/>
      <c r="J8" s="193"/>
      <c r="K8" s="193"/>
      <c r="L8" s="193"/>
      <c r="M8" s="193"/>
      <c r="N8" s="695"/>
      <c r="O8" s="695"/>
      <c r="AA8" s="1" t="s">
        <v>1335</v>
      </c>
    </row>
    <row r="9" spans="1:29" s="703" customFormat="1" ht="33" customHeight="1" x14ac:dyDescent="0.2">
      <c r="A9" s="706"/>
      <c r="B9" s="705"/>
      <c r="C9" s="704"/>
      <c r="D9" s="704"/>
      <c r="E9" s="704"/>
      <c r="F9" s="704"/>
      <c r="G9" s="704"/>
      <c r="H9" s="704"/>
      <c r="I9" s="704"/>
      <c r="J9" s="704"/>
      <c r="K9" s="704"/>
      <c r="L9" s="704"/>
      <c r="M9" s="704"/>
      <c r="AC9" s="701" t="s">
        <v>1135</v>
      </c>
    </row>
    <row r="10" spans="1:29" x14ac:dyDescent="0.2">
      <c r="A10" s="661"/>
      <c r="B10" s="660"/>
      <c r="C10" s="658"/>
      <c r="D10" s="658"/>
      <c r="E10" s="658" t="s">
        <v>594</v>
      </c>
      <c r="F10" s="658" t="s">
        <v>594</v>
      </c>
      <c r="G10" s="658" t="s">
        <v>594</v>
      </c>
      <c r="H10" s="658" t="s">
        <v>594</v>
      </c>
      <c r="I10" s="658"/>
      <c r="J10" s="658"/>
      <c r="K10" s="658"/>
      <c r="L10" s="658"/>
      <c r="M10" s="658"/>
      <c r="N10" s="658" t="s">
        <v>596</v>
      </c>
      <c r="O10" s="658" t="s">
        <v>593</v>
      </c>
      <c r="P10" s="658" t="s">
        <v>593</v>
      </c>
      <c r="Q10" s="658" t="s">
        <v>593</v>
      </c>
      <c r="R10" s="658" t="s">
        <v>593</v>
      </c>
      <c r="S10" s="658" t="s">
        <v>593</v>
      </c>
      <c r="T10" s="658" t="s">
        <v>593</v>
      </c>
      <c r="U10" s="658" t="s">
        <v>592</v>
      </c>
      <c r="V10" s="658" t="s">
        <v>592</v>
      </c>
      <c r="W10" s="658" t="s">
        <v>592</v>
      </c>
      <c r="X10" s="658" t="s">
        <v>592</v>
      </c>
      <c r="AA10" s="701">
        <v>6</v>
      </c>
      <c r="AB10" s="634"/>
    </row>
    <row r="11" spans="1:29" ht="18" x14ac:dyDescent="0.25">
      <c r="A11" s="655" t="s">
        <v>1134</v>
      </c>
      <c r="B11" s="702"/>
      <c r="C11" s="651"/>
      <c r="D11" s="651"/>
      <c r="E11" s="651"/>
      <c r="F11" s="651"/>
      <c r="G11" s="651"/>
      <c r="H11" s="651"/>
      <c r="I11" s="651"/>
      <c r="J11" s="651"/>
      <c r="K11" s="651"/>
      <c r="L11" s="651"/>
      <c r="M11" s="651"/>
      <c r="N11" s="1"/>
      <c r="O11" s="1"/>
      <c r="AA11" s="701" t="s">
        <v>1132</v>
      </c>
      <c r="AB11" s="634"/>
    </row>
    <row r="12" spans="1:29" x14ac:dyDescent="0.2">
      <c r="C12" s="648"/>
      <c r="D12" s="648" t="s">
        <v>1040</v>
      </c>
      <c r="E12" s="648"/>
      <c r="F12" s="648"/>
      <c r="G12" s="648"/>
      <c r="N12" s="1"/>
      <c r="O12" s="1"/>
      <c r="AA12" s="701">
        <v>13</v>
      </c>
      <c r="AB12" s="634"/>
    </row>
    <row r="13" spans="1:29" x14ac:dyDescent="0.2">
      <c r="C13" s="648"/>
      <c r="D13" s="1" t="s">
        <v>1039</v>
      </c>
      <c r="I13" s="648"/>
      <c r="J13" s="648"/>
      <c r="K13" s="648"/>
      <c r="L13" s="648"/>
      <c r="M13" s="648"/>
      <c r="N13" s="1"/>
      <c r="O13" s="1"/>
      <c r="AA13" s="700">
        <f>base.year+6</f>
        <v>2018</v>
      </c>
      <c r="AB13" s="634"/>
    </row>
    <row r="14" spans="1:29" ht="25.5" x14ac:dyDescent="0.2">
      <c r="A14" s="647" t="s">
        <v>1038</v>
      </c>
      <c r="B14" s="647" t="s">
        <v>1037</v>
      </c>
      <c r="C14" s="647" t="s">
        <v>1036</v>
      </c>
      <c r="D14" s="647" t="s">
        <v>1035</v>
      </c>
      <c r="E14" s="647" t="str">
        <f>"EFF"&amp;$D$12&amp;E15</f>
        <v>EFF~2020</v>
      </c>
      <c r="F14" s="647" t="str">
        <f>"EFF"&amp;$D$12&amp;F15</f>
        <v>EFF~2030</v>
      </c>
      <c r="G14" s="647" t="str">
        <f>"EFF"&amp;$D$12&amp;G15</f>
        <v>EFF~2040</v>
      </c>
      <c r="H14" s="647" t="str">
        <f>"EFF"&amp;$D$12&amp;H15</f>
        <v>EFF~2050</v>
      </c>
      <c r="I14" s="647" t="str">
        <f>"NCAP_AF"&amp;$D$12&amp;I15</f>
        <v>NCAP_AF~2012</v>
      </c>
      <c r="J14" s="647" t="str">
        <f t="shared" ref="J14:M14" si="0">"NCAP_AF"&amp;$D$12&amp;J15</f>
        <v>NCAP_AF~2020</v>
      </c>
      <c r="K14" s="647" t="str">
        <f t="shared" si="0"/>
        <v>NCAP_AF~2030</v>
      </c>
      <c r="L14" s="647" t="str">
        <f t="shared" si="0"/>
        <v>NCAP_AF~2040</v>
      </c>
      <c r="M14" s="647" t="str">
        <f t="shared" si="0"/>
        <v>NCAP_AF~2050</v>
      </c>
      <c r="N14" s="647" t="s">
        <v>596</v>
      </c>
      <c r="O14" s="647" t="str">
        <f t="shared" ref="O14:T14" si="1">"INVCOST"&amp;$D$12&amp;O15</f>
        <v>INVCOST~2020</v>
      </c>
      <c r="P14" s="647" t="str">
        <f t="shared" si="1"/>
        <v>INVCOST~2025</v>
      </c>
      <c r="Q14" s="647" t="str">
        <f t="shared" si="1"/>
        <v>INVCOST~2030</v>
      </c>
      <c r="R14" s="647" t="str">
        <f t="shared" si="1"/>
        <v>INVCOST~2035</v>
      </c>
      <c r="S14" s="647" t="str">
        <f t="shared" si="1"/>
        <v>INVCOST~2040</v>
      </c>
      <c r="T14" s="647" t="str">
        <f t="shared" si="1"/>
        <v>INVCOST~2050</v>
      </c>
      <c r="U14" s="647" t="str">
        <f t="shared" ref="U14:X14" si="2">"FIXOM"&amp;$D$12&amp;U15</f>
        <v>FIXOM~2020</v>
      </c>
      <c r="V14" s="647" t="str">
        <f t="shared" si="2"/>
        <v>FIXOM~2030</v>
      </c>
      <c r="W14" s="647" t="str">
        <f t="shared" si="2"/>
        <v>FIXOM~2040</v>
      </c>
      <c r="X14" s="647" t="str">
        <f t="shared" si="2"/>
        <v>FIXOM~2050</v>
      </c>
      <c r="Y14" s="647" t="s">
        <v>1252</v>
      </c>
      <c r="Z14" s="647" t="s">
        <v>1253</v>
      </c>
      <c r="AA14" s="647" t="s">
        <v>1133</v>
      </c>
      <c r="AB14" s="634"/>
    </row>
    <row r="15" spans="1:29" s="634" customFormat="1" ht="39.75" thickBot="1" x14ac:dyDescent="0.3">
      <c r="A15" s="646" t="s">
        <v>1034</v>
      </c>
      <c r="B15" s="643" t="s">
        <v>1033</v>
      </c>
      <c r="C15" s="644" t="s">
        <v>1032</v>
      </c>
      <c r="D15" s="644" t="s">
        <v>1031</v>
      </c>
      <c r="E15" s="644">
        <v>2020</v>
      </c>
      <c r="F15" s="644">
        <v>2030</v>
      </c>
      <c r="G15" s="644">
        <v>2040</v>
      </c>
      <c r="H15" s="644">
        <v>2050</v>
      </c>
      <c r="I15" s="644">
        <v>2012</v>
      </c>
      <c r="J15" s="644">
        <v>2020</v>
      </c>
      <c r="K15" s="644">
        <v>2030</v>
      </c>
      <c r="L15" s="644">
        <v>2040</v>
      </c>
      <c r="M15" s="644">
        <v>2050</v>
      </c>
      <c r="N15" s="644" t="str">
        <f>TRP!O59</f>
        <v>CapAct</v>
      </c>
      <c r="O15" s="644">
        <v>2020</v>
      </c>
      <c r="P15" s="644">
        <v>2025</v>
      </c>
      <c r="Q15" s="644">
        <v>2030</v>
      </c>
      <c r="R15" s="644">
        <v>2035</v>
      </c>
      <c r="S15" s="644">
        <v>2040</v>
      </c>
      <c r="T15" s="644">
        <v>2050</v>
      </c>
      <c r="U15" s="644">
        <v>2020</v>
      </c>
      <c r="V15" s="644">
        <v>2030</v>
      </c>
      <c r="W15" s="644">
        <v>2040</v>
      </c>
      <c r="X15" s="644">
        <v>2050</v>
      </c>
      <c r="Y15" s="644">
        <v>2012</v>
      </c>
      <c r="Z15" s="644">
        <v>2012</v>
      </c>
      <c r="AA15" s="644"/>
      <c r="AB15" s="643" t="s">
        <v>1030</v>
      </c>
      <c r="AC15" s="643" t="s">
        <v>1132</v>
      </c>
    </row>
    <row r="16" spans="1:29" s="634" customFormat="1" x14ac:dyDescent="0.2">
      <c r="A16" s="688" t="s">
        <v>1026</v>
      </c>
      <c r="B16" s="699"/>
      <c r="C16" s="621"/>
      <c r="D16" s="621"/>
      <c r="E16" s="641"/>
      <c r="F16" s="641"/>
      <c r="G16" s="641"/>
      <c r="H16" s="641"/>
      <c r="I16" s="641"/>
      <c r="J16" s="641"/>
      <c r="K16" s="641"/>
      <c r="L16" s="641"/>
      <c r="M16" s="641"/>
      <c r="N16" s="640" t="s">
        <v>1025</v>
      </c>
      <c r="O16" s="657" t="s">
        <v>572</v>
      </c>
      <c r="P16" s="657" t="s">
        <v>572</v>
      </c>
      <c r="Q16" s="657" t="s">
        <v>572</v>
      </c>
      <c r="R16" s="657" t="s">
        <v>572</v>
      </c>
      <c r="S16" s="657" t="s">
        <v>572</v>
      </c>
      <c r="T16" s="657" t="s">
        <v>572</v>
      </c>
      <c r="U16" s="657"/>
      <c r="V16" s="657"/>
      <c r="W16" s="657"/>
      <c r="X16" s="657"/>
      <c r="Y16" s="639"/>
      <c r="Z16" s="639"/>
      <c r="AA16" s="639"/>
    </row>
    <row r="17" spans="1:29" x14ac:dyDescent="0.2">
      <c r="A17" s="622" t="s">
        <v>1019</v>
      </c>
      <c r="B17" s="621"/>
      <c r="N17" s="633"/>
      <c r="O17" s="1"/>
      <c r="AB17" s="634"/>
    </row>
    <row r="18" spans="1:29" x14ac:dyDescent="0.2">
      <c r="A18" s="190" t="str">
        <f>ITEMS_nTech!C9</f>
        <v>Transport Passenger SUV Priv.Veh. Oil Diesel-N</v>
      </c>
      <c r="B18" s="190" t="str">
        <f>D18&amp;RIGHT(C18,3)&amp;"-N"</f>
        <v>TPPRSUVODS-N</v>
      </c>
      <c r="C18" s="611" t="str">
        <f>$D$6</f>
        <v>TRAODS</v>
      </c>
      <c r="D18" s="611" t="str">
        <f>TRP!$B$21</f>
        <v>TPPRSUV</v>
      </c>
      <c r="E18" s="692">
        <f t="array" ref="E18">IFERROR(INDEX(Analytica!$F$59:$AY$138,MATCH($B18,Analytica!$B$59:$B$168,0),MATCH(E$15&amp;E$10,Analytica!$F$58:$AY$58&amp;Analytica!$F$51:'Analytica'!$AY$51,0)),"")</f>
        <v>0.23658855771912971</v>
      </c>
      <c r="F18" s="692">
        <f t="array" ref="F18">IFERROR(INDEX(Analytica!$F$59:$AY$138,MATCH($B18,Analytica!$B$59:$B$168,0),MATCH(F$15&amp;F$10,Analytica!$F$58:$AY$58&amp;Analytica!$F$51:'Analytica'!$AY$51,0)),"")</f>
        <v>0.25508715046378805</v>
      </c>
      <c r="G18" s="692">
        <f t="array" ref="G18">IFERROR(INDEX(Analytica!$F$59:$AY$138,MATCH($B18,Analytica!$B$59:$B$168,0),MATCH(G$15&amp;G$10,Analytica!$F$58:$AY$58&amp;Analytica!$F$51:'Analytica'!$AY$51,0)),"")</f>
        <v>0.28205684025891897</v>
      </c>
      <c r="H18" s="692" cm="1">
        <f t="array" ref="H18">IFERROR(INDEX(Analytica!$F$59:$AY$138,MATCH($B18,Analytica!$B$59:$B$168,0),MATCH(H$15&amp;H$10,Analytica!$F$58:$AY$58&amp;Analytica!$F$51:'Analytica'!$AY$51,0)),"")</f>
        <v>0.31187796402994067</v>
      </c>
      <c r="I18" s="914">
        <v>1</v>
      </c>
      <c r="J18" s="914">
        <v>1</v>
      </c>
      <c r="K18" s="914">
        <v>1</v>
      </c>
      <c r="L18" s="914">
        <v>1</v>
      </c>
      <c r="M18" s="914">
        <v>1</v>
      </c>
      <c r="N18" s="692">
        <f t="array" ref="N18">IFERROR(INDEX(Analytica!$F$59:$AY$138,MATCH($B18,Analytica!$B$59:$B$168,0),MATCH(N$15&amp;N$10,Analytica!$F$58:$AY$58&amp;Analytica!$F$51:'Analytica'!$AY$51,0)),"")</f>
        <v>2.4E-2</v>
      </c>
      <c r="O18" s="981">
        <f>INDEX(CostProjections!$N$11:$W$93,MATCH($B18,CostProjections!$L$11:$L$93,0),MATCH(O$15,CostProjections!$N$10:$W$10,0))*0.001</f>
        <v>835.64408109927854</v>
      </c>
      <c r="P18" s="981">
        <f>INDEX(CostProjections!$N$11:$W$93,MATCH($B18,CostProjections!$L$11:$L$93,0),MATCH(P$15,CostProjections!$N$10:$W$10,0))*0.001</f>
        <v>844.03401459192003</v>
      </c>
      <c r="Q18" s="981">
        <f>INDEX(CostProjections!$N$11:$W$93,MATCH($B18,CostProjections!$L$11:$L$93,0),MATCH(Q$15,CostProjections!$N$10:$W$10,0))*0.001</f>
        <v>852.50818368869375</v>
      </c>
      <c r="R18" s="981">
        <f>INDEX(CostProjections!$N$11:$W$93,MATCH($B18,CostProjections!$L$11:$L$93,0),MATCH(R$15,CostProjections!$N$10:$W$10,0))*0.001</f>
        <v>861.06743412181083</v>
      </c>
      <c r="S18" s="981">
        <f>INDEX(CostProjections!$N$11:$W$93,MATCH($B18,CostProjections!$L$11:$L$93,0),MATCH(S$15,CostProjections!$N$10:$W$10,0))*0.001</f>
        <v>869.71262011470128</v>
      </c>
      <c r="T18" s="981">
        <f>INDEX(CostProjections!$N$11:$W$93,MATCH($B18,CostProjections!$L$11:$L$93,0),MATCH(T$15,CostProjections!$N$10:$W$10,0))*0.001</f>
        <v>887.26425864199052</v>
      </c>
      <c r="U18" s="982">
        <f>INDEX(CostProjections!$Y$11:$AH$93,MATCH($B18,CostProjections!$L$11:$L$93,0),MATCH(U$15,CostProjections!$Y$10:$AH$10,0))*0.001</f>
        <v>22.562390189680517</v>
      </c>
      <c r="V18" s="982">
        <f>INDEX(CostProjections!$Y$11:$AH$93,MATCH($B18,CostProjections!$L$11:$L$93,0),MATCH(V$15,CostProjections!$Y$10:$AH$10,0))*0.001</f>
        <v>23.01772095959473</v>
      </c>
      <c r="W18" s="982">
        <f>INDEX(CostProjections!$Y$11:$AH$93,MATCH($B18,CostProjections!$L$11:$L$93,0),MATCH(W$15,CostProjections!$Y$10:$AH$10,0))*0.001</f>
        <v>23.482240743096934</v>
      </c>
      <c r="X18" s="982">
        <f>INDEX(CostProjections!$Y$11:$AH$93,MATCH($B18,CostProjections!$L$11:$L$93,0),MATCH(X$15,CostProjections!$Y$10:$AH$10,0))*0.001</f>
        <v>23.956134983333744</v>
      </c>
      <c r="Y18" s="689">
        <v>20</v>
      </c>
      <c r="Z18" s="689">
        <f t="shared" ref="Z18:Z49" si="3">Y18</f>
        <v>20</v>
      </c>
      <c r="AA18" s="689">
        <f>IF(AC18,base.year+$AA$12,base.year+$AA$10)</f>
        <v>2018</v>
      </c>
      <c r="AB18" s="1">
        <f t="shared" ref="AB18:AB49" ca="1" si="4">OFFSET(AB18,-1,0)+1</f>
        <v>1</v>
      </c>
    </row>
    <row r="19" spans="1:29" x14ac:dyDescent="0.2">
      <c r="A19" s="190" t="str">
        <f>ITEMS_nTech!C10</f>
        <v>Transport Passenger SUV Priv.Veh. Oil Gasoline-N</v>
      </c>
      <c r="B19" s="190" t="str">
        <f>D19&amp;RIGHT(C19,3)&amp;"-N"</f>
        <v>TPPRSUVOGS-N</v>
      </c>
      <c r="C19" s="611" t="str">
        <f>$G$6</f>
        <v>TRAOGS</v>
      </c>
      <c r="D19" s="611" t="str">
        <f>TRP!$B$21</f>
        <v>TPPRSUV</v>
      </c>
      <c r="E19" s="692">
        <f t="array" ref="E19">IFERROR(INDEX(Analytica!$F$59:$AY$138,MATCH($B19,Analytica!$B$59:$B$168,0),MATCH(E$15&amp;E$10,Analytica!$F$58:$AY$58&amp;Analytica!$F$51:'Analytica'!$AY$51,0)),"")</f>
        <v>0.43407150834094715</v>
      </c>
      <c r="F19" s="692">
        <f t="array" ref="F19">IFERROR(INDEX(Analytica!$F$59:$AY$138,MATCH($B19,Analytica!$B$59:$B$168,0),MATCH(F$15&amp;F$10,Analytica!$F$58:$AY$58&amp;Analytica!$F$51:'Analytica'!$AY$51,0)),"")</f>
        <v>0.46801107047476492</v>
      </c>
      <c r="G19" s="692">
        <f t="array" ref="G19">IFERROR(INDEX(Analytica!$F$59:$AY$138,MATCH($B19,Analytica!$B$59:$B$168,0),MATCH(G$15&amp;G$10,Analytica!$F$58:$AY$58&amp;Analytica!$F$51:'Analytica'!$AY$51,0)),"")</f>
        <v>0.51749264321742416</v>
      </c>
      <c r="H19" s="692">
        <f t="array" ref="H19">IFERROR(INDEX(Analytica!$F$59:$AY$138,MATCH($B19,Analytica!$B$59:$B$168,0),MATCH(H$15&amp;H$10,Analytica!$F$58:$AY$58&amp;Analytica!$F$51:'Analytica'!$AY$51,0)),"")</f>
        <v>0.57220577178333198</v>
      </c>
      <c r="I19" s="914">
        <v>1</v>
      </c>
      <c r="J19" s="914">
        <v>1</v>
      </c>
      <c r="K19" s="914">
        <v>1</v>
      </c>
      <c r="L19" s="914">
        <v>1</v>
      </c>
      <c r="M19" s="914">
        <v>1</v>
      </c>
      <c r="N19" s="692">
        <f t="array" ref="N19">IFERROR(INDEX(Analytica!$F$59:$AY$138,MATCH($B19,Analytica!$B$59:$B$168,0),MATCH(N$15&amp;N$10,Analytica!$F$58:$AY$58&amp;Analytica!$F$51:'Analytica'!$AY$51,0)),"")</f>
        <v>2.4E-2</v>
      </c>
      <c r="O19" s="981">
        <f>INDEX(CostProjections!$N$11:$W$93,MATCH($B19,CostProjections!$L$11:$L$93,0),MATCH(O$15,CostProjections!$N$10:$W$10,0))*0.001</f>
        <v>438.90146207526243</v>
      </c>
      <c r="P19" s="981">
        <f>INDEX(CostProjections!$N$11:$W$93,MATCH($B19,CostProjections!$L$11:$L$93,0),MATCH(P$15,CostProjections!$N$10:$W$10,0))*0.001</f>
        <v>443.30806790174114</v>
      </c>
      <c r="Q19" s="981">
        <f>INDEX(CostProjections!$N$11:$W$93,MATCH($B19,CostProjections!$L$11:$L$93,0),MATCH(Q$15,CostProjections!$N$10:$W$10,0))*0.001</f>
        <v>447.75891640359885</v>
      </c>
      <c r="R19" s="981">
        <f>INDEX(CostProjections!$N$11:$W$93,MATCH($B19,CostProjections!$L$11:$L$93,0),MATCH(R$15,CostProjections!$N$10:$W$10,0))*0.001</f>
        <v>452.25445178083936</v>
      </c>
      <c r="S19" s="981">
        <f>INDEX(CostProjections!$N$11:$W$93,MATCH($B19,CostProjections!$L$11:$L$93,0),MATCH(S$15,CostProjections!$N$10:$W$10,0))*0.001</f>
        <v>456.79512269326983</v>
      </c>
      <c r="T19" s="981">
        <f>INDEX(CostProjections!$N$11:$W$93,MATCH($B19,CostProjections!$L$11:$L$93,0),MATCH(T$15,CostProjections!$N$10:$W$10,0))*0.001</f>
        <v>466.01368833105909</v>
      </c>
      <c r="U19" s="982">
        <f>INDEX(CostProjections!$Y$11:$AH$93,MATCH($B19,CostProjections!$L$11:$L$93,0),MATCH(U$15,CostProjections!$Y$10:$AH$10,0))*0.001</f>
        <v>11.850339476032087</v>
      </c>
      <c r="V19" s="982">
        <f>INDEX(CostProjections!$Y$11:$AH$93,MATCH($B19,CostProjections!$L$11:$L$93,0),MATCH(V$15,CostProjections!$Y$10:$AH$10,0))*0.001</f>
        <v>12.089490742897169</v>
      </c>
      <c r="W19" s="982">
        <f>INDEX(CostProjections!$Y$11:$AH$93,MATCH($B19,CostProjections!$L$11:$L$93,0),MATCH(W$15,CostProjections!$Y$10:$AH$10,0))*0.001</f>
        <v>12.333468312718285</v>
      </c>
      <c r="X19" s="982">
        <f>INDEX(CostProjections!$Y$11:$AH$93,MATCH($B19,CostProjections!$L$11:$L$93,0),MATCH(X$15,CostProjections!$Y$10:$AH$10,0))*0.001</f>
        <v>12.582369584938595</v>
      </c>
      <c r="Y19" s="689">
        <f>Y18</f>
        <v>20</v>
      </c>
      <c r="Z19" s="689">
        <f t="shared" si="3"/>
        <v>20</v>
      </c>
      <c r="AA19" s="689">
        <f>IF(AC19,base.year+$AA$12,base.year+$AA$10)</f>
        <v>2018</v>
      </c>
      <c r="AB19" s="1">
        <f t="shared" ca="1" si="4"/>
        <v>2</v>
      </c>
    </row>
    <row r="20" spans="1:29" ht="15" x14ac:dyDescent="0.25">
      <c r="A20" s="190" t="str">
        <f>ITEMS_nTech!C11</f>
        <v>Transport Passenger SUV Priv.Veh. Oil Diesel Hybrid-N</v>
      </c>
      <c r="B20" s="190" t="str">
        <f>D20&amp;RIGHT(C20,3)&amp;"H-N"</f>
        <v>TPPRSUVODSH-N</v>
      </c>
      <c r="C20" s="611" t="str">
        <f>$D$6</f>
        <v>TRAODS</v>
      </c>
      <c r="D20" s="611" t="str">
        <f>TRP!$B$21</f>
        <v>TPPRSUV</v>
      </c>
      <c r="E20" s="692">
        <f t="array" ref="E20">IFERROR(INDEX(Analytica!$F$59:$AY$138,MATCH($B20,Analytica!$B$59:$B$168,0),MATCH(E$15&amp;E$10,Analytica!$F$58:$AY$58&amp;Analytica!$F$51:'Analytica'!$AY$51,0)),"")</f>
        <v>0.50926334545412344</v>
      </c>
      <c r="F20" s="692">
        <f t="array" ref="F20">IFERROR(INDEX(Analytica!$F$59:$AY$138,MATCH($B20,Analytica!$B$59:$B$168,0),MATCH(F$15&amp;F$10,Analytica!$F$58:$AY$58&amp;Analytica!$F$51:'Analytica'!$AY$51,0)),"")</f>
        <v>0.54908207260711606</v>
      </c>
      <c r="G20" s="692">
        <f t="array" ref="G20">IFERROR(INDEX(Analytica!$F$59:$AY$138,MATCH($B20,Analytica!$B$59:$B$168,0),MATCH(G$15&amp;G$10,Analytica!$F$58:$AY$58&amp;Analytica!$F$51:'Analytica'!$AY$51,0)),"")</f>
        <v>0.60713506799852335</v>
      </c>
      <c r="H20" s="692">
        <f t="array" ref="H20">IFERROR(INDEX(Analytica!$F$59:$AY$138,MATCH($B20,Analytica!$B$59:$B$168,0),MATCH(H$15&amp;H$10,Analytica!$F$58:$AY$58&amp;Analytica!$F$51:'Analytica'!$AY$51,0)),"")</f>
        <v>0.67132585306117754</v>
      </c>
      <c r="I20" s="914">
        <v>1</v>
      </c>
      <c r="J20" s="914">
        <v>1</v>
      </c>
      <c r="K20" s="914">
        <v>1</v>
      </c>
      <c r="L20" s="914">
        <v>1</v>
      </c>
      <c r="M20" s="914">
        <v>1</v>
      </c>
      <c r="N20" s="692">
        <f t="array" ref="N20">IFERROR(INDEX(Analytica!$F$59:$AY$138,MATCH($B20,Analytica!$B$59:$B$168,0),MATCH(N$15&amp;N$10,Analytica!$F$58:$AY$58&amp;Analytica!$F$51:'Analytica'!$AY$51,0)),"")</f>
        <v>2.4E-2</v>
      </c>
      <c r="O20" s="981">
        <f>INDEX(CostProjections!$N$11:$W$93,MATCH($B20,CostProjections!$L$11:$L$93,0),MATCH(O$15,CostProjections!$N$10:$W$10,0))*0.001</f>
        <v>1115.3529863163551</v>
      </c>
      <c r="P20" s="981">
        <f>INDEX(CostProjections!$N$11:$W$93,MATCH($B20,CostProjections!$L$11:$L$93,0),MATCH(P$15,CostProjections!$N$10:$W$10,0))*0.001</f>
        <v>913.08384515926969</v>
      </c>
      <c r="Q20" s="981">
        <f>INDEX(CostProjections!$N$11:$W$93,MATCH($B20,CostProjections!$L$11:$L$93,0),MATCH(Q$15,CostProjections!$N$10:$W$10,0))*0.001</f>
        <v>860.36537834869</v>
      </c>
      <c r="R20" s="981">
        <f>INDEX(CostProjections!$N$11:$W$93,MATCH($B20,CostProjections!$L$11:$L$93,0),MATCH(R$15,CostProjections!$N$10:$W$10,0))*0.001</f>
        <v>861.7712041303065</v>
      </c>
      <c r="S20" s="981">
        <f>INDEX(CostProjections!$N$11:$W$93,MATCH($B20,CostProjections!$L$11:$L$93,0),MATCH(S$15,CostProjections!$N$10:$W$10,0))*0.001</f>
        <v>863.17702991192198</v>
      </c>
      <c r="T20" s="981">
        <f>INDEX(CostProjections!$N$11:$W$93,MATCH($B20,CostProjections!$L$11:$L$93,0),MATCH(T$15,CostProjections!$N$10:$W$10,0))*0.001</f>
        <v>865.98868147515293</v>
      </c>
      <c r="U20" s="982">
        <f>INDEX(CostProjections!$Y$11:$AH$93,MATCH($B20,CostProjections!$L$11:$L$93,0),MATCH(U$15,CostProjections!$Y$10:$AH$10,0))*0.001</f>
        <v>30.114530630541591</v>
      </c>
      <c r="V20" s="982">
        <f>INDEX(CostProjections!$Y$11:$AH$93,MATCH($B20,CostProjections!$L$11:$L$93,0),MATCH(V$15,CostProjections!$Y$10:$AH$10,0))*0.001</f>
        <v>23.22986521541463</v>
      </c>
      <c r="W20" s="982">
        <f>INDEX(CostProjections!$Y$11:$AH$93,MATCH($B20,CostProjections!$L$11:$L$93,0),MATCH(W$15,CostProjections!$Y$10:$AH$10,0))*0.001</f>
        <v>23.305779807621892</v>
      </c>
      <c r="X20" s="982">
        <f>INDEX(CostProjections!$Y$11:$AH$93,MATCH($B20,CostProjections!$L$11:$L$93,0),MATCH(X$15,CostProjections!$Y$10:$AH$10,0))*0.001</f>
        <v>23.381694399829129</v>
      </c>
      <c r="Y20" s="689">
        <f>Y19</f>
        <v>20</v>
      </c>
      <c r="Z20" s="689">
        <f t="shared" si="3"/>
        <v>20</v>
      </c>
      <c r="AA20" s="918">
        <v>2080</v>
      </c>
      <c r="AB20" s="1">
        <f t="shared" ca="1" si="4"/>
        <v>3</v>
      </c>
      <c r="AC20" s="1">
        <v>1</v>
      </c>
    </row>
    <row r="21" spans="1:29" x14ac:dyDescent="0.2">
      <c r="A21" s="190" t="str">
        <f>ITEMS_nTech!C12</f>
        <v>Transport Passenger SUV Priv.Veh. Oil Gasoline Hybrid-N</v>
      </c>
      <c r="B21" s="190" t="str">
        <f>D21&amp;RIGHT(C21,3)&amp;"H-N"</f>
        <v>TPPRSUVOGSH-N</v>
      </c>
      <c r="C21" s="611" t="str">
        <f>$G$6</f>
        <v>TRAOGS</v>
      </c>
      <c r="D21" s="611" t="str">
        <f>TRP!$B$21</f>
        <v>TPPRSUV</v>
      </c>
      <c r="E21" s="692">
        <f t="array" ref="E21">IFERROR(INDEX(Analytica!$F$59:$AY$138,MATCH($B21,Analytica!$B$59:$B$168,0),MATCH(E$15&amp;E$10,Analytica!$F$58:$AY$58&amp;Analytica!$F$51:'Analytica'!$AY$51,0)),"")</f>
        <v>0.56808553818966034</v>
      </c>
      <c r="F21" s="692">
        <f t="array" ref="F21">IFERROR(INDEX(Analytica!$F$59:$AY$138,MATCH($B21,Analytica!$B$59:$B$168,0),MATCH(F$15&amp;F$10,Analytica!$F$58:$AY$58&amp;Analytica!$F$51:'Analytica'!$AY$51,0)),"")</f>
        <v>0.61250350631293804</v>
      </c>
      <c r="G21" s="692">
        <f t="array" ref="G21">IFERROR(INDEX(Analytica!$F$59:$AY$138,MATCH($B21,Analytica!$B$59:$B$168,0),MATCH(G$15&amp;G$10,Analytica!$F$58:$AY$58&amp;Analytica!$F$51:'Analytica'!$AY$51,0)),"")</f>
        <v>0.67726188216078398</v>
      </c>
      <c r="H21" s="692">
        <f t="array" ref="H21">IFERROR(INDEX(Analytica!$F$59:$AY$138,MATCH($B21,Analytica!$B$59:$B$168,0),MATCH(H$15&amp;H$10,Analytica!$F$58:$AY$58&amp;Analytica!$F$51:'Analytica'!$AY$51,0)),"")</f>
        <v>0.74886698982196298</v>
      </c>
      <c r="I21" s="914">
        <v>1</v>
      </c>
      <c r="J21" s="914">
        <v>1</v>
      </c>
      <c r="K21" s="914">
        <v>1</v>
      </c>
      <c r="L21" s="914">
        <v>1</v>
      </c>
      <c r="M21" s="914">
        <v>1</v>
      </c>
      <c r="N21" s="692">
        <f t="array" ref="N21">IFERROR(INDEX(Analytica!$F$59:$AY$138,MATCH($B21,Analytica!$B$59:$B$168,0),MATCH(N$15&amp;N$10,Analytica!$F$58:$AY$58&amp;Analytica!$F$51:'Analytica'!$AY$51,0)),"")</f>
        <v>2.4E-2</v>
      </c>
      <c r="O21" s="981">
        <f>INDEX(CostProjections!$N$11:$W$93,MATCH($B21,CostProjections!$L$11:$L$93,0),MATCH(O$15,CostProjections!$N$10:$W$10,0))*0.001</f>
        <v>585.81167209404305</v>
      </c>
      <c r="P21" s="981">
        <f>INDEX(CostProjections!$N$11:$W$93,MATCH($B21,CostProjections!$L$11:$L$93,0),MATCH(P$15,CostProjections!$N$10:$W$10,0))*0.001</f>
        <v>479.57478991596491</v>
      </c>
      <c r="Q21" s="981">
        <f>INDEX(CostProjections!$N$11:$W$93,MATCH($B21,CostProjections!$L$11:$L$93,0),MATCH(Q$15,CostProjections!$N$10:$W$10,0))*0.001</f>
        <v>451.88571428571379</v>
      </c>
      <c r="R21" s="981">
        <f>INDEX(CostProjections!$N$11:$W$93,MATCH($B21,CostProjections!$L$11:$L$93,0),MATCH(R$15,CostProjections!$N$10:$W$10,0))*0.001</f>
        <v>452.62408963585438</v>
      </c>
      <c r="S21" s="981">
        <f>INDEX(CostProjections!$N$11:$W$93,MATCH($B21,CostProjections!$L$11:$L$93,0),MATCH(S$15,CostProjections!$N$10:$W$10,0))*0.001</f>
        <v>453.36246498599439</v>
      </c>
      <c r="T21" s="981">
        <f>INDEX(CostProjections!$N$11:$W$93,MATCH($B21,CostProjections!$L$11:$L$93,0),MATCH(T$15,CostProjections!$N$10:$W$10,0))*0.001</f>
        <v>454.83921568627454</v>
      </c>
      <c r="U21" s="982">
        <f>INDEX(CostProjections!$Y$11:$AH$93,MATCH($B21,CostProjections!$L$11:$L$93,0),MATCH(U$15,CostProjections!$Y$10:$AH$10,0))*0.001</f>
        <v>15.816915146539161</v>
      </c>
      <c r="V21" s="982">
        <f>INDEX(CostProjections!$Y$11:$AH$93,MATCH($B21,CostProjections!$L$11:$L$93,0),MATCH(V$15,CostProjections!$Y$10:$AH$10,0))*0.001</f>
        <v>12.200914285714273</v>
      </c>
      <c r="W21" s="982">
        <f>INDEX(CostProjections!$Y$11:$AH$93,MATCH($B21,CostProjections!$L$11:$L$93,0),MATCH(W$15,CostProjections!$Y$10:$AH$10,0))*0.001</f>
        <v>12.240786554621849</v>
      </c>
      <c r="X21" s="982">
        <f>INDEX(CostProjections!$Y$11:$AH$93,MATCH($B21,CostProjections!$L$11:$L$93,0),MATCH(X$15,CostProjections!$Y$10:$AH$10,0))*0.001</f>
        <v>12.280658823529411</v>
      </c>
      <c r="Y21" s="689">
        <f>Y20</f>
        <v>20</v>
      </c>
      <c r="Z21" s="689">
        <f t="shared" si="3"/>
        <v>20</v>
      </c>
      <c r="AA21" s="689">
        <f>IF(AC21,base.year+$AA$12,base.year+$AA$10)</f>
        <v>2018</v>
      </c>
      <c r="AB21" s="1">
        <f t="shared" ca="1" si="4"/>
        <v>4</v>
      </c>
    </row>
    <row r="22" spans="1:29" x14ac:dyDescent="0.2">
      <c r="A22" s="190" t="str">
        <f>ITEMS_nTech!C13</f>
        <v>Transport Passenger SUV Priv.Veh. Gas-N</v>
      </c>
      <c r="B22" s="190" t="str">
        <f>D22&amp;RIGHT(C22,3)&amp;"-N"</f>
        <v>TPPRSUVGAS-N</v>
      </c>
      <c r="C22" s="611" t="str">
        <f>F6</f>
        <v>TRAGAS</v>
      </c>
      <c r="D22" s="611" t="str">
        <f>TRP!$B$21</f>
        <v>TPPRSUV</v>
      </c>
      <c r="E22" s="692">
        <f t="array" ref="E22">IFERROR(INDEX(Analytica!$F$59:$AY$138,MATCH($B22,Analytica!$B$59:$B$168,0),MATCH(E$15&amp;E$10,Analytica!$F$58:$AY$58&amp;Analytica!$F$51:'Analytica'!$AY$51,0)),"")</f>
        <v>0.36995143331622149</v>
      </c>
      <c r="F22" s="692">
        <f t="array" ref="F22">IFERROR(INDEX(Analytica!$F$59:$AY$138,MATCH($B22,Analytica!$B$59:$B$168,0),MATCH(F$15&amp;F$10,Analytica!$F$58:$AY$58&amp;Analytica!$F$51:'Analytica'!$AY$51,0)),"")</f>
        <v>0.39887751903311353</v>
      </c>
      <c r="G22" s="692">
        <f t="array" ref="G22">IFERROR(INDEX(Analytica!$F$59:$AY$138,MATCH($B22,Analytica!$B$59:$B$168,0),MATCH(G$15&amp;G$10,Analytica!$F$58:$AY$58&amp;Analytica!$F$51:'Analytica'!$AY$51,0)),"")</f>
        <v>0.4410497842178378</v>
      </c>
      <c r="H22" s="692">
        <f t="array" ref="H22">IFERROR(INDEX(Analytica!$F$59:$AY$138,MATCH($B22,Analytica!$B$59:$B$168,0),MATCH(H$15&amp;H$10,Analytica!$F$58:$AY$58&amp;Analytica!$F$51:'Analytica'!$AY$51,0)),"")</f>
        <v>0.48768081146847597</v>
      </c>
      <c r="I22" s="914">
        <v>1</v>
      </c>
      <c r="J22" s="914">
        <v>1</v>
      </c>
      <c r="K22" s="914">
        <v>1</v>
      </c>
      <c r="L22" s="914">
        <v>1</v>
      </c>
      <c r="M22" s="914">
        <v>1</v>
      </c>
      <c r="N22" s="692">
        <f t="array" ref="N22">IFERROR(INDEX(Analytica!$F$59:$AY$138,MATCH($B22,Analytica!$B$59:$B$168,0),MATCH(N$15&amp;N$10,Analytica!$F$58:$AY$58&amp;Analytica!$F$51:'Analytica'!$AY$51,0)),"")</f>
        <v>2.4E-2</v>
      </c>
      <c r="O22" s="981">
        <f>INDEX(CostProjections!$N$11:$W$93,MATCH($B22,CostProjections!$L$11:$L$93,0),MATCH(O$15,CostProjections!$N$10:$W$10,0))*0.001</f>
        <v>919.2084892092065</v>
      </c>
      <c r="P22" s="981">
        <f>INDEX(CostProjections!$N$11:$W$93,MATCH($B22,CostProjections!$L$11:$L$93,0),MATCH(P$15,CostProjections!$N$10:$W$10,0))*0.001</f>
        <v>928.437416051112</v>
      </c>
      <c r="Q22" s="981">
        <f>INDEX(CostProjections!$N$11:$W$93,MATCH($B22,CostProjections!$L$11:$L$93,0),MATCH(Q$15,CostProjections!$N$10:$W$10,0))*0.001</f>
        <v>937.75900205756318</v>
      </c>
      <c r="R22" s="981">
        <f>INDEX(CostProjections!$N$11:$W$93,MATCH($B22,CostProjections!$L$11:$L$93,0),MATCH(R$15,CostProjections!$N$10:$W$10,0))*0.001</f>
        <v>947.17417753399195</v>
      </c>
      <c r="S22" s="981">
        <f>INDEX(CostProjections!$N$11:$W$93,MATCH($B22,CostProjections!$L$11:$L$93,0),MATCH(S$15,CostProjections!$N$10:$W$10,0))*0.001</f>
        <v>956.68388212617151</v>
      </c>
      <c r="T22" s="981">
        <f>INDEX(CostProjections!$N$11:$W$93,MATCH($B22,CostProjections!$L$11:$L$93,0),MATCH(T$15,CostProjections!$N$10:$W$10,0))*0.001</f>
        <v>975.99068450618972</v>
      </c>
      <c r="U22" s="982">
        <f>INDEX(CostProjections!$Y$11:$AH$93,MATCH($B22,CostProjections!$L$11:$L$93,0),MATCH(U$15,CostProjections!$Y$10:$AH$10,0))*0.001</f>
        <v>24.818629208648577</v>
      </c>
      <c r="V22" s="982">
        <f>INDEX(CostProjections!$Y$11:$AH$93,MATCH($B22,CostProjections!$L$11:$L$93,0),MATCH(V$15,CostProjections!$Y$10:$AH$10,0))*0.001</f>
        <v>25.319493055554204</v>
      </c>
      <c r="W22" s="982">
        <f>INDEX(CostProjections!$Y$11:$AH$93,MATCH($B22,CostProjections!$L$11:$L$93,0),MATCH(W$15,CostProjections!$Y$10:$AH$10,0))*0.001</f>
        <v>25.830464817406632</v>
      </c>
      <c r="X22" s="982">
        <f>INDEX(CostProjections!$Y$11:$AH$93,MATCH($B22,CostProjections!$L$11:$L$93,0),MATCH(X$15,CostProjections!$Y$10:$AH$10,0))*0.001</f>
        <v>26.351748481667119</v>
      </c>
      <c r="Y22" s="689">
        <f>Y19</f>
        <v>20</v>
      </c>
      <c r="Z22" s="689">
        <f t="shared" si="3"/>
        <v>20</v>
      </c>
      <c r="AA22" s="919">
        <v>2080</v>
      </c>
      <c r="AB22" s="1">
        <f t="shared" ca="1" si="4"/>
        <v>5</v>
      </c>
      <c r="AC22" s="1">
        <v>1</v>
      </c>
    </row>
    <row r="23" spans="1:29" x14ac:dyDescent="0.2">
      <c r="A23" s="190" t="str">
        <f>ITEMS_nTech!C14</f>
        <v>Transport Passenger SUV Priv.Veh. Hydrogen Fuel Cell-N</v>
      </c>
      <c r="B23" s="190" t="str">
        <f>D23&amp;RIGHT(C23,3)&amp;"F-N"</f>
        <v>TPPRSUVHGNF-N</v>
      </c>
      <c r="C23" s="611" t="str">
        <f>$K$6</f>
        <v>TRAHGN</v>
      </c>
      <c r="D23" s="611" t="str">
        <f>TRP!$B$21</f>
        <v>TPPRSUV</v>
      </c>
      <c r="E23" s="692">
        <f t="array" ref="E23">IFERROR(INDEX(Analytica!$F$59:$AY$138,MATCH($B23,Analytica!$B$59:$B$168,0),MATCH(E$15&amp;E$10,Analytica!$F$58:$AY$58&amp;Analytica!$F$51:'Analytica'!$AY$51,0)),"")</f>
        <v>0.88097451731554877</v>
      </c>
      <c r="F23" s="692">
        <f t="array" ref="F23">IFERROR(INDEX(Analytica!$F$59:$AY$138,MATCH($B23,Analytica!$B$59:$B$168,0),MATCH(F$15&amp;F$10,Analytica!$F$58:$AY$58&amp;Analytica!$F$51:'Analytica'!$AY$51,0)),"")</f>
        <v>0.94985692215944351</v>
      </c>
      <c r="G23" s="692">
        <f t="array" ref="G23">IFERROR(INDEX(Analytica!$F$59:$AY$138,MATCH($B23,Analytica!$B$59:$B$168,0),MATCH(G$15&amp;G$10,Analytica!$F$58:$AY$58&amp;Analytica!$F$51:'Analytica'!$AY$51,0)),"")</f>
        <v>1.050282782473543</v>
      </c>
      <c r="H23" s="692">
        <f t="array" ref="H23">IFERROR(INDEX(Analytica!$F$59:$AY$138,MATCH($B23,Analytica!$B$59:$B$168,0),MATCH(H$15&amp;H$10,Analytica!$F$58:$AY$58&amp;Analytica!$F$51:'Analytica'!$AY$51,0)),"")</f>
        <v>1.1613264034045769</v>
      </c>
      <c r="I23" s="914">
        <v>1</v>
      </c>
      <c r="J23" s="914">
        <v>1</v>
      </c>
      <c r="K23" s="914">
        <v>1</v>
      </c>
      <c r="L23" s="914">
        <v>1</v>
      </c>
      <c r="M23" s="914">
        <v>1</v>
      </c>
      <c r="N23" s="692">
        <f t="array" ref="N23">IFERROR(INDEX(Analytica!$F$59:$AY$138,MATCH($B23,Analytica!$B$59:$B$168,0),MATCH(N$15&amp;N$10,Analytica!$F$58:$AY$58&amp;Analytica!$F$51:'Analytica'!$AY$51,0)),"")</f>
        <v>2.4E-2</v>
      </c>
      <c r="O23" s="981">
        <f>INDEX(CostProjections!$N$11:$W$93,MATCH($B23,CostProjections!$L$11:$L$93,0),MATCH(O$15,CostProjections!$N$10:$W$10,0))*0.001</f>
        <v>3292.0959442618196</v>
      </c>
      <c r="P23" s="981">
        <f>INDEX(CostProjections!$N$11:$W$93,MATCH($B23,CostProjections!$L$11:$L$93,0),MATCH(P$15,CostProjections!$N$10:$W$10,0))*0.001</f>
        <v>2142.6437298898963</v>
      </c>
      <c r="Q23" s="981">
        <f>INDEX(CostProjections!$N$11:$W$93,MATCH($B23,CostProjections!$L$11:$L$93,0),MATCH(Q$15,CostProjections!$N$10:$W$10,0))*0.001</f>
        <v>1868.3065484529141</v>
      </c>
      <c r="R23" s="981">
        <f>INDEX(CostProjections!$N$11:$W$93,MATCH($B23,CostProjections!$L$11:$L$93,0),MATCH(R$15,CostProjections!$N$10:$W$10,0))*0.001</f>
        <v>1814.8459695062147</v>
      </c>
      <c r="S23" s="981">
        <f>INDEX(CostProjections!$N$11:$W$93,MATCH($B23,CostProjections!$L$11:$L$93,0),MATCH(S$15,CostProjections!$N$10:$W$10,0))*0.001</f>
        <v>1761.3853905595195</v>
      </c>
      <c r="T23" s="981">
        <f>INDEX(CostProjections!$N$11:$W$93,MATCH($B23,CostProjections!$L$11:$L$93,0),MATCH(T$15,CostProjections!$N$10:$W$10,0))*0.001</f>
        <v>1654.464232666129</v>
      </c>
      <c r="U23" s="982">
        <f>INDEX(CostProjections!$Y$11:$AH$93,MATCH($B23,CostProjections!$L$11:$L$93,0),MATCH(U$15,CostProjections!$Y$10:$AH$10,0))*0.001</f>
        <v>88.886590495069129</v>
      </c>
      <c r="V23" s="982">
        <f>INDEX(CostProjections!$Y$11:$AH$93,MATCH($B23,CostProjections!$L$11:$L$93,0),MATCH(V$15,CostProjections!$Y$10:$AH$10,0))*0.001</f>
        <v>50.444276808228679</v>
      </c>
      <c r="W23" s="982">
        <f>INDEX(CostProjections!$Y$11:$AH$93,MATCH($B23,CostProjections!$L$11:$L$93,0),MATCH(W$15,CostProjections!$Y$10:$AH$10,0))*0.001</f>
        <v>47.557405545107024</v>
      </c>
      <c r="X23" s="982">
        <f>INDEX(CostProjections!$Y$11:$AH$93,MATCH($B23,CostProjections!$L$11:$L$93,0),MATCH(X$15,CostProjections!$Y$10:$AH$10,0))*0.001</f>
        <v>44.670534281985489</v>
      </c>
      <c r="Y23" s="689">
        <f>Y22</f>
        <v>20</v>
      </c>
      <c r="Z23" s="689">
        <f t="shared" si="3"/>
        <v>20</v>
      </c>
      <c r="AA23" s="919">
        <v>2035</v>
      </c>
      <c r="AB23" s="1">
        <f t="shared" ca="1" si="4"/>
        <v>6</v>
      </c>
      <c r="AC23" s="1">
        <v>1</v>
      </c>
    </row>
    <row r="24" spans="1:29" x14ac:dyDescent="0.2">
      <c r="A24" s="190" t="str">
        <f>ITEMS_nTech!C15</f>
        <v>Transport Passenger SUV Priv.Veh. Oil Blended Gasoline-Ethanol-E85-N</v>
      </c>
      <c r="B24" s="190" t="str">
        <f>D24&amp;RIGHT(C24,3)&amp;"-N"</f>
        <v>TPPRSUVBGS-N</v>
      </c>
      <c r="C24" s="611" t="str">
        <f>$L$6</f>
        <v>TRABGS</v>
      </c>
      <c r="D24" s="611" t="str">
        <f>TRP!$B$21</f>
        <v>TPPRSUV</v>
      </c>
      <c r="E24" s="692">
        <f t="array" ref="E24">IFERROR(INDEX(Analytica!$F$59:$AY$138,MATCH($B24,Analytica!$B$59:$B$168,0),MATCH(E$15&amp;E$10,Analytica!$F$58:$AY$58&amp;Analytica!$F$51:'Analytica'!$AY$51,0)),"")</f>
        <v>0.43407150834094715</v>
      </c>
      <c r="F24" s="692">
        <f t="array" ref="F24">IFERROR(INDEX(Analytica!$F$59:$AY$138,MATCH($B24,Analytica!$B$59:$B$168,0),MATCH(F$15&amp;F$10,Analytica!$F$58:$AY$58&amp;Analytica!$F$51:'Analytica'!$AY$51,0)),"")</f>
        <v>0.46801107047476492</v>
      </c>
      <c r="G24" s="692">
        <f t="array" ref="G24">IFERROR(INDEX(Analytica!$F$59:$AY$138,MATCH($B24,Analytica!$B$59:$B$168,0),MATCH(G$15&amp;G$10,Analytica!$F$58:$AY$58&amp;Analytica!$F$51:'Analytica'!$AY$51,0)),"")</f>
        <v>0.51749264321742416</v>
      </c>
      <c r="H24" s="692">
        <f t="array" ref="H24">IFERROR(INDEX(Analytica!$F$59:$AY$138,MATCH($B24,Analytica!$B$59:$B$168,0),MATCH(H$15&amp;H$10,Analytica!$F$58:$AY$58&amp;Analytica!$F$51:'Analytica'!$AY$51,0)),"")</f>
        <v>0.57220577178333198</v>
      </c>
      <c r="I24" s="914">
        <v>1</v>
      </c>
      <c r="J24" s="914">
        <v>1</v>
      </c>
      <c r="K24" s="914">
        <v>1</v>
      </c>
      <c r="L24" s="914">
        <v>1</v>
      </c>
      <c r="M24" s="914">
        <v>1</v>
      </c>
      <c r="N24" s="692">
        <f t="array" ref="N24">IFERROR(INDEX(Analytica!$F$59:$AY$138,MATCH($B24,Analytica!$B$59:$B$168,0),MATCH(N$15&amp;N$10,Analytica!$F$58:$AY$58&amp;Analytica!$F$51:'Analytica'!$AY$51,0)),"")</f>
        <v>2.4E-2</v>
      </c>
      <c r="O24" s="981">
        <f>INDEX(CostProjections!$N$11:$W$93,MATCH($B24,CostProjections!$L$11:$L$93,0),MATCH(O$15,CostProjections!$N$10:$W$10,0))*0.001</f>
        <v>438.90146207526243</v>
      </c>
      <c r="P24" s="981">
        <f>INDEX(CostProjections!$N$11:$W$93,MATCH($B24,CostProjections!$L$11:$L$93,0),MATCH(P$15,CostProjections!$N$10:$W$10,0))*0.001</f>
        <v>443.30806790174114</v>
      </c>
      <c r="Q24" s="981">
        <f>INDEX(CostProjections!$N$11:$W$93,MATCH($B24,CostProjections!$L$11:$L$93,0),MATCH(Q$15,CostProjections!$N$10:$W$10,0))*0.001</f>
        <v>447.75891640359885</v>
      </c>
      <c r="R24" s="981">
        <f>INDEX(CostProjections!$N$11:$W$93,MATCH($B24,CostProjections!$L$11:$L$93,0),MATCH(R$15,CostProjections!$N$10:$W$10,0))*0.001</f>
        <v>452.25445178083936</v>
      </c>
      <c r="S24" s="981">
        <f>INDEX(CostProjections!$N$11:$W$93,MATCH($B24,CostProjections!$L$11:$L$93,0),MATCH(S$15,CostProjections!$N$10:$W$10,0))*0.001</f>
        <v>456.79512269326983</v>
      </c>
      <c r="T24" s="981">
        <f>INDEX(CostProjections!$N$11:$W$93,MATCH($B24,CostProjections!$L$11:$L$93,0),MATCH(T$15,CostProjections!$N$10:$W$10,0))*0.001</f>
        <v>466.01368833105909</v>
      </c>
      <c r="U24" s="982">
        <f>INDEX(CostProjections!$Y$11:$AH$93,MATCH($B24,CostProjections!$L$11:$L$93,0),MATCH(U$15,CostProjections!$Y$10:$AH$10,0))*0.001</f>
        <v>11.850339476032087</v>
      </c>
      <c r="V24" s="982">
        <f>INDEX(CostProjections!$Y$11:$AH$93,MATCH($B24,CostProjections!$L$11:$L$93,0),MATCH(V$15,CostProjections!$Y$10:$AH$10,0))*0.001</f>
        <v>12.089490742897169</v>
      </c>
      <c r="W24" s="982">
        <f>INDEX(CostProjections!$Y$11:$AH$93,MATCH($B24,CostProjections!$L$11:$L$93,0),MATCH(W$15,CostProjections!$Y$10:$AH$10,0))*0.001</f>
        <v>12.333468312718285</v>
      </c>
      <c r="X24" s="982">
        <f>INDEX(CostProjections!$Y$11:$AH$93,MATCH($B24,CostProjections!$L$11:$L$93,0),MATCH(X$15,CostProjections!$Y$10:$AH$10,0))*0.001</f>
        <v>12.582369584938595</v>
      </c>
      <c r="Y24" s="689">
        <f>Y23</f>
        <v>20</v>
      </c>
      <c r="Z24" s="689">
        <f t="shared" si="3"/>
        <v>20</v>
      </c>
      <c r="AA24" s="850">
        <v>2080</v>
      </c>
      <c r="AB24" s="1">
        <f t="shared" ca="1" si="4"/>
        <v>7</v>
      </c>
      <c r="AC24" s="1">
        <v>1</v>
      </c>
    </row>
    <row r="25" spans="1:29" x14ac:dyDescent="0.2">
      <c r="A25" s="190" t="str">
        <f>ITEMS_nTech!C16</f>
        <v>Transport Passenger SUV Priv.Veh. Electricity-N</v>
      </c>
      <c r="B25" s="190" t="str">
        <f>D25&amp;RIGHT(C25,3)&amp;"-N"</f>
        <v>TPPRSUVELC-N</v>
      </c>
      <c r="C25" s="611" t="str">
        <f>$E$6</f>
        <v>TRAELC</v>
      </c>
      <c r="D25" s="611" t="str">
        <f>TRP!$B$21</f>
        <v>TPPRSUV</v>
      </c>
      <c r="E25" s="692">
        <f t="array" ref="E25">IFERROR(INDEX(Analytica!$F$59:$AY$138,MATCH($B25,Analytica!$B$59:$B$168,0),MATCH(E$15&amp;E$10,Analytica!$F$58:$AY$58&amp;Analytica!$F$51:'Analytica'!$AY$51,0)),"")</f>
        <v>1.4993784101944536</v>
      </c>
      <c r="F25" s="692">
        <f t="array" ref="F25">IFERROR(INDEX(Analytica!$F$59:$AY$138,MATCH($B25,Analytica!$B$59:$B$168,0),MATCH(F$15&amp;F$10,Analytica!$F$58:$AY$58&amp;Analytica!$F$51:'Analytica'!$AY$51,0)),"")</f>
        <v>1.6166131186170316</v>
      </c>
      <c r="G25" s="692">
        <f t="array" ref="G25">IFERROR(INDEX(Analytica!$F$59:$AY$138,MATCH($B25,Analytica!$B$59:$B$168,0),MATCH(G$15&amp;G$10,Analytica!$F$58:$AY$58&amp;Analytica!$F$51:'Analytica'!$AY$51,0)),"")</f>
        <v>1.7875333482270686</v>
      </c>
      <c r="H25" s="692">
        <f t="array" ref="H25">IFERROR(INDEX(Analytica!$F$59:$AY$138,MATCH($B25,Analytica!$B$59:$B$168,0),MATCH(H$15&amp;H$10,Analytica!$F$58:$AY$58&amp;Analytica!$F$51:'Analytica'!$AY$51,0)),"")</f>
        <v>1.9765245216847829</v>
      </c>
      <c r="I25" s="914">
        <v>1</v>
      </c>
      <c r="J25" s="914">
        <v>1</v>
      </c>
      <c r="K25" s="914">
        <v>1</v>
      </c>
      <c r="L25" s="914">
        <v>1</v>
      </c>
      <c r="M25" s="914">
        <v>1</v>
      </c>
      <c r="N25" s="692">
        <f t="array" ref="N25">IFERROR(INDEX(Analytica!$F$59:$AY$138,MATCH($B25,Analytica!$B$59:$B$168,0),MATCH(N$15&amp;N$10,Analytica!$F$58:$AY$58&amp;Analytica!$F$51:'Analytica'!$AY$51,0)),"")</f>
        <v>2.4E-2</v>
      </c>
      <c r="O25" s="981">
        <f>INDEX(CostProjections!$N$11:$W$93,MATCH($B25,CostProjections!$L$11:$L$93,0),MATCH(O$15,CostProjections!$N$10:$W$10,0))*0.001</f>
        <v>1289.2407774157671</v>
      </c>
      <c r="P25" s="981">
        <f>INDEX(CostProjections!$N$11:$W$93,MATCH($B25,CostProjections!$L$11:$L$93,0),MATCH(P$15,CostProjections!$N$10:$W$10,0))*0.001</f>
        <v>839.09573560975696</v>
      </c>
      <c r="Q25" s="981">
        <f>INDEX(CostProjections!$N$11:$W$93,MATCH($B25,CostProjections!$L$11:$L$93,0),MATCH(Q$15,CostProjections!$N$10:$W$10,0))*0.001</f>
        <v>731.66062829268515</v>
      </c>
      <c r="R25" s="981">
        <f>INDEX(CostProjections!$N$11:$W$93,MATCH($B25,CostProjections!$L$11:$L$93,0),MATCH(R$15,CostProjections!$N$10:$W$10,0))*0.001</f>
        <v>710.72455609756139</v>
      </c>
      <c r="S25" s="981">
        <f>INDEX(CostProjections!$N$11:$W$93,MATCH($B25,CostProjections!$L$11:$L$93,0),MATCH(S$15,CostProjections!$N$10:$W$10,0))*0.001</f>
        <v>689.78848390243911</v>
      </c>
      <c r="T25" s="981">
        <f>INDEX(CostProjections!$N$11:$W$93,MATCH($B25,CostProjections!$L$11:$L$93,0),MATCH(T$15,CostProjections!$N$10:$W$10,0))*0.001</f>
        <v>647.9163395121949</v>
      </c>
      <c r="U25" s="982">
        <f>INDEX(CostProjections!$Y$11:$AH$93,MATCH($B25,CostProjections!$L$11:$L$93,0),MATCH(U$15,CostProjections!$Y$10:$AH$10,0))*0.001</f>
        <v>26.107125742669282</v>
      </c>
      <c r="V25" s="982">
        <f>INDEX(CostProjections!$Y$11:$AH$93,MATCH($B25,CostProjections!$L$11:$L$93,0),MATCH(V$15,CostProjections!$Y$10:$AH$10,0))*0.001</f>
        <v>14.816127722926876</v>
      </c>
      <c r="W25" s="982">
        <f>INDEX(CostProjections!$Y$11:$AH$93,MATCH($B25,CostProjections!$L$11:$L$93,0),MATCH(W$15,CostProjections!$Y$10:$AH$10,0))*0.001</f>
        <v>13.968216799024393</v>
      </c>
      <c r="X25" s="982">
        <f>INDEX(CostProjections!$Y$11:$AH$93,MATCH($B25,CostProjections!$L$11:$L$93,0),MATCH(X$15,CostProjections!$Y$10:$AH$10,0))*0.001</f>
        <v>13.120305875121947</v>
      </c>
      <c r="Y25" s="689">
        <f>Y24</f>
        <v>20</v>
      </c>
      <c r="Z25" s="689">
        <f t="shared" si="3"/>
        <v>20</v>
      </c>
      <c r="AA25" s="689">
        <f>IF(AC25,base.year+$AA$12,base.year+$AA$10)</f>
        <v>2018</v>
      </c>
      <c r="AB25" s="1">
        <f t="shared" ca="1" si="4"/>
        <v>8</v>
      </c>
    </row>
    <row r="26" spans="1:29" x14ac:dyDescent="0.2">
      <c r="A26" s="190" t="s">
        <v>1124</v>
      </c>
      <c r="B26" s="190"/>
      <c r="C26" s="611"/>
      <c r="D26" s="611"/>
      <c r="E26" s="692" t="str">
        <f t="array" ref="E26">IFERROR(INDEX(Analytica!$F$59:$AY$138,MATCH($B26,Analytica!$B$59:$B$168,0),MATCH(E$15&amp;E$10,Analytica!$F$58:$AY$58&amp;Analytica!$F$51:'Analytica'!$AY$51,0)),"")</f>
        <v/>
      </c>
      <c r="F26" s="692"/>
      <c r="G26" s="692"/>
      <c r="H26" s="692"/>
      <c r="I26" s="914"/>
      <c r="J26" s="914"/>
      <c r="K26" s="914"/>
      <c r="L26" s="914"/>
      <c r="M26" s="914"/>
      <c r="N26" s="692" t="str">
        <f t="array" ref="N26">IFERROR(INDEX(Analytica!$F$59:$AY$138,MATCH($B26,Analytica!$B$59:$B$168,0),MATCH(N$15&amp;N$10,Analytica!$F$58:$AY$58&amp;Analytica!$F$51:'Analytica'!$AY$51,0)),"")</f>
        <v/>
      </c>
      <c r="O26" s="619" t="str">
        <f t="array" ref="O26">IFERROR(INDEX(Analytica!$F$59:$AY$138,MATCH($B26,Analytica!$B$59:$B$168,0),MATCH(O$15&amp;O$10,Analytica!$F$58:$AY$58&amp;Analytica!$F$51:'Analytica'!$AY$51,0)),"")</f>
        <v/>
      </c>
      <c r="P26" s="619" t="str">
        <f t="array" ref="P26">IFERROR(INDEX(Analytica!$F$59:$AY$138,MATCH($B26,Analytica!$B$59:$B$168,0),MATCH(P$15&amp;P$10,Analytica!$F$58:$AY$58&amp;Analytica!$F$51:'Analytica'!$AY$51,0)),"")</f>
        <v/>
      </c>
      <c r="Q26" s="619" t="str">
        <f t="array" ref="Q26">IFERROR(INDEX(Analytica!$F$59:$AY$138,MATCH($B26,Analytica!$B$59:$B$168,0),MATCH(Q$15&amp;Q$10,Analytica!$F$58:$AY$58&amp;Analytica!$F$51:'Analytica'!$AY$51,0)),"")</f>
        <v/>
      </c>
      <c r="R26" s="619" t="str">
        <f t="array" ref="R26">IFERROR(INDEX(Analytica!$F$59:$AY$138,MATCH($B26,Analytica!$B$59:$B$168,0),MATCH(R$15&amp;R$10,Analytica!$F$58:$AY$58&amp;Analytica!$F$51:'Analytica'!$AY$51,0)),"")</f>
        <v/>
      </c>
      <c r="S26" s="619" t="str">
        <f t="array" ref="S26">IFERROR(INDEX(Analytica!$F$59:$AY$138,MATCH($B26,Analytica!$B$59:$B$168,0),MATCH(S$15&amp;S$10,Analytica!$F$58:$AY$58&amp;Analytica!$F$51:'Analytica'!$AY$51,0)),"")</f>
        <v/>
      </c>
      <c r="T26" s="619" t="str">
        <f t="array" ref="T26">IFERROR(INDEX(Analytica!$F$59:$AY$138,MATCH($B26,Analytica!$B$59:$B$168,0),MATCH(T$15&amp;T$10,Analytica!$F$58:$AY$58&amp;Analytica!$F$51:'Analytica'!$AY$51,0)),"")</f>
        <v/>
      </c>
      <c r="U26" s="619" t="str">
        <f t="array" ref="U26">IFERROR(INDEX(Analytica!$F$59:$AY$138,MATCH($B26,Analytica!$B$59:$B$168,0),MATCH(U$15&amp;U$10,Analytica!$F$58:$AY$58&amp;Analytica!$F$51:'Analytica'!$AY$51,0)),"")</f>
        <v/>
      </c>
      <c r="V26" s="619" t="str">
        <f t="array" ref="V26">IFERROR(INDEX(Analytica!$F$59:$AY$138,MATCH($B26,Analytica!$B$59:$B$168,0),MATCH(V$15&amp;V$10,Analytica!$F$58:$AY$58&amp;Analytica!$F$51:'Analytica'!$AY$51,0)),"")</f>
        <v/>
      </c>
      <c r="W26" s="619" t="str">
        <f t="array" ref="W26">IFERROR(INDEX(Analytica!$F$59:$AY$138,MATCH($B26,Analytica!$B$59:$B$168,0),MATCH(W$15&amp;W$10,Analytica!$F$58:$AY$58&amp;Analytica!$F$51:'Analytica'!$AY$51,0)),"")</f>
        <v/>
      </c>
      <c r="X26" s="619" t="str">
        <f t="array" ref="X26">IFERROR(INDEX(Analytica!$F$59:$AY$138,MATCH($B26,Analytica!$B$59:$B$168,0),MATCH(X$15&amp;X$10,Analytica!$F$58:$AY$58&amp;Analytica!$F$51:'Analytica'!$AY$51,0)),"")</f>
        <v/>
      </c>
      <c r="Y26" s="697"/>
      <c r="Z26" s="689">
        <f t="shared" si="3"/>
        <v>0</v>
      </c>
      <c r="AA26" s="689">
        <f>IF(AC26,base.year+$AA$12,base.year+$AA$10)</f>
        <v>2018</v>
      </c>
      <c r="AB26" s="1">
        <f t="shared" ca="1" si="4"/>
        <v>9</v>
      </c>
    </row>
    <row r="27" spans="1:29" x14ac:dyDescent="0.2">
      <c r="A27" s="190" t="str">
        <f>ITEMS_nTech!C18</f>
        <v>Transport Passenger Car Priv.Veh. Oil Diesel-N</v>
      </c>
      <c r="B27" s="190" t="str">
        <f>D27&amp;RIGHT(C27,3)&amp;"-N"</f>
        <v>TPPRCARODS-N</v>
      </c>
      <c r="C27" s="611" t="str">
        <f>$D$6</f>
        <v>TRAODS</v>
      </c>
      <c r="D27" s="611" t="str">
        <f>TRP!$B$22</f>
        <v>TPPRCAR</v>
      </c>
      <c r="E27" s="692">
        <f t="array" ref="E27">IFERROR(INDEX(Analytica!$F$59:$AY$138,MATCH($B27,Analytica!$B$59:$B$168,0),MATCH(E$15&amp;E$10,Analytica!$F$58:$AY$58&amp;Analytica!$F$51:'Analytica'!$AY$51,0)),"")</f>
        <v>0.33703202380466663</v>
      </c>
      <c r="F27" s="692">
        <f t="array" ref="F27">IFERROR(INDEX(Analytica!$F$59:$AY$138,MATCH($B27,Analytica!$B$59:$B$168,0),MATCH(F$15&amp;F$10,Analytica!$F$58:$AY$58&amp;Analytica!$F$51:'Analytica'!$AY$51,0)),"")</f>
        <v>0.36338417798480266</v>
      </c>
      <c r="G27" s="692">
        <f t="array" ref="G27">IFERROR(INDEX(Analytica!$F$59:$AY$138,MATCH($B27,Analytica!$B$59:$B$168,0),MATCH(G$15&amp;G$10,Analytica!$F$58:$AY$58&amp;Analytica!$F$51:'Analytica'!$AY$51,0)),"")</f>
        <v>0.40180382608895143</v>
      </c>
      <c r="H27" s="692">
        <f t="array" ref="H27">IFERROR(INDEX(Analytica!$F$59:$AY$138,MATCH($B27,Analytica!$B$59:$B$168,0),MATCH(H$15&amp;H$10,Analytica!$F$58:$AY$58&amp;Analytica!$F$51:'Analytica'!$AY$51,0)),"")</f>
        <v>0.4442854819795492</v>
      </c>
      <c r="I27" s="914">
        <v>1</v>
      </c>
      <c r="J27" s="914">
        <v>1</v>
      </c>
      <c r="K27" s="914">
        <v>1</v>
      </c>
      <c r="L27" s="914">
        <v>1</v>
      </c>
      <c r="M27" s="914">
        <v>1</v>
      </c>
      <c r="N27" s="692">
        <f t="array" ref="N27">IFERROR(INDEX(Analytica!$F$59:$AY$138,MATCH($B27,Analytica!$B$59:$B$168,0),MATCH(N$15&amp;N$10,Analytica!$F$58:$AY$58&amp;Analytica!$F$51:'Analytica'!$AY$51,0)),"")</f>
        <v>2.2499999999999999E-2</v>
      </c>
      <c r="O27" s="981">
        <f>INDEX(CostProjections!$N$11:$W$93,MATCH($B27,CostProjections!$L$11:$L$93,0),MATCH(O$15,CostProjections!$N$10:$W$10,0))*0.001</f>
        <v>656.10237784381934</v>
      </c>
      <c r="P27" s="981">
        <f>INDEX(CostProjections!$N$11:$W$93,MATCH($B27,CostProjections!$L$11:$L$93,0),MATCH(P$15,CostProjections!$N$10:$W$10,0))*0.001</f>
        <v>662.68969825807051</v>
      </c>
      <c r="Q27" s="981">
        <f>INDEX(CostProjections!$N$11:$W$93,MATCH($B27,CostProjections!$L$11:$L$93,0),MATCH(Q$15,CostProjections!$N$10:$W$10,0))*0.001</f>
        <v>669.34315589679386</v>
      </c>
      <c r="R27" s="981">
        <f>INDEX(CostProjections!$N$11:$W$93,MATCH($B27,CostProjections!$L$11:$L$93,0),MATCH(R$15,CostProjections!$N$10:$W$10,0))*0.001</f>
        <v>676.06341478301897</v>
      </c>
      <c r="S27" s="981">
        <f>INDEX(CostProjections!$N$11:$W$93,MATCH($B27,CostProjections!$L$11:$L$93,0),MATCH(S$15,CostProjections!$N$10:$W$10,0))*0.001</f>
        <v>682.85114560662009</v>
      </c>
      <c r="T27" s="981">
        <f>INDEX(CostProjections!$N$11:$W$93,MATCH($B27,CostProjections!$L$11:$L$93,0),MATCH(T$15,CostProjections!$N$10:$W$10,0))*0.001</f>
        <v>696.63173956195692</v>
      </c>
      <c r="U27" s="982">
        <f>INDEX(CostProjections!$Y$11:$AH$93,MATCH($B27,CostProjections!$L$11:$L$93,0),MATCH(U$15,CostProjections!$Y$10:$AH$10,0))*0.001</f>
        <v>17.714764201783122</v>
      </c>
      <c r="V27" s="982">
        <f>INDEX(CostProjections!$Y$11:$AH$93,MATCH($B27,CostProjections!$L$11:$L$93,0),MATCH(V$15,CostProjections!$Y$10:$AH$10,0))*0.001</f>
        <v>18.072265209213434</v>
      </c>
      <c r="W27" s="982">
        <f>INDEX(CostProjections!$Y$11:$AH$93,MATCH($B27,CostProjections!$L$11:$L$93,0),MATCH(W$15,CostProjections!$Y$10:$AH$10,0))*0.001</f>
        <v>18.436980931378745</v>
      </c>
      <c r="X27" s="982">
        <f>INDEX(CostProjections!$Y$11:$AH$93,MATCH($B27,CostProjections!$L$11:$L$93,0),MATCH(X$15,CostProjections!$Y$10:$AH$10,0))*0.001</f>
        <v>18.80905696817284</v>
      </c>
      <c r="Y27" s="689">
        <v>23</v>
      </c>
      <c r="Z27" s="689">
        <f t="shared" si="3"/>
        <v>23</v>
      </c>
      <c r="AA27" s="689">
        <f>IF(AC27,base.year+$AA$12,base.year+$AA$10)</f>
        <v>2018</v>
      </c>
      <c r="AB27" s="1">
        <f t="shared" ca="1" si="4"/>
        <v>10</v>
      </c>
    </row>
    <row r="28" spans="1:29" x14ac:dyDescent="0.2">
      <c r="A28" s="190" t="str">
        <f>ITEMS_nTech!C19</f>
        <v>Transport Passenger Car Priv.Veh. Oil Gasoline-N</v>
      </c>
      <c r="B28" s="190" t="str">
        <f>D28&amp;RIGHT(C28,3)&amp;"-N"</f>
        <v>TPPRCAROGS-N</v>
      </c>
      <c r="C28" s="611" t="str">
        <f>$G$6</f>
        <v>TRAOGS</v>
      </c>
      <c r="D28" s="611" t="str">
        <f>TRP!$B$22</f>
        <v>TPPRCAR</v>
      </c>
      <c r="E28" s="692">
        <f t="array" ref="E28">IFERROR(INDEX(Analytica!$F$59:$AY$138,MATCH($B28,Analytica!$B$59:$B$168,0),MATCH(E$15&amp;E$10,Analytica!$F$58:$AY$58&amp;Analytica!$F$51:'Analytica'!$AY$51,0)),"")</f>
        <v>0.36226864396574021</v>
      </c>
      <c r="F28" s="692">
        <f t="array" ref="F28">IFERROR(INDEX(Analytica!$F$59:$AY$138,MATCH($B28,Analytica!$B$59:$B$168,0),MATCH(F$15&amp;F$10,Analytica!$F$58:$AY$58&amp;Analytica!$F$51:'Analytica'!$AY$51,0)),"")</f>
        <v>0.39059402104013624</v>
      </c>
      <c r="G28" s="692">
        <f t="array" ref="G28">IFERROR(INDEX(Analytica!$F$59:$AY$138,MATCH($B28,Analytica!$B$59:$B$168,0),MATCH(G$15&amp;G$10,Analytica!$F$58:$AY$58&amp;Analytica!$F$51:'Analytica'!$AY$51,0)),"")</f>
        <v>0.43189049388924888</v>
      </c>
      <c r="H28" s="692">
        <f t="array" ref="H28">IFERROR(INDEX(Analytica!$F$59:$AY$138,MATCH($B28,Analytica!$B$59:$B$168,0),MATCH(H$15&amp;H$10,Analytica!$F$58:$AY$58&amp;Analytica!$F$51:'Analytica'!$AY$51,0)),"")</f>
        <v>0.47755313359682011</v>
      </c>
      <c r="I28" s="914">
        <v>1</v>
      </c>
      <c r="J28" s="914">
        <v>1</v>
      </c>
      <c r="K28" s="914">
        <v>1</v>
      </c>
      <c r="L28" s="914">
        <v>1</v>
      </c>
      <c r="M28" s="914">
        <v>1</v>
      </c>
      <c r="N28" s="692">
        <f t="array" ref="N28">IFERROR(INDEX(Analytica!$F$59:$AY$138,MATCH($B28,Analytica!$B$59:$B$168,0),MATCH(N$15&amp;N$10,Analytica!$F$58:$AY$58&amp;Analytica!$F$51:'Analytica'!$AY$51,0)),"")</f>
        <v>1.9099999999999999E-2</v>
      </c>
      <c r="O28" s="981">
        <f>INDEX(CostProjections!$N$11:$W$93,MATCH($B28,CostProjections!$L$11:$L$93,0),MATCH(O$15,CostProjections!$N$10:$W$10,0))*0.001</f>
        <v>262.38470575580084</v>
      </c>
      <c r="P28" s="981">
        <f>INDEX(CostProjections!$N$11:$W$93,MATCH($B28,CostProjections!$L$11:$L$93,0),MATCH(P$15,CostProjections!$N$10:$W$10,0))*0.001</f>
        <v>265.01906921336467</v>
      </c>
      <c r="Q28" s="981">
        <f>INDEX(CostProjections!$N$11:$W$93,MATCH($B28,CostProjections!$L$11:$L$93,0),MATCH(Q$15,CostProjections!$N$10:$W$10,0))*0.001</f>
        <v>267.67988189100242</v>
      </c>
      <c r="R28" s="981">
        <f>INDEX(CostProjections!$N$11:$W$93,MATCH($B28,CostProjections!$L$11:$L$93,0),MATCH(R$15,CostProjections!$N$10:$W$10,0))*0.001</f>
        <v>270.36740934100158</v>
      </c>
      <c r="S28" s="981">
        <f>INDEX(CostProjections!$N$11:$W$93,MATCH($B28,CostProjections!$L$11:$L$93,0),MATCH(S$15,CostProjections!$N$10:$W$10,0))*0.001</f>
        <v>273.08191978181594</v>
      </c>
      <c r="T28" s="981">
        <f>INDEX(CostProjections!$N$11:$W$93,MATCH($B28,CostProjections!$L$11:$L$93,0),MATCH(T$15,CostProjections!$N$10:$W$10,0))*0.001</f>
        <v>278.59297600141696</v>
      </c>
      <c r="U28" s="982">
        <f>INDEX(CostProjections!$Y$11:$AH$93,MATCH($B28,CostProjections!$L$11:$L$93,0),MATCH(U$15,CostProjections!$Y$10:$AH$10,0))*0.001</f>
        <v>7.0843870554066228</v>
      </c>
      <c r="V28" s="982">
        <f>INDEX(CostProjections!$Y$11:$AH$93,MATCH($B28,CostProjections!$L$11:$L$93,0),MATCH(V$15,CostProjections!$Y$10:$AH$10,0))*0.001</f>
        <v>7.2273568110570654</v>
      </c>
      <c r="W28" s="982">
        <f>INDEX(CostProjections!$Y$11:$AH$93,MATCH($B28,CostProjections!$L$11:$L$93,0),MATCH(W$15,CostProjections!$Y$10:$AH$10,0))*0.001</f>
        <v>7.3732118341090311</v>
      </c>
      <c r="X28" s="982">
        <f>INDEX(CostProjections!$Y$11:$AH$93,MATCH($B28,CostProjections!$L$11:$L$93,0),MATCH(X$15,CostProjections!$Y$10:$AH$10,0))*0.001</f>
        <v>7.522010352038258</v>
      </c>
      <c r="Y28" s="689">
        <f>Y27</f>
        <v>23</v>
      </c>
      <c r="Z28" s="689">
        <f t="shared" si="3"/>
        <v>23</v>
      </c>
      <c r="AA28" s="689">
        <f>IF(AC28,base.year+$AA$12,base.year+$AA$10)</f>
        <v>2018</v>
      </c>
      <c r="AB28" s="1">
        <f t="shared" ca="1" si="4"/>
        <v>11</v>
      </c>
    </row>
    <row r="29" spans="1:29" ht="15" x14ac:dyDescent="0.25">
      <c r="A29" s="190" t="str">
        <f>ITEMS_nTech!C20</f>
        <v>Transport Passenger Car Priv.Veh. Oil Diesel Hybrid-N</v>
      </c>
      <c r="B29" s="190" t="str">
        <f>D29&amp;RIGHT(C29,3)&amp;"H-N"</f>
        <v>TPPRCARODSH-N</v>
      </c>
      <c r="C29" s="611" t="str">
        <f>$D$6</f>
        <v>TRAODS</v>
      </c>
      <c r="D29" s="611" t="str">
        <f>TRP!$B$22</f>
        <v>TPPRCAR</v>
      </c>
      <c r="E29" s="692">
        <f t="array" ref="E29">IFERROR(INDEX(Analytica!$F$59:$AY$138,MATCH($B29,Analytica!$B$59:$B$168,0),MATCH(E$15&amp;E$10,Analytica!$F$58:$AY$58&amp;Analytica!$F$51:'Analytica'!$AY$51,0)),"")</f>
        <v>0.56781069109610705</v>
      </c>
      <c r="F29" s="692">
        <f t="array" ref="F29">IFERROR(INDEX(Analytica!$F$59:$AY$138,MATCH($B29,Analytica!$B$59:$B$168,0),MATCH(F$15&amp;F$10,Analytica!$F$58:$AY$58&amp;Analytica!$F$51:'Analytica'!$AY$51,0)),"")</f>
        <v>0.61220716923483232</v>
      </c>
      <c r="G29" s="692">
        <f t="array" ref="G29">IFERROR(INDEX(Analytica!$F$59:$AY$138,MATCH($B29,Analytica!$B$59:$B$168,0),MATCH(G$15&amp;G$10,Analytica!$F$58:$AY$58&amp;Analytica!$F$51:'Analytica'!$AY$51,0)),"")</f>
        <v>0.67693421414712618</v>
      </c>
      <c r="H29" s="692">
        <f t="array" ref="H29">IFERROR(INDEX(Analytica!$F$59:$AY$138,MATCH($B29,Analytica!$B$59:$B$168,0),MATCH(H$15&amp;H$10,Analytica!$F$58:$AY$58&amp;Analytica!$F$51:'Analytica'!$AY$51,0)),"")</f>
        <v>0.74850467833579759</v>
      </c>
      <c r="I29" s="914">
        <v>1</v>
      </c>
      <c r="J29" s="914">
        <v>1</v>
      </c>
      <c r="K29" s="914">
        <v>1</v>
      </c>
      <c r="L29" s="914">
        <v>1</v>
      </c>
      <c r="M29" s="914">
        <v>1</v>
      </c>
      <c r="N29" s="692">
        <f t="array" ref="N29">IFERROR(INDEX(Analytica!$F$59:$AY$138,MATCH($B29,Analytica!$B$59:$B$168,0),MATCH(N$15&amp;N$10,Analytica!$F$58:$AY$58&amp;Analytica!$F$51:'Analytica'!$AY$51,0)),"")</f>
        <v>2.2499999999999999E-2</v>
      </c>
      <c r="O29" s="981">
        <f>INDEX(CostProjections!$N$11:$W$93,MATCH($B29,CostProjections!$L$11:$L$93,0),MATCH(O$15,CostProjections!$N$10:$W$10,0))*0.001</f>
        <v>1413.7180946041472</v>
      </c>
      <c r="P29" s="981">
        <f>INDEX(CostProjections!$N$11:$W$93,MATCH($B29,CostProjections!$L$11:$L$93,0),MATCH(P$15,CostProjections!$N$10:$W$10,0))*0.001</f>
        <v>1157.3404739387681</v>
      </c>
      <c r="Q29" s="981">
        <f>INDEX(CostProjections!$N$11:$W$93,MATCH($B29,CostProjections!$L$11:$L$93,0),MATCH(Q$15,CostProjections!$N$10:$W$10,0))*0.001</f>
        <v>1090.5194304088184</v>
      </c>
      <c r="R29" s="981">
        <f>INDEX(CostProjections!$N$11:$W$93,MATCH($B29,CostProjections!$L$11:$L$93,0),MATCH(R$15,CostProjections!$N$10:$W$10,0))*0.001</f>
        <v>1092.3013249029516</v>
      </c>
      <c r="S29" s="981">
        <f>INDEX(CostProjections!$N$11:$W$93,MATCH($B29,CostProjections!$L$11:$L$93,0),MATCH(S$15,CostProjections!$N$10:$W$10,0))*0.001</f>
        <v>1094.0832193970837</v>
      </c>
      <c r="T29" s="981">
        <f>INDEX(CostProjections!$N$11:$W$93,MATCH($B29,CostProjections!$L$11:$L$93,0),MATCH(T$15,CostProjections!$N$10:$W$10,0))*0.001</f>
        <v>1097.6470083853476</v>
      </c>
      <c r="U29" s="982">
        <f>INDEX(CostProjections!$Y$11:$AH$93,MATCH($B29,CostProjections!$L$11:$L$93,0),MATCH(U$15,CostProjections!$Y$10:$AH$10,0))*0.001</f>
        <v>38.17038855431197</v>
      </c>
      <c r="V29" s="982">
        <f>INDEX(CostProjections!$Y$11:$AH$93,MATCH($B29,CostProjections!$L$11:$L$93,0),MATCH(V$15,CostProjections!$Y$10:$AH$10,0))*0.001</f>
        <v>29.444024621038096</v>
      </c>
      <c r="W29" s="982">
        <f>INDEX(CostProjections!$Y$11:$AH$93,MATCH($B29,CostProjections!$L$11:$L$93,0),MATCH(W$15,CostProjections!$Y$10:$AH$10,0))*0.001</f>
        <v>29.540246923721259</v>
      </c>
      <c r="X29" s="982">
        <f>INDEX(CostProjections!$Y$11:$AH$93,MATCH($B29,CostProjections!$L$11:$L$93,0),MATCH(X$15,CostProjections!$Y$10:$AH$10,0))*0.001</f>
        <v>29.636469226404387</v>
      </c>
      <c r="Y29" s="689">
        <f t="shared" ref="Y29:Y34" si="5">Y27</f>
        <v>23</v>
      </c>
      <c r="Z29" s="689">
        <f t="shared" si="3"/>
        <v>23</v>
      </c>
      <c r="AA29" s="918">
        <v>2080</v>
      </c>
      <c r="AB29" s="1">
        <f t="shared" ca="1" si="4"/>
        <v>12</v>
      </c>
      <c r="AC29" s="1">
        <v>1</v>
      </c>
    </row>
    <row r="30" spans="1:29" x14ac:dyDescent="0.2">
      <c r="A30" s="190" t="str">
        <f>ITEMS_nTech!C21</f>
        <v>Transport Passenger Car Priv.Veh. Oil Gasoline Hybrid-N</v>
      </c>
      <c r="B30" s="190" t="str">
        <f>D30&amp;RIGHT(C30,3)&amp;"H-N"</f>
        <v>TPPRCAROGSH-N</v>
      </c>
      <c r="C30" s="611" t="str">
        <f>$G$6</f>
        <v>TRAOGS</v>
      </c>
      <c r="D30" s="611" t="str">
        <f>TRP!$B$22</f>
        <v>TPPRCAR</v>
      </c>
      <c r="E30" s="692">
        <f t="array" ref="E30">IFERROR(INDEX(Analytica!$F$59:$AY$138,MATCH($B30,Analytica!$B$59:$B$168,0),MATCH(E$15&amp;E$10,Analytica!$F$58:$AY$58&amp;Analytica!$F$51:'Analytica'!$AY$51,0)),"")</f>
        <v>0.47411445723101459</v>
      </c>
      <c r="F30" s="692">
        <f t="array" ref="F30">IFERROR(INDEX(Analytica!$F$59:$AY$138,MATCH($B30,Analytica!$B$59:$B$168,0),MATCH(F$15&amp;F$10,Analytica!$F$58:$AY$58&amp;Analytica!$F$51:'Analytica'!$AY$51,0)),"")</f>
        <v>0.51118493241892826</v>
      </c>
      <c r="G30" s="692">
        <f t="array" ref="G30">IFERROR(INDEX(Analytica!$F$59:$AY$138,MATCH($B30,Analytica!$B$59:$B$168,0),MATCH(G$15&amp;G$10,Analytica!$F$58:$AY$58&amp;Analytica!$F$51:'Analytica'!$AY$51,0)),"")</f>
        <v>0.56523116340397583</v>
      </c>
      <c r="H30" s="692">
        <f t="array" ref="H30">IFERROR(INDEX(Analytica!$F$59:$AY$138,MATCH($B30,Analytica!$B$59:$B$168,0),MATCH(H$15&amp;H$10,Analytica!$F$58:$AY$58&amp;Analytica!$F$51:'Analytica'!$AY$51,0)),"")</f>
        <v>0.62499155945618812</v>
      </c>
      <c r="I30" s="914">
        <v>1</v>
      </c>
      <c r="J30" s="914">
        <v>1</v>
      </c>
      <c r="K30" s="914">
        <v>1</v>
      </c>
      <c r="L30" s="914">
        <v>1</v>
      </c>
      <c r="M30" s="914">
        <v>1</v>
      </c>
      <c r="N30" s="692">
        <f t="array" ref="N30">IFERROR(INDEX(Analytica!$F$59:$AY$138,MATCH($B30,Analytica!$B$59:$B$168,0),MATCH(N$15&amp;N$10,Analytica!$F$58:$AY$58&amp;Analytica!$F$51:'Analytica'!$AY$51,0)),"")</f>
        <v>0.02</v>
      </c>
      <c r="O30" s="981">
        <f>INDEX(CostProjections!$N$11:$W$93,MATCH($B30,CostProjections!$L$11:$L$93,0),MATCH(O$15,CostProjections!$N$10:$W$10,0))*0.001</f>
        <v>565.36604469167128</v>
      </c>
      <c r="P30" s="981">
        <f>INDEX(CostProjections!$N$11:$W$93,MATCH($B30,CostProjections!$L$11:$L$93,0),MATCH(P$15,CostProjections!$N$10:$W$10,0))*0.001</f>
        <v>462.83697478991451</v>
      </c>
      <c r="Q30" s="981">
        <f>INDEX(CostProjections!$N$11:$W$93,MATCH($B30,CostProjections!$L$11:$L$93,0),MATCH(Q$15,CostProjections!$N$10:$W$10,0))*0.001</f>
        <v>436.11428571428524</v>
      </c>
      <c r="R30" s="981">
        <f>INDEX(CostProjections!$N$11:$W$93,MATCH($B30,CostProjections!$L$11:$L$93,0),MATCH(R$15,CostProjections!$N$10:$W$10,0))*0.001</f>
        <v>436.82689075630253</v>
      </c>
      <c r="S30" s="981">
        <f>INDEX(CostProjections!$N$11:$W$93,MATCH($B30,CostProjections!$L$11:$L$93,0),MATCH(S$15,CostProjections!$N$10:$W$10,0))*0.001</f>
        <v>437.53949579831931</v>
      </c>
      <c r="T30" s="981">
        <f>INDEX(CostProjections!$N$11:$W$93,MATCH($B30,CostProjections!$L$11:$L$93,0),MATCH(T$15,CostProjections!$N$10:$W$10,0))*0.001</f>
        <v>438.96470588235292</v>
      </c>
      <c r="U30" s="982">
        <f>INDEX(CostProjections!$Y$11:$AH$93,MATCH($B30,CostProjections!$L$11:$L$93,0),MATCH(U$15,CostProjections!$Y$10:$AH$10,0))*0.001</f>
        <v>15.264883206675124</v>
      </c>
      <c r="V30" s="982">
        <f>INDEX(CostProjections!$Y$11:$AH$93,MATCH($B30,CostProjections!$L$11:$L$93,0),MATCH(V$15,CostProjections!$Y$10:$AH$10,0))*0.001</f>
        <v>11.7750857142857</v>
      </c>
      <c r="W30" s="982">
        <f>INDEX(CostProjections!$Y$11:$AH$93,MATCH($B30,CostProjections!$L$11:$L$93,0),MATCH(W$15,CostProjections!$Y$10:$AH$10,0))*0.001</f>
        <v>11.813566386554621</v>
      </c>
      <c r="X30" s="982">
        <f>INDEX(CostProjections!$Y$11:$AH$93,MATCH($B30,CostProjections!$L$11:$L$93,0),MATCH(X$15,CostProjections!$Y$10:$AH$10,0))*0.001</f>
        <v>11.852047058823528</v>
      </c>
      <c r="Y30" s="689">
        <f t="shared" si="5"/>
        <v>23</v>
      </c>
      <c r="Z30" s="689">
        <f t="shared" si="3"/>
        <v>23</v>
      </c>
      <c r="AA30" s="689">
        <f>IF(AC30,base.year+$AA$12,base.year+$AA$10)</f>
        <v>2018</v>
      </c>
      <c r="AB30" s="1">
        <f t="shared" ca="1" si="4"/>
        <v>13</v>
      </c>
    </row>
    <row r="31" spans="1:29" x14ac:dyDescent="0.2">
      <c r="A31" s="190" t="str">
        <f>ITEMS_nTech!C22</f>
        <v>Transport Passenger Car Priv.Veh. Electricity-N</v>
      </c>
      <c r="B31" s="190" t="str">
        <f>D31&amp;RIGHT(C31,3)&amp;"-N"</f>
        <v>TPPRCARELC-N</v>
      </c>
      <c r="C31" s="611" t="str">
        <f>$E$6</f>
        <v>TRAELC</v>
      </c>
      <c r="D31" s="611" t="str">
        <f>TRP!$B$22</f>
        <v>TPPRCAR</v>
      </c>
      <c r="E31" s="692">
        <f t="array" ref="E31">IFERROR(INDEX(Analytica!$F$59:$AY$138,MATCH($B31,Analytica!$B$59:$B$168,0),MATCH(E$15&amp;E$10,Analytica!$F$58:$AY$58&amp;Analytica!$F$51:'Analytica'!$AY$51,0)),"")</f>
        <v>1.7847244364294399</v>
      </c>
      <c r="F31" s="692">
        <f t="array" ref="F31">IFERROR(INDEX(Analytica!$F$59:$AY$138,MATCH($B31,Analytica!$B$59:$B$168,0),MATCH(F$15&amp;F$10,Analytica!$F$58:$AY$58&amp;Analytica!$F$51:'Analytica'!$AY$51,0)),"")</f>
        <v>1.9242700291209607</v>
      </c>
      <c r="G31" s="692">
        <f t="array" ref="G31">IFERROR(INDEX(Analytica!$F$59:$AY$138,MATCH($B31,Analytica!$B$59:$B$168,0),MATCH(G$15&amp;G$10,Analytica!$F$58:$AY$58&amp;Analytica!$F$51:'Analytica'!$AY$51,0)),"")</f>
        <v>2.1277180102250783</v>
      </c>
      <c r="H31" s="692">
        <f t="array" ref="H31">IFERROR(INDEX(Analytica!$F$59:$AY$138,MATCH($B31,Analytica!$B$59:$B$168,0),MATCH(H$15&amp;H$10,Analytica!$F$58:$AY$58&amp;Analytica!$F$51:'Analytica'!$AY$51,0)),"")</f>
        <v>2.3526760083169105</v>
      </c>
      <c r="I31" s="914">
        <v>1</v>
      </c>
      <c r="J31" s="914">
        <v>1</v>
      </c>
      <c r="K31" s="914">
        <v>1</v>
      </c>
      <c r="L31" s="914">
        <v>1</v>
      </c>
      <c r="M31" s="914">
        <v>1</v>
      </c>
      <c r="N31" s="692">
        <f t="array" ref="N31">IFERROR(INDEX(Analytica!$F$59:$AY$138,MATCH($B31,Analytica!$B$59:$B$168,0),MATCH(N$15&amp;N$10,Analytica!$F$58:$AY$58&amp;Analytica!$F$51:'Analytica'!$AY$51,0)),"")</f>
        <v>1.9099999999999999E-2</v>
      </c>
      <c r="O31" s="981">
        <f>INDEX(CostProjections!$N$11:$W$93,MATCH($B31,CostProjections!$L$11:$L$93,0),MATCH(O$15,CostProjections!$N$10:$W$10,0))*0.001</f>
        <v>847.09508856713433</v>
      </c>
      <c r="P31" s="981">
        <f>INDEX(CostProjections!$N$11:$W$93,MATCH($B31,CostProjections!$L$11:$L$93,0),MATCH(P$15,CostProjections!$N$10:$W$10,0))*0.001</f>
        <v>551.32748585365914</v>
      </c>
      <c r="Q31" s="981">
        <f>INDEX(CostProjections!$N$11:$W$93,MATCH($B31,CostProjections!$L$11:$L$93,0),MATCH(Q$15,CostProjections!$N$10:$W$10,0))*0.001</f>
        <v>480.73729560975755</v>
      </c>
      <c r="R31" s="981">
        <f>INDEX(CostProjections!$N$11:$W$93,MATCH($B31,CostProjections!$L$11:$L$93,0),MATCH(R$15,CostProjections!$N$10:$W$10,0))*0.001</f>
        <v>466.98125853658564</v>
      </c>
      <c r="S31" s="981">
        <f>INDEX(CostProjections!$N$11:$W$93,MATCH($B31,CostProjections!$L$11:$L$93,0),MATCH(S$15,CostProjections!$N$10:$W$10,0))*0.001</f>
        <v>453.22522146341481</v>
      </c>
      <c r="T31" s="981">
        <f>INDEX(CostProjections!$N$11:$W$93,MATCH($B31,CostProjections!$L$11:$L$93,0),MATCH(T$15,CostProjections!$N$10:$W$10,0))*0.001</f>
        <v>425.71314731707304</v>
      </c>
      <c r="U31" s="982">
        <f>INDEX(CostProjections!$Y$11:$AH$93,MATCH($B31,CostProjections!$L$11:$L$93,0),MATCH(U$15,CostProjections!$Y$10:$AH$10,0))*0.001</f>
        <v>17.153675543484471</v>
      </c>
      <c r="V31" s="982">
        <f>INDEX(CostProjections!$Y$11:$AH$93,MATCH($B31,CostProjections!$L$11:$L$93,0),MATCH(V$15,CostProjections!$Y$10:$AH$10,0))*0.001</f>
        <v>9.7349302360975916</v>
      </c>
      <c r="W31" s="982">
        <f>INDEX(CostProjections!$Y$11:$AH$93,MATCH($B31,CostProjections!$L$11:$L$93,0),MATCH(W$15,CostProjections!$Y$10:$AH$10,0))*0.001</f>
        <v>9.17781073463415</v>
      </c>
      <c r="X31" s="982">
        <f>INDEX(CostProjections!$Y$11:$AH$93,MATCH($B31,CostProjections!$L$11:$L$93,0),MATCH(X$15,CostProjections!$Y$10:$AH$10,0))*0.001</f>
        <v>8.6206912331707279</v>
      </c>
      <c r="Y31" s="689">
        <f t="shared" si="5"/>
        <v>23</v>
      </c>
      <c r="Z31" s="689">
        <f t="shared" si="3"/>
        <v>23</v>
      </c>
      <c r="AA31" s="689">
        <f>IF(AC31,base.year+$AA$12,base.year+$AA$10)</f>
        <v>2018</v>
      </c>
      <c r="AB31" s="1">
        <f t="shared" ca="1" si="4"/>
        <v>14</v>
      </c>
    </row>
    <row r="32" spans="1:29" x14ac:dyDescent="0.2">
      <c r="A32" s="190" t="str">
        <f>ITEMS_nTech!C23</f>
        <v>Transport Passenger Car Priv.Veh. Gas-N</v>
      </c>
      <c r="B32" s="190" t="str">
        <f>D32&amp;RIGHT(C32,3)&amp;"-N"</f>
        <v>TPPRCARGAS-N</v>
      </c>
      <c r="C32" s="611" t="str">
        <f>$F$6</f>
        <v>TRAGAS</v>
      </c>
      <c r="D32" s="611" t="str">
        <f>TRP!$B$22</f>
        <v>TPPRCAR</v>
      </c>
      <c r="E32" s="692">
        <f t="array" ref="E32">IFERROR(INDEX(Analytica!$F$59:$AY$138,MATCH($B32,Analytica!$B$59:$B$168,0),MATCH(E$15&amp;E$10,Analytica!$F$58:$AY$58&amp;Analytica!$F$51:'Analytica'!$AY$51,0)),"")</f>
        <v>0.36226864396574021</v>
      </c>
      <c r="F32" s="692">
        <f t="array" ref="F32">IFERROR(INDEX(Analytica!$F$59:$AY$138,MATCH($B32,Analytica!$B$59:$B$168,0),MATCH(F$15&amp;F$10,Analytica!$F$58:$AY$58&amp;Analytica!$F$51:'Analytica'!$AY$51,0)),"")</f>
        <v>0.39059402104013624</v>
      </c>
      <c r="G32" s="692">
        <f t="array" ref="G32">IFERROR(INDEX(Analytica!$F$59:$AY$138,MATCH($B32,Analytica!$B$59:$B$168,0),MATCH(G$15&amp;G$10,Analytica!$F$58:$AY$58&amp;Analytica!$F$51:'Analytica'!$AY$51,0)),"")</f>
        <v>0.43189049388924888</v>
      </c>
      <c r="H32" s="692">
        <f t="array" ref="H32">IFERROR(INDEX(Analytica!$F$59:$AY$138,MATCH($B32,Analytica!$B$59:$B$168,0),MATCH(H$15&amp;H$10,Analytica!$F$58:$AY$58&amp;Analytica!$F$51:'Analytica'!$AY$51,0)),"")</f>
        <v>0.47755313359682011</v>
      </c>
      <c r="I32" s="914">
        <v>1</v>
      </c>
      <c r="J32" s="914">
        <v>1</v>
      </c>
      <c r="K32" s="914">
        <v>1</v>
      </c>
      <c r="L32" s="914">
        <v>1</v>
      </c>
      <c r="M32" s="914">
        <v>1</v>
      </c>
      <c r="N32" s="692">
        <f t="array" ref="N32">IFERROR(INDEX(Analytica!$F$59:$AY$138,MATCH($B32,Analytica!$B$59:$B$168,0),MATCH(N$15&amp;N$10,Analytica!$F$58:$AY$58&amp;Analytica!$F$51:'Analytica'!$AY$51,0)),"")</f>
        <v>1.9099999999999999E-2</v>
      </c>
      <c r="O32" s="981">
        <f>INDEX(CostProjections!$N$11:$W$93,MATCH($B32,CostProjections!$L$11:$L$93,0),MATCH(O$15,CostProjections!$N$10:$W$10,0))*0.001</f>
        <v>721.71261562820132</v>
      </c>
      <c r="P32" s="981">
        <f>INDEX(CostProjections!$N$11:$W$93,MATCH($B32,CostProjections!$L$11:$L$93,0),MATCH(P$15,CostProjections!$N$10:$W$10,0))*0.001</f>
        <v>728.95866808387768</v>
      </c>
      <c r="Q32" s="981">
        <f>INDEX(CostProjections!$N$11:$W$93,MATCH($B32,CostProjections!$L$11:$L$93,0),MATCH(Q$15,CostProjections!$N$10:$W$10,0))*0.001</f>
        <v>736.27747148647325</v>
      </c>
      <c r="R32" s="981">
        <f>INDEX(CostProjections!$N$11:$W$93,MATCH($B32,CostProjections!$L$11:$L$93,0),MATCH(R$15,CostProjections!$N$10:$W$10,0))*0.001</f>
        <v>743.66975626132091</v>
      </c>
      <c r="S32" s="981">
        <f>INDEX(CostProjections!$N$11:$W$93,MATCH($B32,CostProjections!$L$11:$L$93,0),MATCH(S$15,CostProjections!$N$10:$W$10,0))*0.001</f>
        <v>751.13626016728222</v>
      </c>
      <c r="T32" s="981">
        <f>INDEX(CostProjections!$N$11:$W$93,MATCH($B32,CostProjections!$L$11:$L$93,0),MATCH(T$15,CostProjections!$N$10:$W$10,0))*0.001</f>
        <v>766.29491351815273</v>
      </c>
      <c r="U32" s="982">
        <f>INDEX(CostProjections!$Y$11:$AH$93,MATCH($B32,CostProjections!$L$11:$L$93,0),MATCH(U$15,CostProjections!$Y$10:$AH$10,0))*0.001</f>
        <v>19.486240621961436</v>
      </c>
      <c r="V32" s="982">
        <f>INDEX(CostProjections!$Y$11:$AH$93,MATCH($B32,CostProjections!$L$11:$L$93,0),MATCH(V$15,CostProjections!$Y$10:$AH$10,0))*0.001</f>
        <v>19.879491730134777</v>
      </c>
      <c r="W32" s="982">
        <f>INDEX(CostProjections!$Y$11:$AH$93,MATCH($B32,CostProjections!$L$11:$L$93,0),MATCH(W$15,CostProjections!$Y$10:$AH$10,0))*0.001</f>
        <v>20.280679024516619</v>
      </c>
      <c r="X32" s="982">
        <f>INDEX(CostProjections!$Y$11:$AH$93,MATCH($B32,CostProjections!$L$11:$L$93,0),MATCH(X$15,CostProjections!$Y$10:$AH$10,0))*0.001</f>
        <v>20.689962664990123</v>
      </c>
      <c r="Y32" s="689">
        <f t="shared" si="5"/>
        <v>23</v>
      </c>
      <c r="Z32" s="689">
        <f t="shared" si="3"/>
        <v>23</v>
      </c>
      <c r="AA32" s="919">
        <v>2080</v>
      </c>
      <c r="AB32" s="1">
        <f t="shared" ca="1" si="4"/>
        <v>15</v>
      </c>
      <c r="AC32" s="1">
        <v>1</v>
      </c>
    </row>
    <row r="33" spans="1:29" x14ac:dyDescent="0.2">
      <c r="A33" s="190" t="str">
        <f>ITEMS_nTech!C24</f>
        <v>Transport Passenger Car Priv.Veh. Hydrogen Fuel Cell-N</v>
      </c>
      <c r="B33" s="190" t="str">
        <f>D33&amp;RIGHT(C33,3)&amp;"F-N"</f>
        <v>TPPRCARHGNF-N</v>
      </c>
      <c r="C33" s="611" t="str">
        <f>K6</f>
        <v>TRAHGN</v>
      </c>
      <c r="D33" s="611" t="str">
        <f>TRP!$B$22</f>
        <v>TPPRCAR</v>
      </c>
      <c r="E33" s="692">
        <f t="array" ref="E33">IFERROR(INDEX(Analytica!$F$59:$AY$138,MATCH($B33,Analytica!$B$59:$B$168,0),MATCH(E$15&amp;E$10,Analytica!$F$58:$AY$58&amp;Analytica!$F$51:'Analytica'!$AY$51,0)),"")</f>
        <v>0.93434064891574875</v>
      </c>
      <c r="F33" s="692">
        <f t="array" ref="F33">IFERROR(INDEX(Analytica!$F$59:$AY$138,MATCH($B33,Analytica!$B$59:$B$168,0),MATCH(F$15&amp;F$10,Analytica!$F$58:$AY$58&amp;Analytica!$F$51:'Analytica'!$AY$51,0)),"")</f>
        <v>1.0073956914575406</v>
      </c>
      <c r="G33" s="692">
        <f t="array" ref="G33">IFERROR(INDEX(Analytica!$F$59:$AY$138,MATCH($B33,Analytica!$B$59:$B$168,0),MATCH(G$15&amp;G$10,Analytica!$F$58:$AY$58&amp;Analytica!$F$51:'Analytica'!$AY$51,0)),"")</f>
        <v>1.1139049736780038</v>
      </c>
      <c r="H33" s="692">
        <f t="array" ref="H33">IFERROR(INDEX(Analytica!$F$59:$AY$138,MATCH($B33,Analytica!$B$59:$B$168,0),MATCH(H$15&amp;H$10,Analytica!$F$58:$AY$58&amp;Analytica!$F$51:'Analytica'!$AY$51,0)),"")</f>
        <v>1.2316752006248683</v>
      </c>
      <c r="I33" s="914">
        <v>1</v>
      </c>
      <c r="J33" s="914">
        <v>1</v>
      </c>
      <c r="K33" s="914">
        <v>1</v>
      </c>
      <c r="L33" s="914">
        <v>1</v>
      </c>
      <c r="M33" s="914">
        <v>1</v>
      </c>
      <c r="N33" s="692">
        <f t="array" ref="N33">IFERROR(INDEX(Analytica!$F$59:$AY$138,MATCH($B33,Analytica!$B$59:$B$168,0),MATCH(N$15&amp;N$10,Analytica!$F$58:$AY$58&amp;Analytica!$F$51:'Analytica'!$AY$51,0)),"")</f>
        <v>1.9099999999999999E-2</v>
      </c>
      <c r="O33" s="981">
        <f>INDEX(CostProjections!$N$11:$W$93,MATCH($B33,CostProjections!$L$11:$L$93,0),MATCH(O$15,CostProjections!$N$10:$W$10,0))*0.001</f>
        <v>2163.0701993973903</v>
      </c>
      <c r="P33" s="981">
        <f>INDEX(CostProjections!$N$11:$W$93,MATCH($B33,CostProjections!$L$11:$L$93,0),MATCH(P$15,CostProjections!$N$10:$W$10,0))*0.001</f>
        <v>1407.8231250000015</v>
      </c>
      <c r="Q33" s="981">
        <f>INDEX(CostProjections!$N$11:$W$93,MATCH($B33,CostProjections!$L$11:$L$93,0),MATCH(Q$15,CostProjections!$N$10:$W$10,0))*0.001</f>
        <v>1227.5700000000038</v>
      </c>
      <c r="R33" s="981">
        <f>INDEX(CostProjections!$N$11:$W$93,MATCH($B33,CostProjections!$L$11:$L$93,0),MATCH(R$15,CostProjections!$N$10:$W$10,0))*0.001</f>
        <v>1192.4437500000008</v>
      </c>
      <c r="S33" s="981">
        <f>INDEX(CostProjections!$N$11:$W$93,MATCH($B33,CostProjections!$L$11:$L$93,0),MATCH(S$15,CostProjections!$N$10:$W$10,0))*0.001</f>
        <v>1157.3175000000006</v>
      </c>
      <c r="T33" s="981">
        <f>INDEX(CostProjections!$N$11:$W$93,MATCH($B33,CostProjections!$L$11:$L$93,0),MATCH(T$15,CostProjections!$N$10:$W$10,0))*0.001</f>
        <v>1087.0649999999996</v>
      </c>
      <c r="U33" s="982">
        <f>INDEX(CostProjections!$Y$11:$AH$93,MATCH($B33,CostProjections!$L$11:$L$93,0),MATCH(U$15,CostProjections!$Y$10:$AH$10,0))*0.001</f>
        <v>58.402895383729536</v>
      </c>
      <c r="V33" s="982">
        <f>INDEX(CostProjections!$Y$11:$AH$93,MATCH($B33,CostProjections!$L$11:$L$93,0),MATCH(V$15,CostProjections!$Y$10:$AH$10,0))*0.001</f>
        <v>33.144390000000101</v>
      </c>
      <c r="W33" s="982">
        <f>INDEX(CostProjections!$Y$11:$AH$93,MATCH($B33,CostProjections!$L$11:$L$93,0),MATCH(W$15,CostProjections!$Y$10:$AH$10,0))*0.001</f>
        <v>31.247572500000015</v>
      </c>
      <c r="X33" s="982">
        <f>INDEX(CostProjections!$Y$11:$AH$93,MATCH($B33,CostProjections!$L$11:$L$93,0),MATCH(X$15,CostProjections!$Y$10:$AH$10,0))*0.001</f>
        <v>29.350754999999989</v>
      </c>
      <c r="Y33" s="689">
        <f t="shared" si="5"/>
        <v>23</v>
      </c>
      <c r="Z33" s="689">
        <f t="shared" si="3"/>
        <v>23</v>
      </c>
      <c r="AA33" s="919">
        <v>2035</v>
      </c>
      <c r="AB33" s="1">
        <f t="shared" ca="1" si="4"/>
        <v>16</v>
      </c>
      <c r="AC33" s="1">
        <v>1</v>
      </c>
    </row>
    <row r="34" spans="1:29" x14ac:dyDescent="0.2">
      <c r="A34" s="190" t="str">
        <f>ITEMS_nTech!C25</f>
        <v>Transport Passenger Car Priv.Veh. Oil Blended Gasoline-Ethanol-E85-N</v>
      </c>
      <c r="B34" s="190" t="str">
        <f>D34&amp;RIGHT(C34,3)&amp;"-N"</f>
        <v>TPPRCARBGS-N</v>
      </c>
      <c r="C34" s="611" t="str">
        <f>$L$6</f>
        <v>TRABGS</v>
      </c>
      <c r="D34" s="611" t="str">
        <f>TRP!$B$22</f>
        <v>TPPRCAR</v>
      </c>
      <c r="E34" s="692">
        <f t="array" ref="E34">IFERROR(INDEX(Analytica!$F$59:$AY$138,MATCH($B34,Analytica!$B$59:$B$168,0),MATCH(E$15&amp;E$10,Analytica!$F$58:$AY$58&amp;Analytica!$F$51:'Analytica'!$AY$51,0)),"")</f>
        <v>0.36226864396574021</v>
      </c>
      <c r="F34" s="692">
        <f t="array" ref="F34">IFERROR(INDEX(Analytica!$F$59:$AY$138,MATCH($B34,Analytica!$B$59:$B$168,0),MATCH(F$15&amp;F$10,Analytica!$F$58:$AY$58&amp;Analytica!$F$51:'Analytica'!$AY$51,0)),"")</f>
        <v>0.39059402104013624</v>
      </c>
      <c r="G34" s="692">
        <f t="array" ref="G34">IFERROR(INDEX(Analytica!$F$59:$AY$138,MATCH($B34,Analytica!$B$59:$B$168,0),MATCH(G$15&amp;G$10,Analytica!$F$58:$AY$58&amp;Analytica!$F$51:'Analytica'!$AY$51,0)),"")</f>
        <v>0.43189049388924888</v>
      </c>
      <c r="H34" s="692">
        <f t="array" ref="H34">IFERROR(INDEX(Analytica!$F$59:$AY$138,MATCH($B34,Analytica!$B$59:$B$168,0),MATCH(H$15&amp;H$10,Analytica!$F$58:$AY$58&amp;Analytica!$F$51:'Analytica'!$AY$51,0)),"")</f>
        <v>0.47755313359682011</v>
      </c>
      <c r="I34" s="914">
        <v>1</v>
      </c>
      <c r="J34" s="914">
        <v>1</v>
      </c>
      <c r="K34" s="914">
        <v>1</v>
      </c>
      <c r="L34" s="914">
        <v>1</v>
      </c>
      <c r="M34" s="914">
        <v>1</v>
      </c>
      <c r="N34" s="692">
        <f t="array" ref="N34">IFERROR(INDEX(Analytica!$F$59:$AY$138,MATCH($B34,Analytica!$B$59:$B$168,0),MATCH(N$15&amp;N$10,Analytica!$F$58:$AY$58&amp;Analytica!$F$51:'Analytica'!$AY$51,0)),"")</f>
        <v>1.9099999999999999E-2</v>
      </c>
      <c r="O34" s="981">
        <f>INDEX(CostProjections!$N$11:$W$93,MATCH($B34,CostProjections!$L$11:$L$93,0),MATCH(O$15,CostProjections!$N$10:$W$10,0))*0.001</f>
        <v>262.38470575580084</v>
      </c>
      <c r="P34" s="981">
        <f>INDEX(CostProjections!$N$11:$W$93,MATCH($B34,CostProjections!$L$11:$L$93,0),MATCH(P$15,CostProjections!$N$10:$W$10,0))*0.001</f>
        <v>265.01906921336467</v>
      </c>
      <c r="Q34" s="981">
        <f>INDEX(CostProjections!$N$11:$W$93,MATCH($B34,CostProjections!$L$11:$L$93,0),MATCH(Q$15,CostProjections!$N$10:$W$10,0))*0.001</f>
        <v>267.67988189100242</v>
      </c>
      <c r="R34" s="981">
        <f>INDEX(CostProjections!$N$11:$W$93,MATCH($B34,CostProjections!$L$11:$L$93,0),MATCH(R$15,CostProjections!$N$10:$W$10,0))*0.001</f>
        <v>270.36740934100158</v>
      </c>
      <c r="S34" s="981">
        <f>INDEX(CostProjections!$N$11:$W$93,MATCH($B34,CostProjections!$L$11:$L$93,0),MATCH(S$15,CostProjections!$N$10:$W$10,0))*0.001</f>
        <v>273.08191978181594</v>
      </c>
      <c r="T34" s="981">
        <f>INDEX(CostProjections!$N$11:$W$93,MATCH($B34,CostProjections!$L$11:$L$93,0),MATCH(T$15,CostProjections!$N$10:$W$10,0))*0.001</f>
        <v>278.59297600141696</v>
      </c>
      <c r="U34" s="982">
        <f>INDEX(CostProjections!$Y$11:$AH$93,MATCH($B34,CostProjections!$L$11:$L$93,0),MATCH(U$15,CostProjections!$Y$10:$AH$10,0))*0.001</f>
        <v>7.0843870554066228</v>
      </c>
      <c r="V34" s="982">
        <f>INDEX(CostProjections!$Y$11:$AH$93,MATCH($B34,CostProjections!$L$11:$L$93,0),MATCH(V$15,CostProjections!$Y$10:$AH$10,0))*0.001</f>
        <v>7.2273568110570654</v>
      </c>
      <c r="W34" s="982">
        <f>INDEX(CostProjections!$Y$11:$AH$93,MATCH($B34,CostProjections!$L$11:$L$93,0),MATCH(W$15,CostProjections!$Y$10:$AH$10,0))*0.001</f>
        <v>7.3732118341090311</v>
      </c>
      <c r="X34" s="982">
        <f>INDEX(CostProjections!$Y$11:$AH$93,MATCH($B34,CostProjections!$L$11:$L$93,0),MATCH(X$15,CostProjections!$Y$10:$AH$10,0))*0.001</f>
        <v>7.522010352038258</v>
      </c>
      <c r="Y34" s="689">
        <f t="shared" si="5"/>
        <v>23</v>
      </c>
      <c r="Z34" s="689">
        <f t="shared" si="3"/>
        <v>23</v>
      </c>
      <c r="AA34" s="850">
        <v>2080</v>
      </c>
      <c r="AB34" s="1">
        <f t="shared" ca="1" si="4"/>
        <v>17</v>
      </c>
      <c r="AC34" s="1">
        <v>1</v>
      </c>
    </row>
    <row r="35" spans="1:29" x14ac:dyDescent="0.2">
      <c r="A35" s="190" t="s">
        <v>1124</v>
      </c>
      <c r="B35" s="190"/>
      <c r="C35" s="611"/>
      <c r="D35" s="611"/>
      <c r="E35" s="692" t="str">
        <f t="array" ref="E35">IFERROR(INDEX(Analytica!$F$59:$AY$138,MATCH($B35,Analytica!$B$59:$B$168,0),MATCH(E$15&amp;E$10,Analytica!$F$58:$AY$58&amp;Analytica!$F$51:'Analytica'!$AY$51,0)),"")</f>
        <v/>
      </c>
      <c r="F35" s="692" t="str">
        <f t="array" ref="F35">IFERROR(INDEX(Analytica!$F$59:$AY$138,MATCH($B35,Analytica!$B$59:$B$168,0),MATCH(F$15&amp;F$10,Analytica!$F$58:$AY$58&amp;Analytica!$F$51:'Analytica'!$AY$51,0)),"")</f>
        <v/>
      </c>
      <c r="G35" s="692" t="str">
        <f t="array" ref="G35">IFERROR(INDEX(Analytica!$F$59:$AY$138,MATCH($B35,Analytica!$B$59:$B$168,0),MATCH(G$15&amp;G$10,Analytica!$F$58:$AY$58&amp;Analytica!$F$51:'Analytica'!$AY$51,0)),"")</f>
        <v/>
      </c>
      <c r="H35" s="692" t="str">
        <f t="array" ref="H35">IFERROR(INDEX(Analytica!$F$59:$AY$138,MATCH($B35,Analytica!$B$59:$B$168,0),MATCH(H$15&amp;H$10,Analytica!$F$58:$AY$58&amp;Analytica!$F$51:'Analytica'!$AY$51,0)),"")</f>
        <v/>
      </c>
      <c r="I35" s="914">
        <v>1</v>
      </c>
      <c r="J35" s="914">
        <v>1</v>
      </c>
      <c r="K35" s="914">
        <v>1</v>
      </c>
      <c r="L35" s="914">
        <v>1</v>
      </c>
      <c r="M35" s="914">
        <v>1</v>
      </c>
      <c r="N35" s="692" t="str">
        <f t="array" ref="N35">IFERROR(INDEX(Analytica!$F$59:$AY$138,MATCH($B35,Analytica!$B$59:$B$168,0),MATCH(N$15&amp;N$10,Analytica!$F$58:$AY$58&amp;Analytica!$F$51:'Analytica'!$AY$51,0)),"")</f>
        <v/>
      </c>
      <c r="O35" s="619" t="str">
        <f t="array" ref="O35">IFERROR(INDEX(Analytica!$F$59:$AY$138,MATCH($B35,Analytica!$B$59:$B$168,0),MATCH(O$15&amp;O$10,Analytica!$F$58:$AY$58&amp;Analytica!$F$51:'Analytica'!$AY$51,0)),"")</f>
        <v/>
      </c>
      <c r="P35" s="619" t="str">
        <f t="array" ref="P35">IFERROR(INDEX(Analytica!$F$59:$AY$138,MATCH($B35,Analytica!$B$59:$B$168,0),MATCH(P$15&amp;P$10,Analytica!$F$58:$AY$58&amp;Analytica!$F$51:'Analytica'!$AY$51,0)),"")</f>
        <v/>
      </c>
      <c r="Q35" s="619" t="str">
        <f t="array" ref="Q35">IFERROR(INDEX(Analytica!$F$59:$AY$138,MATCH($B35,Analytica!$B$59:$B$168,0),MATCH(Q$15&amp;Q$10,Analytica!$F$58:$AY$58&amp;Analytica!$F$51:'Analytica'!$AY$51,0)),"")</f>
        <v/>
      </c>
      <c r="R35" s="619" t="str">
        <f t="array" ref="R35">IFERROR(INDEX(Analytica!$F$59:$AY$138,MATCH($B35,Analytica!$B$59:$B$168,0),MATCH(R$15&amp;R$10,Analytica!$F$58:$AY$58&amp;Analytica!$F$51:'Analytica'!$AY$51,0)),"")</f>
        <v/>
      </c>
      <c r="S35" s="619" t="str">
        <f t="array" ref="S35">IFERROR(INDEX(Analytica!$F$59:$AY$138,MATCH($B35,Analytica!$B$59:$B$168,0),MATCH(S$15&amp;S$10,Analytica!$F$58:$AY$58&amp;Analytica!$F$51:'Analytica'!$AY$51,0)),"")</f>
        <v/>
      </c>
      <c r="T35" s="619" t="str">
        <f t="array" ref="T35">IFERROR(INDEX(Analytica!$F$59:$AY$138,MATCH($B35,Analytica!$B$59:$B$168,0),MATCH(T$15&amp;T$10,Analytica!$F$58:$AY$58&amp;Analytica!$F$51:'Analytica'!$AY$51,0)),"")</f>
        <v/>
      </c>
      <c r="U35" s="619" t="str">
        <f t="array" ref="U35">IFERROR(INDEX(Analytica!$F$59:$AY$138,MATCH($B35,Analytica!$B$59:$B$168,0),MATCH(U$15&amp;U$10,Analytica!$F$58:$AY$58&amp;Analytica!$F$51:'Analytica'!$AY$51,0)),"")</f>
        <v/>
      </c>
      <c r="V35" s="619" t="str">
        <f t="array" ref="V35">IFERROR(INDEX(Analytica!$F$59:$AY$138,MATCH($B35,Analytica!$B$59:$B$168,0),MATCH(V$15&amp;V$10,Analytica!$F$58:$AY$58&amp;Analytica!$F$51:'Analytica'!$AY$51,0)),"")</f>
        <v/>
      </c>
      <c r="W35" s="619" t="str">
        <f t="array" ref="W35">IFERROR(INDEX(Analytica!$F$59:$AY$138,MATCH($B35,Analytica!$B$59:$B$168,0),MATCH(W$15&amp;W$10,Analytica!$F$58:$AY$58&amp;Analytica!$F$51:'Analytica'!$AY$51,0)),"")</f>
        <v/>
      </c>
      <c r="X35" s="619" t="str">
        <f t="array" ref="X35">IFERROR(INDEX(Analytica!$F$59:$AY$138,MATCH($B35,Analytica!$B$59:$B$168,0),MATCH(X$15&amp;X$10,Analytica!$F$58:$AY$58&amp;Analytica!$F$51:'Analytica'!$AY$51,0)),"")</f>
        <v/>
      </c>
      <c r="Y35" s="689"/>
      <c r="Z35" s="689">
        <f t="shared" si="3"/>
        <v>0</v>
      </c>
      <c r="AA35" s="689">
        <f t="shared" ref="AA35:AA40" si="6">IF(AC35,base.year+$AA$12,base.year+$AA$10)</f>
        <v>2018</v>
      </c>
      <c r="AB35" s="1">
        <f t="shared" ca="1" si="4"/>
        <v>18</v>
      </c>
    </row>
    <row r="36" spans="1:29" x14ac:dyDescent="0.2">
      <c r="A36" s="190" t="str">
        <f>ITEMS_nTech!C27</f>
        <v>Transport Passenger Moto Priv.Veh. Oil Gasoline-N</v>
      </c>
      <c r="B36" s="190" t="str">
        <f>D36&amp;RIGHT(C36,3)&amp;"-N"</f>
        <v>TPPRMOTOGS-N</v>
      </c>
      <c r="C36" s="611" t="str">
        <f>$G$6</f>
        <v>TRAOGS</v>
      </c>
      <c r="D36" s="611" t="str">
        <f>TRP!$B$23</f>
        <v>TPPRMOT</v>
      </c>
      <c r="E36" s="692">
        <f t="array" ref="E36">IFERROR(INDEX(Analytica!$F$59:$AY$138,MATCH($B36,Analytica!$B$59:$B$168,0),MATCH(E$15&amp;E$10,Analytica!$F$58:$AY$58&amp;Analytica!$F$51:'Analytica'!$AY$51,0)),"")</f>
        <v>0.59370801453640365</v>
      </c>
      <c r="F36" s="692">
        <f t="array" ref="F36">IFERROR(INDEX(Analytica!$F$59:$AY$138,MATCH($B36,Analytica!$B$59:$B$168,0),MATCH(F$15&amp;F$10,Analytica!$F$58:$AY$58&amp;Analytica!$F$51:'Analytica'!$AY$51,0)),"")</f>
        <v>0.64012937521432356</v>
      </c>
      <c r="G36" s="692">
        <f t="array" ref="G36">IFERROR(INDEX(Analytica!$F$59:$AY$138,MATCH($B36,Analytica!$B$59:$B$168,0),MATCH(G$15&amp;G$10,Analytica!$F$58:$AY$58&amp;Analytica!$F$51:'Analytica'!$AY$51,0)),"")</f>
        <v>0.7078085611195819</v>
      </c>
      <c r="H36" s="692">
        <f t="array" ref="H36">IFERROR(INDEX(Analytica!$F$59:$AY$138,MATCH($B36,Analytica!$B$59:$B$168,0),MATCH(H$15&amp;H$10,Analytica!$F$58:$AY$58&amp;Analytica!$F$51:'Analytica'!$AY$51,0)),"")</f>
        <v>0.7826432883609411</v>
      </c>
      <c r="I36" s="914">
        <v>1</v>
      </c>
      <c r="J36" s="914">
        <v>1</v>
      </c>
      <c r="K36" s="914">
        <v>1</v>
      </c>
      <c r="L36" s="914">
        <v>1</v>
      </c>
      <c r="M36" s="914">
        <v>1</v>
      </c>
      <c r="N36" s="692">
        <f t="array" ref="N36">IFERROR(INDEX(Analytica!$F$59:$AY$138,MATCH($B36,Analytica!$B$59:$B$168,0),MATCH(N$15&amp;N$10,Analytica!$F$58:$AY$58&amp;Analytica!$F$51:'Analytica'!$AY$51,0)),"")</f>
        <v>1.4999999999999999E-2</v>
      </c>
      <c r="O36" s="981">
        <f>INDEX(CostProjections!$N$11:$W$93,MATCH($B36,CostProjections!$L$11:$L$93,0),MATCH(O$15,CostProjections!$N$10:$W$10,0))*0.001</f>
        <v>140.61345431714946</v>
      </c>
      <c r="P36" s="981">
        <f>INDEX(CostProjections!$N$11:$W$93,MATCH($B36,CostProjections!$L$11:$L$93,0),MATCH(P$15,CostProjections!$N$10:$W$10,0))*0.001</f>
        <v>142.0252246588235</v>
      </c>
      <c r="Q36" s="981">
        <f>INDEX(CostProjections!$N$11:$W$93,MATCH($B36,CostProjections!$L$11:$L$93,0),MATCH(Q$15,CostProjections!$N$10:$W$10,0))*0.001</f>
        <v>143.45116928778262</v>
      </c>
      <c r="R36" s="981">
        <f>INDEX(CostProjections!$N$11:$W$93,MATCH($B36,CostProjections!$L$11:$L$93,0),MATCH(R$15,CostProjections!$N$10:$W$10,0))*0.001</f>
        <v>144.89143051500622</v>
      </c>
      <c r="S36" s="981">
        <f>INDEX(CostProjections!$N$11:$W$93,MATCH($B36,CostProjections!$L$11:$L$93,0),MATCH(S$15,CostProjections!$N$10:$W$10,0))*0.001</f>
        <v>146.34615208028723</v>
      </c>
      <c r="T36" s="981">
        <f>INDEX(CostProjections!$N$11:$W$93,MATCH($B36,CostProjections!$L$11:$L$93,0),MATCH(T$15,CostProjections!$N$10:$W$10,0))*0.001</f>
        <v>149.29955841447855</v>
      </c>
      <c r="U36" s="982">
        <f>INDEX(CostProjections!$Y$11:$AH$93,MATCH($B36,CostProjections!$L$11:$L$93,0),MATCH(U$15,CostProjections!$Y$10:$AH$10,0))*0.001</f>
        <v>3.7965632665630351</v>
      </c>
      <c r="V36" s="982">
        <f>INDEX(CostProjections!$Y$11:$AH$93,MATCH($B36,CostProjections!$L$11:$L$93,0),MATCH(V$15,CostProjections!$Y$10:$AH$10,0))*0.001</f>
        <v>3.8731815707701309</v>
      </c>
      <c r="W36" s="982">
        <f>INDEX(CostProjections!$Y$11:$AH$93,MATCH($B36,CostProjections!$L$11:$L$93,0),MATCH(W$15,CostProjections!$Y$10:$AH$10,0))*0.001</f>
        <v>3.9513461061677551</v>
      </c>
      <c r="X36" s="982">
        <f>INDEX(CostProjections!$Y$11:$AH$93,MATCH($B36,CostProjections!$L$11:$L$93,0),MATCH(X$15,CostProjections!$Y$10:$AH$10,0))*0.001</f>
        <v>4.0310880771909208</v>
      </c>
      <c r="Y36" s="689">
        <v>8</v>
      </c>
      <c r="Z36" s="689">
        <f t="shared" si="3"/>
        <v>8</v>
      </c>
      <c r="AA36" s="689">
        <f t="shared" si="6"/>
        <v>2018</v>
      </c>
      <c r="AB36" s="1">
        <f t="shared" ca="1" si="4"/>
        <v>19</v>
      </c>
    </row>
    <row r="37" spans="1:29" x14ac:dyDescent="0.2">
      <c r="A37" s="190" t="str">
        <f>ITEMS_nTech!C28</f>
        <v>Transport Passenger Moto Priv.Veh. Electricity-N</v>
      </c>
      <c r="B37" s="190" t="str">
        <f>D37&amp;RIGHT(C37,3)&amp;"-N"</f>
        <v>TPPRMOTELC-N</v>
      </c>
      <c r="C37" s="611" t="str">
        <f>$E$6</f>
        <v>TRAELC</v>
      </c>
      <c r="D37" s="611" t="str">
        <f>TRP!$B$23</f>
        <v>TPPRMOT</v>
      </c>
      <c r="E37" s="692">
        <f t="array" ref="E37">IFERROR(INDEX(Analytica!$F$59:$AY$138,MATCH($B37,Analytica!$B$59:$B$168,0),MATCH(E$15&amp;E$10,Analytica!$F$58:$AY$58&amp;Analytica!$F$51:'Analytica'!$AY$51,0)),"")</f>
        <v>2.9446103530770351</v>
      </c>
      <c r="F37" s="692">
        <f t="array" ref="F37">IFERROR(INDEX(Analytica!$F$59:$AY$138,MATCH($B37,Analytica!$B$59:$B$168,0),MATCH(F$15&amp;F$10,Analytica!$F$58:$AY$58&amp;Analytica!$F$51:'Analytica'!$AY$51,0)),"")</f>
        <v>3.1748461186542651</v>
      </c>
      <c r="G37" s="692">
        <f t="array" ref="G37">IFERROR(INDEX(Analytica!$F$59:$AY$138,MATCH($B37,Analytica!$B$59:$B$168,0),MATCH(G$15&amp;G$10,Analytica!$F$58:$AY$58&amp;Analytica!$F$51:'Analytica'!$AY$51,0)),"")</f>
        <v>3.510514202333519</v>
      </c>
      <c r="H37" s="692">
        <f t="array" ref="H37">IFERROR(INDEX(Analytica!$F$59:$AY$138,MATCH($B37,Analytica!$B$59:$B$168,0),MATCH(H$15&amp;H$10,Analytica!$F$58:$AY$58&amp;Analytica!$F$51:'Analytica'!$AY$51,0)),"")</f>
        <v>3.8816715847661438</v>
      </c>
      <c r="I37" s="914">
        <v>1</v>
      </c>
      <c r="J37" s="914">
        <v>1</v>
      </c>
      <c r="K37" s="914">
        <v>1</v>
      </c>
      <c r="L37" s="914">
        <v>1</v>
      </c>
      <c r="M37" s="914">
        <v>1</v>
      </c>
      <c r="N37" s="692">
        <f t="array" ref="N37">IFERROR(INDEX(Analytica!$F$59:$AY$138,MATCH($B37,Analytica!$B$59:$B$168,0),MATCH(N$15&amp;N$10,Analytica!$F$58:$AY$58&amp;Analytica!$F$51:'Analytica'!$AY$51,0)),"")</f>
        <v>1.4999999999999999E-2</v>
      </c>
      <c r="O37" s="981">
        <f>INDEX(CostProjections!$N$11:$W$93,MATCH($B37,CostProjections!$L$11:$L$93,0),MATCH(O$15,CostProjections!$N$10:$W$10,0))*0.001</f>
        <v>201.43776538895028</v>
      </c>
      <c r="P37" s="981">
        <f>INDEX(CostProjections!$N$11:$W$93,MATCH($B37,CostProjections!$L$11:$L$93,0),MATCH(P$15,CostProjections!$N$10:$W$10,0))*0.001</f>
        <v>131.10473457675769</v>
      </c>
      <c r="Q37" s="981">
        <f>INDEX(CostProjections!$N$11:$W$93,MATCH($B37,CostProjections!$L$11:$L$93,0),MATCH(Q$15,CostProjections!$N$10:$W$10,0))*0.001</f>
        <v>114.31850789096161</v>
      </c>
      <c r="R37" s="981">
        <f>INDEX(CostProjections!$N$11:$W$93,MATCH($B37,CostProjections!$L$11:$L$93,0),MATCH(R$15,CostProjections!$N$10:$W$10,0))*0.001</f>
        <v>111.04734576757539</v>
      </c>
      <c r="S37" s="981">
        <f>INDEX(CostProjections!$N$11:$W$93,MATCH($B37,CostProjections!$L$11:$L$93,0),MATCH(S$15,CostProjections!$N$10:$W$10,0))*0.001</f>
        <v>107.77618364418943</v>
      </c>
      <c r="T37" s="981">
        <f>INDEX(CostProjections!$N$11:$W$93,MATCH($B37,CostProjections!$L$11:$L$93,0),MATCH(T$15,CostProjections!$N$10:$W$10,0))*0.001</f>
        <v>101.23385939741748</v>
      </c>
      <c r="U37" s="982">
        <f>INDEX(CostProjections!$Y$11:$AH$93,MATCH($B37,CostProjections!$L$11:$L$93,0),MATCH(U$15,CostProjections!$Y$10:$AH$10,0))*0.001</f>
        <v>4.0791147491262434</v>
      </c>
      <c r="V37" s="982">
        <f>INDEX(CostProjections!$Y$11:$AH$93,MATCH($B37,CostProjections!$L$11:$L$93,0),MATCH(V$15,CostProjections!$Y$10:$AH$10,0))*0.001</f>
        <v>2.3149497847919731</v>
      </c>
      <c r="W37" s="982">
        <f>INDEX(CostProjections!$Y$11:$AH$93,MATCH($B37,CostProjections!$L$11:$L$93,0),MATCH(W$15,CostProjections!$Y$10:$AH$10,0))*0.001</f>
        <v>2.182467718794836</v>
      </c>
      <c r="X37" s="982">
        <f>INDEX(CostProjections!$Y$11:$AH$93,MATCH($B37,CostProjections!$L$11:$L$93,0),MATCH(X$15,CostProjections!$Y$10:$AH$10,0))*0.001</f>
        <v>2.0499856527977038</v>
      </c>
      <c r="Y37" s="689">
        <v>8</v>
      </c>
      <c r="Z37" s="689">
        <f t="shared" si="3"/>
        <v>8</v>
      </c>
      <c r="AA37" s="689">
        <f t="shared" si="6"/>
        <v>2018</v>
      </c>
      <c r="AB37" s="1">
        <f t="shared" ca="1" si="4"/>
        <v>20</v>
      </c>
    </row>
    <row r="38" spans="1:29" x14ac:dyDescent="0.2">
      <c r="A38" s="190" t="s">
        <v>1124</v>
      </c>
      <c r="B38" s="190"/>
      <c r="C38" s="611"/>
      <c r="D38" s="611"/>
      <c r="E38" s="692" t="str">
        <f t="array" ref="E38">IFERROR(INDEX(Analytica!$F$59:$AY$138,MATCH($B38,Analytica!$B$59:$B$168,0),MATCH(E$15&amp;E$10,Analytica!$F$58:$AY$58&amp;Analytica!$F$51:'Analytica'!$AY$51,0)),"")</f>
        <v/>
      </c>
      <c r="F38" s="692" t="str">
        <f t="array" ref="F38">IFERROR(INDEX(Analytica!$F$59:$AY$138,MATCH($B38,Analytica!$B$59:$B$168,0),MATCH(F$15&amp;F$10,Analytica!$F$58:$AY$58&amp;Analytica!$F$51:'Analytica'!$AY$51,0)),"")</f>
        <v/>
      </c>
      <c r="G38" s="692" t="str">
        <f t="array" ref="G38">IFERROR(INDEX(Analytica!$F$59:$AY$138,MATCH($B38,Analytica!$B$59:$B$168,0),MATCH(G$15&amp;G$10,Analytica!$F$58:$AY$58&amp;Analytica!$F$51:'Analytica'!$AY$51,0)),"")</f>
        <v/>
      </c>
      <c r="H38" s="692"/>
      <c r="I38" s="914"/>
      <c r="J38" s="914"/>
      <c r="K38" s="914"/>
      <c r="L38" s="914"/>
      <c r="M38" s="914"/>
      <c r="N38" s="692"/>
      <c r="O38" s="619"/>
      <c r="P38" s="619" t="str">
        <f t="array" ref="P38">IFERROR(INDEX(Analytica!$F$59:$AY$138,MATCH($B38,Analytica!$B$59:$B$168,0),MATCH(P$15&amp;P$10,Analytica!$F$58:$AY$58&amp;Analytica!$F$51:'Analytica'!$AY$51,0)),"")</f>
        <v/>
      </c>
      <c r="Q38" s="619" t="str">
        <f t="array" ref="Q38">IFERROR(INDEX(Analytica!$F$59:$AY$138,MATCH($B38,Analytica!$B$59:$B$168,0),MATCH(Q$15&amp;Q$10,Analytica!$F$58:$AY$58&amp;Analytica!$F$51:'Analytica'!$AY$51,0)),"")</f>
        <v/>
      </c>
      <c r="R38" s="619" t="str">
        <f t="array" ref="R38">IFERROR(INDEX(Analytica!$F$59:$AY$138,MATCH($B38,Analytica!$B$59:$B$168,0),MATCH(R$15&amp;R$10,Analytica!$F$58:$AY$58&amp;Analytica!$F$51:'Analytica'!$AY$51,0)),"")</f>
        <v/>
      </c>
      <c r="S38" s="619"/>
      <c r="T38" s="619"/>
      <c r="U38" s="619"/>
      <c r="V38" s="619"/>
      <c r="W38" s="619"/>
      <c r="X38" s="619"/>
      <c r="Y38" s="689"/>
      <c r="Z38" s="689">
        <f t="shared" si="3"/>
        <v>0</v>
      </c>
      <c r="AA38" s="689">
        <f t="shared" si="6"/>
        <v>2018</v>
      </c>
      <c r="AB38" s="1">
        <f t="shared" ca="1" si="4"/>
        <v>21</v>
      </c>
    </row>
    <row r="39" spans="1:29" x14ac:dyDescent="0.2">
      <c r="A39" s="190" t="str">
        <f>ITEMS_nTech!C30</f>
        <v>Transport Passenger Bus Oil Diesel-N</v>
      </c>
      <c r="B39" s="190" t="str">
        <f>D39&amp;RIGHT(C39,3)&amp;"-N"</f>
        <v>TPPUBUSODS-N</v>
      </c>
      <c r="C39" s="611" t="str">
        <f>$D$6</f>
        <v>TRAODS</v>
      </c>
      <c r="D39" s="611" t="str">
        <f>TRP!$B$24</f>
        <v>TPPUBUS</v>
      </c>
      <c r="E39" s="692">
        <f t="array" ref="E39">IFERROR(INDEX(Analytica!$F$59:$AY$138,MATCH($B39,Analytica!$B$59:$B$168,0),MATCH(E$15&amp;E$10,Analytica!$F$58:$AY$58&amp;Analytica!$F$51:'Analytica'!$AY$51,0)),"")</f>
        <v>6.5323297732971908E-2</v>
      </c>
      <c r="F39" s="692">
        <f t="array" ref="F39">IFERROR(INDEX(Analytica!$F$59:$AY$138,MATCH($B39,Analytica!$B$59:$B$168,0),MATCH(F$15&amp;F$10,Analytica!$F$58:$AY$58&amp;Analytica!$F$51:'Analytica'!$AY$51,0)),"")</f>
        <v>7.043085277768743E-2</v>
      </c>
      <c r="G39" s="692">
        <f t="array" ref="G39">IFERROR(INDEX(Analytica!$F$59:$AY$138,MATCH($B39,Analytica!$B$59:$B$168,0),MATCH(G$15&amp;G$10,Analytica!$F$58:$AY$58&amp;Analytica!$F$51:'Analytica'!$AY$51,0)),"")</f>
        <v>7.7877320574937056E-2</v>
      </c>
      <c r="H39" s="692">
        <f t="array" ref="H39">IFERROR(INDEX(Analytica!$F$59:$AY$138,MATCH($B39,Analytica!$B$59:$B$168,0),MATCH(H$15&amp;H$10,Analytica!$F$58:$AY$58&amp;Analytica!$F$51:'Analytica'!$AY$51,0)),"")</f>
        <v>8.6111083718879447E-2</v>
      </c>
      <c r="I39" s="914">
        <v>1</v>
      </c>
      <c r="J39" s="914">
        <v>1</v>
      </c>
      <c r="K39" s="914">
        <v>1</v>
      </c>
      <c r="L39" s="914">
        <v>1</v>
      </c>
      <c r="M39" s="914">
        <v>1</v>
      </c>
      <c r="N39" s="692">
        <f t="array" ref="N39">IFERROR(INDEX(Analytica!$F$59:$AY$138,MATCH($B39,Analytica!$B$59:$B$168,0),MATCH(N$15&amp;N$10,Analytica!$F$58:$AY$58&amp;Analytica!$F$51:'Analytica'!$AY$51,0)),"")</f>
        <v>0.06</v>
      </c>
      <c r="O39" s="981">
        <f>INDEX(CostProjections!$N$11:$W$93,MATCH($B39,CostProjections!$L$11:$L$93,0),MATCH(O$15,CostProjections!$N$10:$W$10,0))*0.001</f>
        <v>1674.9173571001118</v>
      </c>
      <c r="P39" s="981">
        <f>INDEX(CostProjections!$N$11:$W$93,MATCH($B39,CostProjections!$L$11:$L$93,0),MATCH(P$15,CostProjections!$N$10:$W$10,0))*0.001</f>
        <v>1691.733661492832</v>
      </c>
      <c r="Q39" s="981">
        <f>INDEX(CostProjections!$N$11:$W$93,MATCH($B39,CostProjections!$L$11:$L$93,0),MATCH(Q$15,CostProjections!$N$10:$W$10,0))*0.001</f>
        <v>1708.7188029283056</v>
      </c>
      <c r="R39" s="981">
        <f>INDEX(CostProjections!$N$11:$W$93,MATCH($B39,CostProjections!$L$11:$L$93,0),MATCH(R$15,CostProjections!$N$10:$W$10,0))*0.001</f>
        <v>1725.8744765439624</v>
      </c>
      <c r="S39" s="981">
        <f>INDEX(CostProjections!$N$11:$W$93,MATCH($B39,CostProjections!$L$11:$L$93,0),MATCH(S$15,CostProjections!$N$10:$W$10,0))*0.001</f>
        <v>1743.2023944965467</v>
      </c>
      <c r="T39" s="981">
        <f>INDEX(CostProjections!$N$11:$W$93,MATCH($B39,CostProjections!$L$11:$L$93,0),MATCH(T$15,CostProjections!$N$10:$W$10,0))*0.001</f>
        <v>1778.3818981630261</v>
      </c>
      <c r="U39" s="982">
        <f>INDEX(CostProjections!$Y$11:$AH$93,MATCH($B39,CostProjections!$L$11:$L$93,0),MATCH(U$15,CostProjections!$Y$10:$AH$10,0))*0.001</f>
        <v>45.222768641703013</v>
      </c>
      <c r="V39" s="982">
        <f>INDEX(CostProjections!$Y$11:$AH$93,MATCH($B39,CostProjections!$L$11:$L$93,0),MATCH(V$15,CostProjections!$Y$10:$AH$10,0))*0.001</f>
        <v>46.135407679064251</v>
      </c>
      <c r="W39" s="982">
        <f>INDEX(CostProjections!$Y$11:$AH$93,MATCH($B39,CostProjections!$L$11:$L$93,0),MATCH(W$15,CostProjections!$Y$10:$AH$10,0))*0.001</f>
        <v>47.066464651406761</v>
      </c>
      <c r="X39" s="982">
        <f>INDEX(CostProjections!$Y$11:$AH$93,MATCH($B39,CostProjections!$L$11:$L$93,0),MATCH(X$15,CostProjections!$Y$10:$AH$10,0))*0.001</f>
        <v>48.016311250401699</v>
      </c>
      <c r="Y39" s="689">
        <v>20</v>
      </c>
      <c r="Z39" s="689">
        <f t="shared" si="3"/>
        <v>20</v>
      </c>
      <c r="AA39" s="689">
        <f t="shared" si="6"/>
        <v>2018</v>
      </c>
      <c r="AB39" s="1">
        <f t="shared" ca="1" si="4"/>
        <v>22</v>
      </c>
    </row>
    <row r="40" spans="1:29" x14ac:dyDescent="0.2">
      <c r="A40" s="190" t="str">
        <f>ITEMS_nTech!C31</f>
        <v>Transport Passenger Bus Gas-N</v>
      </c>
      <c r="B40" s="190" t="str">
        <f>D40&amp;RIGHT(C40,3)&amp;"-N"</f>
        <v>TPPUBUSGAS-N</v>
      </c>
      <c r="C40" s="611" t="str">
        <f>$F$6</f>
        <v>TRAGAS</v>
      </c>
      <c r="D40" s="611" t="str">
        <f>TRP!$B$24</f>
        <v>TPPUBUS</v>
      </c>
      <c r="E40" s="692">
        <f t="array" ref="E40">IFERROR(INDEX(Analytica!$F$59:$AY$138,MATCH($B40,Analytica!$B$59:$B$168,0),MATCH(E$15&amp;E$10,Analytica!$F$58:$AY$58&amp;Analytica!$F$51:'Analytica'!$AY$51,0)),"")</f>
        <v>5.6802867593888626E-2</v>
      </c>
      <c r="F40" s="692">
        <f t="array" ref="F40">IFERROR(INDEX(Analytica!$F$59:$AY$138,MATCH($B40,Analytica!$B$59:$B$168,0),MATCH(F$15&amp;F$10,Analytica!$F$58:$AY$58&amp;Analytica!$F$51:'Analytica'!$AY$51,0)),"")</f>
        <v>6.1244219806684722E-2</v>
      </c>
      <c r="G40" s="692">
        <f t="array" ref="G40">IFERROR(INDEX(Analytica!$F$59:$AY$138,MATCH($B40,Analytica!$B$59:$B$168,0),MATCH(G$15&amp;G$10,Analytica!$F$58:$AY$58&amp;Analytica!$F$51:'Analytica'!$AY$51,0)),"")</f>
        <v>6.7719409195597449E-2</v>
      </c>
      <c r="H40" s="692">
        <f t="array" ref="H40">IFERROR(INDEX(Analytica!$F$59:$AY$138,MATCH($B40,Analytica!$B$59:$B$168,0),MATCH(H$15&amp;H$10,Analytica!$F$58:$AY$58&amp;Analytica!$F$51:'Analytica'!$AY$51,0)),"")</f>
        <v>7.4879203233808214E-2</v>
      </c>
      <c r="I40" s="914">
        <v>1</v>
      </c>
      <c r="J40" s="914">
        <v>1</v>
      </c>
      <c r="K40" s="914">
        <v>1</v>
      </c>
      <c r="L40" s="914">
        <v>1</v>
      </c>
      <c r="M40" s="914">
        <v>1</v>
      </c>
      <c r="N40" s="692">
        <f t="array" ref="N40">IFERROR(INDEX(Analytica!$F$59:$AY$138,MATCH($B40,Analytica!$B$59:$B$168,0),MATCH(N$15&amp;N$10,Analytica!$F$58:$AY$58&amp;Analytica!$F$51:'Analytica'!$AY$51,0)),"")</f>
        <v>0.06</v>
      </c>
      <c r="O40" s="981">
        <f>INDEX(CostProjections!$N$11:$W$93,MATCH($B40,CostProjections!$L$11:$L$93,0),MATCH(O$15,CostProjections!$N$10:$W$10,0))*0.001</f>
        <v>1775.901197692195</v>
      </c>
      <c r="P40" s="981">
        <f>INDEX(CostProjections!$N$11:$W$93,MATCH($B40,CostProjections!$L$11:$L$93,0),MATCH(P$15,CostProjections!$N$10:$W$10,0))*0.001</f>
        <v>1793.7313879312489</v>
      </c>
      <c r="Q40" s="981">
        <f>INDEX(CostProjections!$N$11:$W$93,MATCH($B40,CostProjections!$L$11:$L$93,0),MATCH(Q$15,CostProjections!$N$10:$W$10,0))*0.001</f>
        <v>1811.7405947081456</v>
      </c>
      <c r="R40" s="981">
        <f>INDEX(CostProjections!$N$11:$W$93,MATCH($B40,CostProjections!$L$11:$L$93,0),MATCH(R$15,CostProjections!$N$10:$W$10,0))*0.001</f>
        <v>1829.9306153632604</v>
      </c>
      <c r="S40" s="981">
        <f>INDEX(CostProjections!$N$11:$W$93,MATCH($B40,CostProjections!$L$11:$L$93,0),MATCH(S$15,CostProjections!$N$10:$W$10,0))*0.001</f>
        <v>1848.303265282409</v>
      </c>
      <c r="T40" s="981">
        <f>INDEX(CostProjections!$N$11:$W$93,MATCH($B40,CostProjections!$L$11:$L$93,0),MATCH(T$15,CostProjections!$N$10:$W$10,0))*0.001</f>
        <v>1885.603805772171</v>
      </c>
      <c r="U40" s="982">
        <f>INDEX(CostProjections!$Y$11:$AH$93,MATCH($B40,CostProjections!$L$11:$L$93,0),MATCH(U$15,CostProjections!$Y$10:$AH$10,0))*0.001</f>
        <v>47.94933233768927</v>
      </c>
      <c r="V40" s="982">
        <f>INDEX(CostProjections!$Y$11:$AH$93,MATCH($B40,CostProjections!$L$11:$L$93,0),MATCH(V$15,CostProjections!$Y$10:$AH$10,0))*0.001</f>
        <v>48.916996057119931</v>
      </c>
      <c r="W40" s="982">
        <f>INDEX(CostProjections!$Y$11:$AH$93,MATCH($B40,CostProjections!$L$11:$L$93,0),MATCH(W$15,CostProjections!$Y$10:$AH$10,0))*0.001</f>
        <v>49.90418816262504</v>
      </c>
      <c r="X40" s="982">
        <f>INDEX(CostProjections!$Y$11:$AH$93,MATCH($B40,CostProjections!$L$11:$L$93,0),MATCH(X$15,CostProjections!$Y$10:$AH$10,0))*0.001</f>
        <v>50.911302755848617</v>
      </c>
      <c r="Y40" s="689">
        <f>Y39</f>
        <v>20</v>
      </c>
      <c r="Z40" s="689">
        <f t="shared" si="3"/>
        <v>20</v>
      </c>
      <c r="AA40" s="689">
        <f t="shared" si="6"/>
        <v>2018</v>
      </c>
      <c r="AB40" s="1">
        <f t="shared" ca="1" si="4"/>
        <v>23</v>
      </c>
    </row>
    <row r="41" spans="1:29" x14ac:dyDescent="0.2">
      <c r="A41" s="190" t="str">
        <f>ITEMS_nTech!C32</f>
        <v>Transport Passenger Bus Hydrogen Fuel Cell-N</v>
      </c>
      <c r="B41" s="190" t="str">
        <f>D41&amp;RIGHT(C41,3)&amp;"F-N"</f>
        <v>TPPUBUSHGNF-N</v>
      </c>
      <c r="C41" s="611" t="str">
        <f>K6</f>
        <v>TRAHGN</v>
      </c>
      <c r="D41" s="611" t="str">
        <f>TRP!$B$24</f>
        <v>TPPUBUS</v>
      </c>
      <c r="E41" s="692">
        <f t="array" ref="E41">IFERROR(INDEX(Analytica!$F$59:$AY$138,MATCH($B41,Analytica!$B$59:$B$168,0),MATCH(E$15&amp;E$10,Analytica!$F$58:$AY$58&amp;Analytica!$F$51:'Analytica'!$AY$51,0)),"")</f>
        <v>0.13780930986929765</v>
      </c>
      <c r="F41" s="692">
        <f t="array" ref="F41">IFERROR(INDEX(Analytica!$F$59:$AY$138,MATCH($B41,Analytica!$B$59:$B$168,0),MATCH(F$15&amp;F$10,Analytica!$F$58:$AY$58&amp;Analytica!$F$51:'Analytica'!$AY$51,0)),"")</f>
        <v>0.14858446452711918</v>
      </c>
      <c r="G41" s="692">
        <f t="array" ref="G41">IFERROR(INDEX(Analytica!$F$59:$AY$138,MATCH($B41,Analytica!$B$59:$B$168,0),MATCH(G$15&amp;G$10,Analytica!$F$58:$AY$58&amp;Analytica!$F$51:'Analytica'!$AY$51,0)),"")</f>
        <v>0.16429390700348931</v>
      </c>
      <c r="H41" s="692">
        <f t="array" ref="H41">IFERROR(INDEX(Analytica!$F$59:$AY$138,MATCH($B41,Analytica!$B$59:$B$168,0),MATCH(H$15&amp;H$10,Analytica!$F$58:$AY$58&amp;Analytica!$F$51:'Analytica'!$AY$51,0)),"")</f>
        <v>0.18166426728646726</v>
      </c>
      <c r="I41" s="914">
        <v>1</v>
      </c>
      <c r="J41" s="914">
        <v>1</v>
      </c>
      <c r="K41" s="914">
        <v>1</v>
      </c>
      <c r="L41" s="914">
        <v>1</v>
      </c>
      <c r="M41" s="914">
        <v>1</v>
      </c>
      <c r="N41" s="692">
        <f t="array" ref="N41">IFERROR(INDEX(Analytica!$F$59:$AY$138,MATCH($B41,Analytica!$B$59:$B$168,0),MATCH(N$15&amp;N$10,Analytica!$F$58:$AY$58&amp;Analytica!$F$51:'Analytica'!$AY$51,0)),"")</f>
        <v>0.06</v>
      </c>
      <c r="O41" s="981">
        <f>INDEX(CostProjections!$N$11:$W$93,MATCH($B41,CostProjections!$L$11:$L$93,0),MATCH(O$15,CostProjections!$N$10:$W$10,0))*0.001</f>
        <v>3448.5361583131421</v>
      </c>
      <c r="P41" s="981">
        <f>INDEX(CostProjections!$N$11:$W$93,MATCH($B41,CostProjections!$L$11:$L$93,0),MATCH(P$15,CostProjections!$N$10:$W$10,0))*0.001</f>
        <v>2244.4620393847795</v>
      </c>
      <c r="Q41" s="981">
        <f>INDEX(CostProjections!$N$11:$W$93,MATCH($B41,CostProjections!$L$11:$L$93,0),MATCH(Q$15,CostProjections!$N$10:$W$10,0))*0.001</f>
        <v>1957.0883705206784</v>
      </c>
      <c r="R41" s="981">
        <f>INDEX(CostProjections!$N$11:$W$93,MATCH($B41,CostProjections!$L$11:$L$93,0),MATCH(R$15,CostProjections!$N$10:$W$10,0))*0.001</f>
        <v>1901.0873478702326</v>
      </c>
      <c r="S41" s="981">
        <f>INDEX(CostProjections!$N$11:$W$93,MATCH($B41,CostProjections!$L$11:$L$93,0),MATCH(S$15,CostProjections!$N$10:$W$10,0))*0.001</f>
        <v>1845.0863252197912</v>
      </c>
      <c r="T41" s="981">
        <f>INDEX(CostProjections!$N$11:$W$93,MATCH($B41,CostProjections!$L$11:$L$93,0),MATCH(T$15,CostProjections!$N$10:$W$10,0))*0.001</f>
        <v>1733.0842799189081</v>
      </c>
      <c r="U41" s="982">
        <f>INDEX(CostProjections!$Y$11:$AH$93,MATCH($B41,CostProjections!$L$11:$L$93,0),MATCH(U$15,CostProjections!$Y$10:$AH$10,0))*0.001</f>
        <v>93.11047627445484</v>
      </c>
      <c r="V41" s="982">
        <f>INDEX(CostProjections!$Y$11:$AH$93,MATCH($B41,CostProjections!$L$11:$L$93,0),MATCH(V$15,CostProjections!$Y$10:$AH$10,0))*0.001</f>
        <v>52.841386004058315</v>
      </c>
      <c r="W41" s="982">
        <f>INDEX(CostProjections!$Y$11:$AH$93,MATCH($B41,CostProjections!$L$11:$L$93,0),MATCH(W$15,CostProjections!$Y$10:$AH$10,0))*0.001</f>
        <v>49.817330780934363</v>
      </c>
      <c r="X41" s="982">
        <f>INDEX(CostProjections!$Y$11:$AH$93,MATCH($B41,CostProjections!$L$11:$L$93,0),MATCH(X$15,CostProjections!$Y$10:$AH$10,0))*0.001</f>
        <v>46.793275557810524</v>
      </c>
      <c r="Y41" s="689">
        <f>Y40</f>
        <v>20</v>
      </c>
      <c r="Z41" s="689">
        <f t="shared" si="3"/>
        <v>20</v>
      </c>
      <c r="AA41" s="919">
        <v>2040</v>
      </c>
      <c r="AB41" s="1">
        <f t="shared" ca="1" si="4"/>
        <v>24</v>
      </c>
      <c r="AC41" s="1">
        <v>1</v>
      </c>
    </row>
    <row r="42" spans="1:29" x14ac:dyDescent="0.2">
      <c r="A42" s="190" t="str">
        <f>ITEMS_nTech!C33</f>
        <v>Transport Passenger Bus Oil Blended Gasoline-Ethanol-E85-N</v>
      </c>
      <c r="B42" s="190" t="str">
        <f>D42&amp;RIGHT(C42,3)&amp;"-N"</f>
        <v>TPPUBUSBGS-N</v>
      </c>
      <c r="C42" s="611" t="str">
        <f>$L$6</f>
        <v>TRABGS</v>
      </c>
      <c r="D42" s="611" t="str">
        <f>TRP!$B$24</f>
        <v>TPPUBUS</v>
      </c>
      <c r="E42" s="692">
        <f t="array" ref="E42">IFERROR(INDEX(Analytica!$F$59:$AY$138,MATCH($B42,Analytica!$B$59:$B$168,0),MATCH(E$15&amp;E$10,Analytica!$F$58:$AY$58&amp;Analytica!$F$51:'Analytica'!$AY$51,0)),"")</f>
        <v>6.5323297732971908E-2</v>
      </c>
      <c r="F42" s="692">
        <f t="array" ref="F42">IFERROR(INDEX(Analytica!$F$59:$AY$138,MATCH($B42,Analytica!$B$59:$B$168,0),MATCH(F$15&amp;F$10,Analytica!$F$58:$AY$58&amp;Analytica!$F$51:'Analytica'!$AY$51,0)),"")</f>
        <v>7.043085277768743E-2</v>
      </c>
      <c r="G42" s="692">
        <f t="array" ref="G42">IFERROR(INDEX(Analytica!$F$59:$AY$138,MATCH($B42,Analytica!$B$59:$B$168,0),MATCH(G$15&amp;G$10,Analytica!$F$58:$AY$58&amp;Analytica!$F$51:'Analytica'!$AY$51,0)),"")</f>
        <v>7.7877320574937056E-2</v>
      </c>
      <c r="H42" s="692">
        <f t="array" ref="H42">IFERROR(INDEX(Analytica!$F$59:$AY$138,MATCH($B42,Analytica!$B$59:$B$168,0),MATCH(H$15&amp;H$10,Analytica!$F$58:$AY$58&amp;Analytica!$F$51:'Analytica'!$AY$51,0)),"")</f>
        <v>8.6111083718879447E-2</v>
      </c>
      <c r="I42" s="914">
        <v>1</v>
      </c>
      <c r="J42" s="914">
        <v>1</v>
      </c>
      <c r="K42" s="914">
        <v>1</v>
      </c>
      <c r="L42" s="914">
        <v>1</v>
      </c>
      <c r="M42" s="914">
        <v>1</v>
      </c>
      <c r="N42" s="692">
        <f t="array" ref="N42">IFERROR(INDEX(Analytica!$F$59:$AY$138,MATCH($B42,Analytica!$B$59:$B$168,0),MATCH(N$15&amp;N$10,Analytica!$F$58:$AY$58&amp;Analytica!$F$51:'Analytica'!$AY$51,0)),"")</f>
        <v>0.06</v>
      </c>
      <c r="O42" s="981">
        <f>INDEX(CostProjections!$N$11:$W$93,MATCH($B42,CostProjections!$L$11:$L$93,0),MATCH(O$15,CostProjections!$N$10:$W$10,0))*0.001</f>
        <v>1674.9173571001118</v>
      </c>
      <c r="P42" s="981">
        <f>INDEX(CostProjections!$N$11:$W$93,MATCH($B42,CostProjections!$L$11:$L$93,0),MATCH(P$15,CostProjections!$N$10:$W$10,0))*0.001</f>
        <v>1691.733661492832</v>
      </c>
      <c r="Q42" s="981">
        <f>INDEX(CostProjections!$N$11:$W$93,MATCH($B42,CostProjections!$L$11:$L$93,0),MATCH(Q$15,CostProjections!$N$10:$W$10,0))*0.001</f>
        <v>1708.7188029283056</v>
      </c>
      <c r="R42" s="981">
        <f>INDEX(CostProjections!$N$11:$W$93,MATCH($B42,CostProjections!$L$11:$L$93,0),MATCH(R$15,CostProjections!$N$10:$W$10,0))*0.001</f>
        <v>1725.8744765439624</v>
      </c>
      <c r="S42" s="981">
        <f>INDEX(CostProjections!$N$11:$W$93,MATCH($B42,CostProjections!$L$11:$L$93,0),MATCH(S$15,CostProjections!$N$10:$W$10,0))*0.001</f>
        <v>1743.2023944965467</v>
      </c>
      <c r="T42" s="981">
        <f>INDEX(CostProjections!$N$11:$W$93,MATCH($B42,CostProjections!$L$11:$L$93,0),MATCH(T$15,CostProjections!$N$10:$W$10,0))*0.001</f>
        <v>1778.3818981630261</v>
      </c>
      <c r="U42" s="982">
        <f>INDEX(CostProjections!$Y$11:$AH$93,MATCH($B42,CostProjections!$L$11:$L$93,0),MATCH(U$15,CostProjections!$Y$10:$AH$10,0))*0.001</f>
        <v>45.222768641703013</v>
      </c>
      <c r="V42" s="982">
        <f>INDEX(CostProjections!$Y$11:$AH$93,MATCH($B42,CostProjections!$L$11:$L$93,0),MATCH(V$15,CostProjections!$Y$10:$AH$10,0))*0.001</f>
        <v>46.135407679064251</v>
      </c>
      <c r="W42" s="982">
        <f>INDEX(CostProjections!$Y$11:$AH$93,MATCH($B42,CostProjections!$L$11:$L$93,0),MATCH(W$15,CostProjections!$Y$10:$AH$10,0))*0.001</f>
        <v>47.066464651406761</v>
      </c>
      <c r="X42" s="982">
        <f>INDEX(CostProjections!$Y$11:$AH$93,MATCH($B42,CostProjections!$L$11:$L$93,0),MATCH(X$15,CostProjections!$Y$10:$AH$10,0))*0.001</f>
        <v>48.016311250401699</v>
      </c>
      <c r="Y42" s="689">
        <f>Y41</f>
        <v>20</v>
      </c>
      <c r="Z42" s="689">
        <f t="shared" si="3"/>
        <v>20</v>
      </c>
      <c r="AA42" s="850">
        <v>2080</v>
      </c>
      <c r="AB42" s="1">
        <f t="shared" ca="1" si="4"/>
        <v>25</v>
      </c>
      <c r="AC42" s="1">
        <v>1</v>
      </c>
    </row>
    <row r="43" spans="1:29" x14ac:dyDescent="0.2">
      <c r="A43" s="190" t="str">
        <f>ITEMS_nTech!C34</f>
        <v>Transport Passenger Bus Electricity-N</v>
      </c>
      <c r="B43" s="190" t="str">
        <f>D43&amp;RIGHT(C43,3)&amp;"-N"</f>
        <v>TPPUBUSELC-N</v>
      </c>
      <c r="C43" s="611" t="str">
        <f>$E$6</f>
        <v>TRAELC</v>
      </c>
      <c r="D43" s="611" t="str">
        <f>TRP!$B$24</f>
        <v>TPPUBUS</v>
      </c>
      <c r="E43" s="692">
        <f t="array" ref="E43">IFERROR(INDEX(Analytica!$F$59:$AY$138,MATCH($B43,Analytica!$B$59:$B$168,0),MATCH(E$15&amp;E$10,Analytica!$F$58:$AY$58&amp;Analytica!$F$51:'Analytica'!$AY$51,0)),"")</f>
        <v>0.21275823278067008</v>
      </c>
      <c r="F43" s="692">
        <f t="array" ref="F43">IFERROR(INDEX(Analytica!$F$59:$AY$138,MATCH($B43,Analytica!$B$59:$B$168,0),MATCH(F$15&amp;F$10,Analytica!$F$58:$AY$58&amp;Analytica!$F$51:'Analytica'!$AY$51,0)),"")</f>
        <v>0.22939355926993843</v>
      </c>
      <c r="G43" s="692">
        <f t="array" ref="G43">IFERROR(INDEX(Analytica!$F$59:$AY$138,MATCH($B43,Analytica!$B$59:$B$168,0),MATCH(G$15&amp;G$10,Analytica!$F$58:$AY$58&amp;Analytica!$F$51:'Analytica'!$AY$51,0)),"")</f>
        <v>0.25364673361942214</v>
      </c>
      <c r="H43" s="692">
        <f t="array" ref="H43">IFERROR(INDEX(Analytica!$F$59:$AY$138,MATCH($B43,Analytica!$B$59:$B$168,0),MATCH(H$15&amp;H$10,Analytica!$F$58:$AY$58&amp;Analytica!$F$51:'Analytica'!$AY$51,0)),"")</f>
        <v>0.28046413195103725</v>
      </c>
      <c r="I43" s="914">
        <v>1</v>
      </c>
      <c r="J43" s="914">
        <v>1</v>
      </c>
      <c r="K43" s="914">
        <v>1</v>
      </c>
      <c r="L43" s="914">
        <v>1</v>
      </c>
      <c r="M43" s="914">
        <v>1</v>
      </c>
      <c r="N43" s="692">
        <f t="array" ref="N43">IFERROR(INDEX(Analytica!$F$59:$AY$138,MATCH($B43,Analytica!$B$59:$B$168,0),MATCH(N$15&amp;N$10,Analytica!$F$58:$AY$58&amp;Analytica!$F$51:'Analytica'!$AY$51,0)),"")</f>
        <v>0.06</v>
      </c>
      <c r="O43" s="981">
        <f>INDEX(CostProjections!$N$11:$W$93,MATCH($B43,CostProjections!$L$11:$L$93,0),MATCH(O$15,CostProjections!$N$10:$W$10,0))*0.001</f>
        <v>2452.3455648171189</v>
      </c>
      <c r="P43" s="981">
        <f>INDEX(CostProjections!$N$11:$W$93,MATCH($B43,CostProjections!$L$11:$L$93,0),MATCH(P$15,CostProjections!$N$10:$W$10,0))*0.001</f>
        <v>1596.0965102300208</v>
      </c>
      <c r="Q43" s="981">
        <f>INDEX(CostProjections!$N$11:$W$93,MATCH($B43,CostProjections!$L$11:$L$93,0),MATCH(Q$15,CostProjections!$N$10:$W$10,0))*0.001</f>
        <v>1391.7374691959765</v>
      </c>
      <c r="R43" s="981">
        <f>INDEX(CostProjections!$N$11:$W$93,MATCH($B43,CostProjections!$L$11:$L$93,0),MATCH(R$15,CostProjections!$N$10:$W$10,0))*0.001</f>
        <v>1351.9136560713896</v>
      </c>
      <c r="S43" s="981">
        <f>INDEX(CostProjections!$N$11:$W$93,MATCH($B43,CostProjections!$L$11:$L$93,0),MATCH(S$15,CostProjections!$N$10:$W$10,0))*0.001</f>
        <v>1312.0898429468054</v>
      </c>
      <c r="T43" s="981">
        <f>INDEX(CostProjections!$N$11:$W$93,MATCH($B43,CostProjections!$L$11:$L$93,0),MATCH(T$15,CostProjections!$N$10:$W$10,0))*0.001</f>
        <v>1232.4422166976376</v>
      </c>
      <c r="U43" s="982">
        <f>INDEX(CostProjections!$Y$11:$AH$93,MATCH($B43,CostProjections!$L$11:$L$93,0),MATCH(U$15,CostProjections!$Y$10:$AH$10,0))*0.001</f>
        <v>49.659997687546664</v>
      </c>
      <c r="V43" s="982">
        <f>INDEX(CostProjections!$Y$11:$AH$93,MATCH($B43,CostProjections!$L$11:$L$93,0),MATCH(V$15,CostProjections!$Y$10:$AH$10,0))*0.001</f>
        <v>28.182683751218523</v>
      </c>
      <c r="W43" s="982">
        <f>INDEX(CostProjections!$Y$11:$AH$93,MATCH($B43,CostProjections!$L$11:$L$93,0),MATCH(W$15,CostProjections!$Y$10:$AH$10,0))*0.001</f>
        <v>26.569819319672813</v>
      </c>
      <c r="X43" s="982">
        <f>INDEX(CostProjections!$Y$11:$AH$93,MATCH($B43,CostProjections!$L$11:$L$93,0),MATCH(X$15,CostProjections!$Y$10:$AH$10,0))*0.001</f>
        <v>24.956954888127168</v>
      </c>
      <c r="Y43" s="689">
        <f>Y42</f>
        <v>20</v>
      </c>
      <c r="Z43" s="689">
        <f t="shared" si="3"/>
        <v>20</v>
      </c>
      <c r="AA43" s="919">
        <v>2040</v>
      </c>
      <c r="AB43" s="1">
        <f t="shared" ca="1" si="4"/>
        <v>26</v>
      </c>
      <c r="AC43" s="1">
        <v>1</v>
      </c>
    </row>
    <row r="44" spans="1:29" x14ac:dyDescent="0.2">
      <c r="A44" s="190" t="s">
        <v>1124</v>
      </c>
      <c r="B44" s="190"/>
      <c r="C44" s="611"/>
      <c r="D44" s="611"/>
      <c r="E44" s="692" t="str">
        <f t="array" ref="E44">IFERROR(INDEX(Analytica!$F$59:$AY$138,MATCH($B44,Analytica!$B$59:$B$168,0),MATCH(E$15&amp;E$10,Analytica!$F$58:$AY$58&amp;Analytica!$F$51:'Analytica'!$AY$51,0)),"")</f>
        <v/>
      </c>
      <c r="F44" s="692" t="str">
        <f t="array" ref="F44">IFERROR(INDEX(Analytica!$F$59:$AY$138,MATCH($B44,Analytica!$B$59:$B$168,0),MATCH(F$15&amp;F$10,Analytica!$F$58:$AY$58&amp;Analytica!$F$51:'Analytica'!$AY$51,0)),"")</f>
        <v/>
      </c>
      <c r="G44" s="692" t="str">
        <f t="array" ref="G44">IFERROR(INDEX(Analytica!$F$59:$AY$138,MATCH($B44,Analytica!$B$59:$B$168,0),MATCH(G$15&amp;G$10,Analytica!$F$58:$AY$58&amp;Analytica!$F$51:'Analytica'!$AY$51,0)),"")</f>
        <v/>
      </c>
      <c r="H44" s="692"/>
      <c r="I44" s="914"/>
      <c r="J44" s="914"/>
      <c r="K44" s="914"/>
      <c r="L44" s="914"/>
      <c r="M44" s="914"/>
      <c r="N44" s="692"/>
      <c r="O44" s="619"/>
      <c r="P44" s="619" t="str">
        <f t="array" ref="P44">IFERROR(INDEX(Analytica!$F$59:$AY$138,MATCH($B44,Analytica!$B$59:$B$168,0),MATCH(P$15&amp;P$10,Analytica!$F$58:$AY$58&amp;Analytica!$F$51:'Analytica'!$AY$51,0)),"")</f>
        <v/>
      </c>
      <c r="Q44" s="619" t="str">
        <f t="array" ref="Q44">IFERROR(INDEX(Analytica!$F$59:$AY$138,MATCH($B44,Analytica!$B$59:$B$168,0),MATCH(Q$15&amp;Q$10,Analytica!$F$58:$AY$58&amp;Analytica!$F$51:'Analytica'!$AY$51,0)),"")</f>
        <v/>
      </c>
      <c r="R44" s="619" t="str">
        <f t="array" ref="R44">IFERROR(INDEX(Analytica!$F$59:$AY$138,MATCH($B44,Analytica!$B$59:$B$168,0),MATCH(R$15&amp;R$10,Analytica!$F$58:$AY$58&amp;Analytica!$F$51:'Analytica'!$AY$51,0)),"")</f>
        <v/>
      </c>
      <c r="S44" s="619" t="str">
        <f t="array" ref="S44">IFERROR(INDEX(Analytica!$F$59:$AY$138,MATCH($B44,Analytica!$B$59:$B$168,0),MATCH(S$15&amp;S$10,Analytica!$F$58:$AY$58&amp;Analytica!$F$51:'Analytica'!$AY$51,0)),"")</f>
        <v/>
      </c>
      <c r="T44" s="619" t="str">
        <f t="array" ref="T44">IFERROR(INDEX(Analytica!$F$59:$AY$138,MATCH($B44,Analytica!$B$59:$B$168,0),MATCH(T$15&amp;T$10,Analytica!$F$58:$AY$58&amp;Analytica!$F$51:'Analytica'!$AY$51,0)),"")</f>
        <v/>
      </c>
      <c r="U44" s="619" t="str">
        <f t="array" ref="U44">IFERROR(INDEX(Analytica!$F$59:$AY$138,MATCH($B44,Analytica!$B$59:$B$168,0),MATCH(U$15&amp;U$10,Analytica!$F$58:$AY$58&amp;Analytica!$F$51:'Analytica'!$AY$51,0)),"")</f>
        <v/>
      </c>
      <c r="V44" s="619" t="str">
        <f t="array" ref="V44">IFERROR(INDEX(Analytica!$F$59:$AY$138,MATCH($B44,Analytica!$B$59:$B$168,0),MATCH(V$15&amp;V$10,Analytica!$F$58:$AY$58&amp;Analytica!$F$51:'Analytica'!$AY$51,0)),"")</f>
        <v/>
      </c>
      <c r="W44" s="619" t="str">
        <f t="array" ref="W44">IFERROR(INDEX(Analytica!$F$59:$AY$138,MATCH($B44,Analytica!$B$59:$B$168,0),MATCH(W$15&amp;W$10,Analytica!$F$58:$AY$58&amp;Analytica!$F$51:'Analytica'!$AY$51,0)),"")</f>
        <v/>
      </c>
      <c r="X44" s="619" t="str">
        <f t="array" ref="X44">IFERROR(INDEX(Analytica!$F$59:$AY$138,MATCH($B44,Analytica!$B$59:$B$168,0),MATCH(X$15&amp;X$10,Analytica!$F$58:$AY$58&amp;Analytica!$F$51:'Analytica'!$AY$51,0)),"")</f>
        <v/>
      </c>
      <c r="Y44" s="689"/>
      <c r="Z44" s="689">
        <f t="shared" si="3"/>
        <v>0</v>
      </c>
      <c r="AA44" s="689">
        <f t="shared" ref="AA44:AA46" si="7">IF(AC44,base.year+$AA$12,base.year+$AA$10)</f>
        <v>2018</v>
      </c>
      <c r="AB44" s="1">
        <f t="shared" ca="1" si="4"/>
        <v>27</v>
      </c>
    </row>
    <row r="45" spans="1:29" x14ac:dyDescent="0.2">
      <c r="A45" s="190" t="str">
        <f>ITEMS_nTech!C36</f>
        <v>Transport Passenger Minibus Oil Diesel-N</v>
      </c>
      <c r="B45" s="190" t="str">
        <f>D45&amp;RIGHT(C45,3)&amp;"-N"</f>
        <v>TPPUMBTODS-N</v>
      </c>
      <c r="C45" s="611" t="str">
        <f>$D$6</f>
        <v>TRAODS</v>
      </c>
      <c r="D45" s="611" t="str">
        <f>TRP!$B$25</f>
        <v>TPPUMBT</v>
      </c>
      <c r="E45" s="692">
        <f t="array" ref="E45">IFERROR(INDEX(Analytica!$F$59:$AY$138,MATCH($B45,Analytica!$B$59:$B$168,0),MATCH(E$15&amp;E$10,Analytica!$F$58:$AY$58&amp;Analytica!$F$51:'Analytica'!$AY$51,0)),"")</f>
        <v>0.24052686742503102</v>
      </c>
      <c r="F45" s="692">
        <f t="array" ref="F45">IFERROR(INDEX(Analytica!$F$59:$AY$138,MATCH($B45,Analytica!$B$59:$B$168,0),MATCH(F$15&amp;F$10,Analytica!$F$58:$AY$58&amp;Analytica!$F$51:'Analytica'!$AY$51,0)),"")</f>
        <v>0.25933339216798273</v>
      </c>
      <c r="G45" s="692">
        <f t="array" ref="G45">IFERROR(INDEX(Analytica!$F$59:$AY$138,MATCH($B45,Analytica!$B$59:$B$168,0),MATCH(G$15&amp;G$10,Analytica!$F$58:$AY$58&amp;Analytica!$F$51:'Analytica'!$AY$51,0)),"")</f>
        <v>0.28675202586855569</v>
      </c>
      <c r="H45" s="692">
        <f t="array" ref="H45">IFERROR(INDEX(Analytica!$F$59:$AY$138,MATCH($B45,Analytica!$B$59:$B$168,0),MATCH(H$15&amp;H$10,Analytica!$F$58:$AY$58&amp;Analytica!$F$51:'Analytica'!$AY$51,0)),"")</f>
        <v>0.31706955919682966</v>
      </c>
      <c r="I45" s="914">
        <v>1</v>
      </c>
      <c r="J45" s="914">
        <v>1</v>
      </c>
      <c r="K45" s="914">
        <v>1</v>
      </c>
      <c r="L45" s="914">
        <v>1</v>
      </c>
      <c r="M45" s="914">
        <v>1</v>
      </c>
      <c r="N45" s="692">
        <f t="array" ref="N45">IFERROR(INDEX(Analytica!$F$59:$AY$138,MATCH($B45,Analytica!$B$59:$B$168,0),MATCH(N$15&amp;N$10,Analytica!$F$58:$AY$58&amp;Analytica!$F$51:'Analytica'!$AY$51,0)),"")</f>
        <v>3.4999999999999996E-2</v>
      </c>
      <c r="O45" s="981">
        <f>INDEX(CostProjections!$N$11:$W$93,MATCH($B45,CostProjections!$L$11:$L$93,0),MATCH(O$15,CostProjections!$N$10:$W$10,0))*0.001</f>
        <v>835.64408109927854</v>
      </c>
      <c r="P45" s="981">
        <f>INDEX(CostProjections!$N$11:$W$93,MATCH($B45,CostProjections!$L$11:$L$93,0),MATCH(P$15,CostProjections!$N$10:$W$10,0))*0.001</f>
        <v>844.03401459192003</v>
      </c>
      <c r="Q45" s="981">
        <f>INDEX(CostProjections!$N$11:$W$93,MATCH($B45,CostProjections!$L$11:$L$93,0),MATCH(Q$15,CostProjections!$N$10:$W$10,0))*0.001</f>
        <v>852.50818368869375</v>
      </c>
      <c r="R45" s="981">
        <f>INDEX(CostProjections!$N$11:$W$93,MATCH($B45,CostProjections!$L$11:$L$93,0),MATCH(R$15,CostProjections!$N$10:$W$10,0))*0.001</f>
        <v>861.06743412181083</v>
      </c>
      <c r="S45" s="981">
        <f>INDEX(CostProjections!$N$11:$W$93,MATCH($B45,CostProjections!$L$11:$L$93,0),MATCH(S$15,CostProjections!$N$10:$W$10,0))*0.001</f>
        <v>869.71262011470128</v>
      </c>
      <c r="T45" s="981">
        <f>INDEX(CostProjections!$N$11:$W$93,MATCH($B45,CostProjections!$L$11:$L$93,0),MATCH(T$15,CostProjections!$N$10:$W$10,0))*0.001</f>
        <v>887.26425864199052</v>
      </c>
      <c r="U45" s="982">
        <f>INDEX(CostProjections!$Y$11:$AH$93,MATCH($B45,CostProjections!$L$11:$L$93,0),MATCH(U$15,CostProjections!$Y$10:$AH$10,0))*0.001</f>
        <v>22.562390189680517</v>
      </c>
      <c r="V45" s="982">
        <f>INDEX(CostProjections!$Y$11:$AH$93,MATCH($B45,CostProjections!$L$11:$L$93,0),MATCH(V$15,CostProjections!$Y$10:$AH$10,0))*0.001</f>
        <v>23.01772095959473</v>
      </c>
      <c r="W45" s="982">
        <f>INDEX(CostProjections!$Y$11:$AH$93,MATCH($B45,CostProjections!$L$11:$L$93,0),MATCH(W$15,CostProjections!$Y$10:$AH$10,0))*0.001</f>
        <v>23.482240743096934</v>
      </c>
      <c r="X45" s="982">
        <f>INDEX(CostProjections!$Y$11:$AH$93,MATCH($B45,CostProjections!$L$11:$L$93,0),MATCH(X$15,CostProjections!$Y$10:$AH$10,0))*0.001</f>
        <v>23.956134983333744</v>
      </c>
      <c r="Y45" s="689">
        <f>Y43</f>
        <v>20</v>
      </c>
      <c r="Z45" s="689">
        <f t="shared" si="3"/>
        <v>20</v>
      </c>
      <c r="AA45" s="689">
        <f t="shared" si="7"/>
        <v>2018</v>
      </c>
      <c r="AB45" s="1">
        <f t="shared" ca="1" si="4"/>
        <v>28</v>
      </c>
    </row>
    <row r="46" spans="1:29" x14ac:dyDescent="0.2">
      <c r="A46" s="190" t="str">
        <f>ITEMS_nTech!C37</f>
        <v>Transport Passenger Minibus Oil Gasoline-N</v>
      </c>
      <c r="B46" s="190" t="str">
        <f>D46&amp;RIGHT(C46,3)&amp;"-N"</f>
        <v>TPPUMBTOGS-N</v>
      </c>
      <c r="C46" s="611" t="str">
        <f>$G$6</f>
        <v>TRAOGS</v>
      </c>
      <c r="D46" s="611" t="str">
        <f>TRP!$B$25</f>
        <v>TPPUMBT</v>
      </c>
      <c r="E46" s="692">
        <f t="array" ref="E46">IFERROR(INDEX(Analytica!$F$59:$AY$138,MATCH($B46,Analytica!$B$59:$B$168,0),MATCH(E$15&amp;E$10,Analytica!$F$58:$AY$58&amp;Analytica!$F$51:'Analytica'!$AY$51,0)),"")</f>
        <v>0.2038025244447535</v>
      </c>
      <c r="F46" s="692">
        <f t="array" ref="F46">IFERROR(INDEX(Analytica!$F$59:$AY$138,MATCH($B46,Analytica!$B$59:$B$168,0),MATCH(F$15&amp;F$10,Analytica!$F$58:$AY$58&amp;Analytica!$F$51:'Analytica'!$AY$51,0)),"")</f>
        <v>0.21973761419035504</v>
      </c>
      <c r="G46" s="692">
        <f t="array" ref="G46">IFERROR(INDEX(Analytica!$F$59:$AY$138,MATCH($B46,Analytica!$B$59:$B$168,0),MATCH(G$15&amp;G$10,Analytica!$F$58:$AY$58&amp;Analytica!$F$51:'Analytica'!$AY$51,0)),"")</f>
        <v>0.24296989100344107</v>
      </c>
      <c r="H46" s="692">
        <f t="array" ref="H46">IFERROR(INDEX(Analytica!$F$59:$AY$138,MATCH($B46,Analytica!$B$59:$B$168,0),MATCH(H$15&amp;H$10,Analytica!$F$58:$AY$58&amp;Analytica!$F$51:'Analytica'!$AY$51,0)),"")</f>
        <v>0.26865845500208052</v>
      </c>
      <c r="I46" s="914">
        <v>1</v>
      </c>
      <c r="J46" s="914">
        <v>1</v>
      </c>
      <c r="K46" s="914">
        <v>1</v>
      </c>
      <c r="L46" s="914">
        <v>1</v>
      </c>
      <c r="M46" s="914">
        <v>1</v>
      </c>
      <c r="N46" s="692">
        <f t="array" ref="N46">IFERROR(INDEX(Analytica!$F$59:$AY$138,MATCH($B46,Analytica!$B$59:$B$168,0),MATCH(N$15&amp;N$10,Analytica!$F$58:$AY$58&amp;Analytica!$F$51:'Analytica'!$AY$51,0)),"")</f>
        <v>3.4999999999999996E-2</v>
      </c>
      <c r="O46" s="981">
        <f>INDEX(CostProjections!$N$11:$W$93,MATCH($B46,CostProjections!$L$11:$L$93,0),MATCH(O$15,CostProjections!$N$10:$W$10,0))*0.001</f>
        <v>438.90146207526243</v>
      </c>
      <c r="P46" s="981">
        <f>INDEX(CostProjections!$N$11:$W$93,MATCH($B46,CostProjections!$L$11:$L$93,0),MATCH(P$15,CostProjections!$N$10:$W$10,0))*0.001</f>
        <v>443.30806790174114</v>
      </c>
      <c r="Q46" s="981">
        <f>INDEX(CostProjections!$N$11:$W$93,MATCH($B46,CostProjections!$L$11:$L$93,0),MATCH(Q$15,CostProjections!$N$10:$W$10,0))*0.001</f>
        <v>447.75891640359885</v>
      </c>
      <c r="R46" s="981">
        <f>INDEX(CostProjections!$N$11:$W$93,MATCH($B46,CostProjections!$L$11:$L$93,0),MATCH(R$15,CostProjections!$N$10:$W$10,0))*0.001</f>
        <v>452.25445178083936</v>
      </c>
      <c r="S46" s="981">
        <f>INDEX(CostProjections!$N$11:$W$93,MATCH($B46,CostProjections!$L$11:$L$93,0),MATCH(S$15,CostProjections!$N$10:$W$10,0))*0.001</f>
        <v>456.79512269326983</v>
      </c>
      <c r="T46" s="981">
        <f>INDEX(CostProjections!$N$11:$W$93,MATCH($B46,CostProjections!$L$11:$L$93,0),MATCH(T$15,CostProjections!$N$10:$W$10,0))*0.001</f>
        <v>466.01368833105909</v>
      </c>
      <c r="U46" s="982">
        <f>INDEX(CostProjections!$Y$11:$AH$93,MATCH($B46,CostProjections!$L$11:$L$93,0),MATCH(U$15,CostProjections!$Y$10:$AH$10,0))*0.001</f>
        <v>11.850339476032087</v>
      </c>
      <c r="V46" s="982">
        <f>INDEX(CostProjections!$Y$11:$AH$93,MATCH($B46,CostProjections!$L$11:$L$93,0),MATCH(V$15,CostProjections!$Y$10:$AH$10,0))*0.001</f>
        <v>12.089490742897169</v>
      </c>
      <c r="W46" s="982">
        <f>INDEX(CostProjections!$Y$11:$AH$93,MATCH($B46,CostProjections!$L$11:$L$93,0),MATCH(W$15,CostProjections!$Y$10:$AH$10,0))*0.001</f>
        <v>12.333468312718285</v>
      </c>
      <c r="X46" s="982">
        <f>INDEX(CostProjections!$Y$11:$AH$93,MATCH($B46,CostProjections!$L$11:$L$93,0),MATCH(X$15,CostProjections!$Y$10:$AH$10,0))*0.001</f>
        <v>12.582369584938595</v>
      </c>
      <c r="Y46" s="689">
        <f t="shared" ref="Y46:Y51" si="8">Y45</f>
        <v>20</v>
      </c>
      <c r="Z46" s="689">
        <f t="shared" si="3"/>
        <v>20</v>
      </c>
      <c r="AA46" s="689">
        <f t="shared" si="7"/>
        <v>2018</v>
      </c>
      <c r="AB46" s="1">
        <f t="shared" ca="1" si="4"/>
        <v>29</v>
      </c>
    </row>
    <row r="47" spans="1:29" x14ac:dyDescent="0.2">
      <c r="A47" s="190" t="str">
        <f>ITEMS_nTech!C38</f>
        <v>Transport Passenger Minibus Oil Diesel Hybrid-N</v>
      </c>
      <c r="B47" s="190" t="str">
        <f>D47&amp;RIGHT(C47,3)&amp;"H-N"</f>
        <v>TPPUMBTODSH-N</v>
      </c>
      <c r="C47" s="611" t="str">
        <f>$D$6</f>
        <v>TRAODS</v>
      </c>
      <c r="D47" s="611" t="str">
        <f>TRP!$B$25</f>
        <v>TPPUMBT</v>
      </c>
      <c r="E47" s="692">
        <f t="array" ref="E47">IFERROR(INDEX(Analytica!$F$59:$AY$138,MATCH($B47,Analytica!$B$59:$B$168,0),MATCH(E$15&amp;E$10,Analytica!$F$58:$AY$58&amp;Analytica!$F$51:'Analytica'!$AY$51,0)),"")</f>
        <v>0.24052686742503102</v>
      </c>
      <c r="F47" s="692">
        <f t="array" ref="F47">IFERROR(INDEX(Analytica!$F$59:$AY$138,MATCH($B47,Analytica!$B$59:$B$168,0),MATCH(F$15&amp;F$10,Analytica!$F$58:$AY$58&amp;Analytica!$F$51:'Analytica'!$AY$51,0)),"")</f>
        <v>0.25933339216798273</v>
      </c>
      <c r="G47" s="692">
        <f t="array" ref="G47">IFERROR(INDEX(Analytica!$F$59:$AY$138,MATCH($B47,Analytica!$B$59:$B$168,0),MATCH(G$15&amp;G$10,Analytica!$F$58:$AY$58&amp;Analytica!$F$51:'Analytica'!$AY$51,0)),"")</f>
        <v>0.28675202586855569</v>
      </c>
      <c r="H47" s="692">
        <f t="array" ref="H47">IFERROR(INDEX(Analytica!$F$59:$AY$138,MATCH($B47,Analytica!$B$59:$B$168,0),MATCH(H$15&amp;H$10,Analytica!$F$58:$AY$58&amp;Analytica!$F$51:'Analytica'!$AY$51,0)),"")</f>
        <v>0.31706955919682966</v>
      </c>
      <c r="I47" s="914">
        <v>1</v>
      </c>
      <c r="J47" s="914">
        <v>1</v>
      </c>
      <c r="K47" s="914">
        <v>1</v>
      </c>
      <c r="L47" s="914">
        <v>1</v>
      </c>
      <c r="M47" s="914">
        <v>1</v>
      </c>
      <c r="N47" s="692">
        <f t="array" ref="N47">IFERROR(INDEX(Analytica!$F$59:$AY$138,MATCH($B47,Analytica!$B$59:$B$168,0),MATCH(N$15&amp;N$10,Analytica!$F$58:$AY$58&amp;Analytica!$F$51:'Analytica'!$AY$51,0)),"")</f>
        <v>3.4999999999999996E-2</v>
      </c>
      <c r="O47" s="981">
        <f>INDEX(CostProjections!$N$11:$W$93,MATCH($B47,CostProjections!$L$11:$L$93,0),MATCH(O$15,CostProjections!$N$10:$W$10,0))*0.001</f>
        <v>1115.3529863163551</v>
      </c>
      <c r="P47" s="981">
        <f>INDEX(CostProjections!$N$11:$W$93,MATCH($B47,CostProjections!$L$11:$L$93,0),MATCH(P$15,CostProjections!$N$10:$W$10,0))*0.001</f>
        <v>913.08384515926969</v>
      </c>
      <c r="Q47" s="981">
        <f>INDEX(CostProjections!$N$11:$W$93,MATCH($B47,CostProjections!$L$11:$L$93,0),MATCH(Q$15,CostProjections!$N$10:$W$10,0))*0.001</f>
        <v>860.36537834869</v>
      </c>
      <c r="R47" s="981">
        <f>INDEX(CostProjections!$N$11:$W$93,MATCH($B47,CostProjections!$L$11:$L$93,0),MATCH(R$15,CostProjections!$N$10:$W$10,0))*0.001</f>
        <v>861.7712041303065</v>
      </c>
      <c r="S47" s="981">
        <f>INDEX(CostProjections!$N$11:$W$93,MATCH($B47,CostProjections!$L$11:$L$93,0),MATCH(S$15,CostProjections!$N$10:$W$10,0))*0.001</f>
        <v>863.17702991192198</v>
      </c>
      <c r="T47" s="981">
        <f>INDEX(CostProjections!$N$11:$W$93,MATCH($B47,CostProjections!$L$11:$L$93,0),MATCH(T$15,CostProjections!$N$10:$W$10,0))*0.001</f>
        <v>865.98868147515293</v>
      </c>
      <c r="U47" s="982">
        <f>INDEX(CostProjections!$Y$11:$AH$93,MATCH($B47,CostProjections!$L$11:$L$93,0),MATCH(U$15,CostProjections!$Y$10:$AH$10,0))*0.001</f>
        <v>30.114530630541591</v>
      </c>
      <c r="V47" s="982">
        <f>INDEX(CostProjections!$Y$11:$AH$93,MATCH($B47,CostProjections!$L$11:$L$93,0),MATCH(V$15,CostProjections!$Y$10:$AH$10,0))*0.001</f>
        <v>23.22986521541463</v>
      </c>
      <c r="W47" s="982">
        <f>INDEX(CostProjections!$Y$11:$AH$93,MATCH($B47,CostProjections!$L$11:$L$93,0),MATCH(W$15,CostProjections!$Y$10:$AH$10,0))*0.001</f>
        <v>23.305779807621892</v>
      </c>
      <c r="X47" s="982">
        <f>INDEX(CostProjections!$Y$11:$AH$93,MATCH($B47,CostProjections!$L$11:$L$93,0),MATCH(X$15,CostProjections!$Y$10:$AH$10,0))*0.001</f>
        <v>23.381694399829129</v>
      </c>
      <c r="Y47" s="689">
        <f t="shared" si="8"/>
        <v>20</v>
      </c>
      <c r="Z47" s="689">
        <f t="shared" si="3"/>
        <v>20</v>
      </c>
      <c r="AA47" s="919">
        <v>2080</v>
      </c>
      <c r="AB47" s="1">
        <f t="shared" ca="1" si="4"/>
        <v>30</v>
      </c>
      <c r="AC47" s="1">
        <v>1</v>
      </c>
    </row>
    <row r="48" spans="1:29" x14ac:dyDescent="0.2">
      <c r="A48" s="190" t="str">
        <f>ITEMS_nTech!C39</f>
        <v>Transport Passenger Minibus Gas-N</v>
      </c>
      <c r="B48" s="190" t="str">
        <f>D48&amp;RIGHT(C48,3)&amp;"-N"</f>
        <v>TPPUMBTGAS-N</v>
      </c>
      <c r="C48" s="611" t="str">
        <f>$F$6</f>
        <v>TRAGAS</v>
      </c>
      <c r="D48" s="611" t="str">
        <f>TRP!$B$25</f>
        <v>TPPUMBT</v>
      </c>
      <c r="E48" s="692">
        <f t="array" ref="E48">IFERROR(INDEX(Analytica!$F$59:$AY$138,MATCH($B48,Analytica!$B$59:$B$168,0),MATCH(E$15&amp;E$10,Analytica!$F$58:$AY$58&amp;Analytica!$F$51:'Analytica'!$AY$51,0)),"")</f>
        <v>0.17369727011103256</v>
      </c>
      <c r="F48" s="692">
        <f t="array" ref="F48">IFERROR(INDEX(Analytica!$F$59:$AY$138,MATCH($B48,Analytica!$B$59:$B$168,0),MATCH(F$15&amp;F$10,Analytica!$F$58:$AY$58&amp;Analytica!$F$51:'Analytica'!$AY$51,0)),"")</f>
        <v>0.18727846394229747</v>
      </c>
      <c r="G48" s="692">
        <f t="array" ref="G48">IFERROR(INDEX(Analytica!$F$59:$AY$138,MATCH($B48,Analytica!$B$59:$B$168,0),MATCH(G$15&amp;G$10,Analytica!$F$58:$AY$58&amp;Analytica!$F$51:'Analytica'!$AY$51,0)),"")</f>
        <v>0.20707892064366076</v>
      </c>
      <c r="H48" s="692">
        <f t="array" ref="H48">IFERROR(INDEX(Analytica!$F$59:$AY$138,MATCH($B48,Analytica!$B$59:$B$168,0),MATCH(H$15&amp;H$10,Analytica!$F$58:$AY$58&amp;Analytica!$F$51:'Analytica'!$AY$51,0)),"")</f>
        <v>0.22897282726622464</v>
      </c>
      <c r="I48" s="914">
        <v>1</v>
      </c>
      <c r="J48" s="914">
        <v>1</v>
      </c>
      <c r="K48" s="914">
        <v>1</v>
      </c>
      <c r="L48" s="914">
        <v>1</v>
      </c>
      <c r="M48" s="914">
        <v>1</v>
      </c>
      <c r="N48" s="692">
        <f t="array" ref="N48">IFERROR(INDEX(Analytica!$F$59:$AY$138,MATCH($B48,Analytica!$B$59:$B$168,0),MATCH(N$15&amp;N$10,Analytica!$F$58:$AY$58&amp;Analytica!$F$51:'Analytica'!$AY$51,0)),"")</f>
        <v>3.4999999999999996E-2</v>
      </c>
      <c r="O48" s="981">
        <f>INDEX(CostProjections!$N$11:$W$93,MATCH($B48,CostProjections!$L$11:$L$93,0),MATCH(O$15,CostProjections!$N$10:$W$10,0))*0.001</f>
        <v>919.2084892092065</v>
      </c>
      <c r="P48" s="981">
        <f>INDEX(CostProjections!$N$11:$W$93,MATCH($B48,CostProjections!$L$11:$L$93,0),MATCH(P$15,CostProjections!$N$10:$W$10,0))*0.001</f>
        <v>928.437416051112</v>
      </c>
      <c r="Q48" s="981">
        <f>INDEX(CostProjections!$N$11:$W$93,MATCH($B48,CostProjections!$L$11:$L$93,0),MATCH(Q$15,CostProjections!$N$10:$W$10,0))*0.001</f>
        <v>937.75900205756318</v>
      </c>
      <c r="R48" s="981">
        <f>INDEX(CostProjections!$N$11:$W$93,MATCH($B48,CostProjections!$L$11:$L$93,0),MATCH(R$15,CostProjections!$N$10:$W$10,0))*0.001</f>
        <v>947.17417753399195</v>
      </c>
      <c r="S48" s="981">
        <f>INDEX(CostProjections!$N$11:$W$93,MATCH($B48,CostProjections!$L$11:$L$93,0),MATCH(S$15,CostProjections!$N$10:$W$10,0))*0.001</f>
        <v>956.68388212617151</v>
      </c>
      <c r="T48" s="981">
        <f>INDEX(CostProjections!$N$11:$W$93,MATCH($B48,CostProjections!$L$11:$L$93,0),MATCH(T$15,CostProjections!$N$10:$W$10,0))*0.001</f>
        <v>975.99068450618972</v>
      </c>
      <c r="U48" s="982">
        <f>INDEX(CostProjections!$Y$11:$AH$93,MATCH($B48,CostProjections!$L$11:$L$93,0),MATCH(U$15,CostProjections!$Y$10:$AH$10,0))*0.001</f>
        <v>24.818629208648577</v>
      </c>
      <c r="V48" s="982">
        <f>INDEX(CostProjections!$Y$11:$AH$93,MATCH($B48,CostProjections!$L$11:$L$93,0),MATCH(V$15,CostProjections!$Y$10:$AH$10,0))*0.001</f>
        <v>25.319493055554204</v>
      </c>
      <c r="W48" s="982">
        <f>INDEX(CostProjections!$Y$11:$AH$93,MATCH($B48,CostProjections!$L$11:$L$93,0),MATCH(W$15,CostProjections!$Y$10:$AH$10,0))*0.001</f>
        <v>25.830464817406632</v>
      </c>
      <c r="X48" s="982">
        <f>INDEX(CostProjections!$Y$11:$AH$93,MATCH($B48,CostProjections!$L$11:$L$93,0),MATCH(X$15,CostProjections!$Y$10:$AH$10,0))*0.001</f>
        <v>26.351748481667119</v>
      </c>
      <c r="Y48" s="689">
        <f t="shared" si="8"/>
        <v>20</v>
      </c>
      <c r="Z48" s="689">
        <f t="shared" si="3"/>
        <v>20</v>
      </c>
      <c r="AA48" s="919">
        <v>2080</v>
      </c>
      <c r="AB48" s="1">
        <f t="shared" ca="1" si="4"/>
        <v>31</v>
      </c>
    </row>
    <row r="49" spans="1:29" x14ac:dyDescent="0.2">
      <c r="A49" s="190" t="str">
        <f>ITEMS_nTech!C40</f>
        <v>Transport Passenger Minibus Hydrogen Fuel Cell-N</v>
      </c>
      <c r="B49" s="190" t="str">
        <f>D49&amp;RIGHT(C49,3)&amp;"F-N"</f>
        <v>TPPUMBTHGNF-N</v>
      </c>
      <c r="C49" s="611" t="str">
        <f>K6</f>
        <v>TRAHGN</v>
      </c>
      <c r="D49" s="611" t="str">
        <f>TRP!$B$25</f>
        <v>TPPUMBT</v>
      </c>
      <c r="E49" s="692">
        <f t="array" ref="E49">IFERROR(INDEX(Analytica!$F$59:$AY$138,MATCH($B49,Analytica!$B$59:$B$168,0),MATCH(E$15&amp;E$10,Analytica!$F$58:$AY$58&amp;Analytica!$F$51:'Analytica'!$AY$51,0)),"")</f>
        <v>0.41362961436156093</v>
      </c>
      <c r="F49" s="692">
        <f t="array" ref="F49">IFERROR(INDEX(Analytica!$F$59:$AY$138,MATCH($B49,Analytica!$B$59:$B$168,0),MATCH(F$15&amp;F$10,Analytica!$F$58:$AY$58&amp;Analytica!$F$51:'Analytica'!$AY$51,0)),"")</f>
        <v>0.44597084783866037</v>
      </c>
      <c r="G49" s="692">
        <f t="array" ref="G49">IFERROR(INDEX(Analytica!$F$59:$AY$138,MATCH($B49,Analytica!$B$59:$B$168,0),MATCH(G$15&amp;G$10,Analytica!$F$58:$AY$58&amp;Analytica!$F$51:'Analytica'!$AY$51,0)),"")</f>
        <v>0.49312216613129889</v>
      </c>
      <c r="H49" s="692">
        <f t="array" ref="H49">IFERROR(INDEX(Analytica!$F$59:$AY$138,MATCH($B49,Analytica!$B$59:$B$168,0),MATCH(H$15&amp;H$10,Analytica!$F$58:$AY$58&amp;Analytica!$F$51:'Analytica'!$AY$51,0)),"")</f>
        <v>0.54525866860695826</v>
      </c>
      <c r="I49" s="914">
        <v>1</v>
      </c>
      <c r="J49" s="914">
        <v>1</v>
      </c>
      <c r="K49" s="914">
        <v>1</v>
      </c>
      <c r="L49" s="914">
        <v>1</v>
      </c>
      <c r="M49" s="914">
        <v>1</v>
      </c>
      <c r="N49" s="692">
        <f t="array" ref="N49">IFERROR(INDEX(Analytica!$F$59:$AY$138,MATCH($B49,Analytica!$B$59:$B$168,0),MATCH(N$15&amp;N$10,Analytica!$F$58:$AY$58&amp;Analytica!$F$51:'Analytica'!$AY$51,0)),"")</f>
        <v>3.4999999999999996E-2</v>
      </c>
      <c r="O49" s="981">
        <f>INDEX(CostProjections!$N$11:$W$93,MATCH($B49,CostProjections!$L$11:$L$93,0),MATCH(O$15,CostProjections!$N$10:$W$10,0))*0.001</f>
        <v>3292.0959442618196</v>
      </c>
      <c r="P49" s="981">
        <f>INDEX(CostProjections!$N$11:$W$93,MATCH($B49,CostProjections!$L$11:$L$93,0),MATCH(P$15,CostProjections!$N$10:$W$10,0))*0.001</f>
        <v>2142.6437298898963</v>
      </c>
      <c r="Q49" s="981">
        <f>INDEX(CostProjections!$N$11:$W$93,MATCH($B49,CostProjections!$L$11:$L$93,0),MATCH(Q$15,CostProjections!$N$10:$W$10,0))*0.001</f>
        <v>1868.3065484529141</v>
      </c>
      <c r="R49" s="981">
        <f>INDEX(CostProjections!$N$11:$W$93,MATCH($B49,CostProjections!$L$11:$L$93,0),MATCH(R$15,CostProjections!$N$10:$W$10,0))*0.001</f>
        <v>1814.8459695062147</v>
      </c>
      <c r="S49" s="981">
        <f>INDEX(CostProjections!$N$11:$W$93,MATCH($B49,CostProjections!$L$11:$L$93,0),MATCH(S$15,CostProjections!$N$10:$W$10,0))*0.001</f>
        <v>1761.3853905595195</v>
      </c>
      <c r="T49" s="981">
        <f>INDEX(CostProjections!$N$11:$W$93,MATCH($B49,CostProjections!$L$11:$L$93,0),MATCH(T$15,CostProjections!$N$10:$W$10,0))*0.001</f>
        <v>1654.464232666129</v>
      </c>
      <c r="U49" s="982">
        <f>INDEX(CostProjections!$Y$11:$AH$93,MATCH($B49,CostProjections!$L$11:$L$93,0),MATCH(U$15,CostProjections!$Y$10:$AH$10,0))*0.001</f>
        <v>88.886590495069129</v>
      </c>
      <c r="V49" s="982">
        <f>INDEX(CostProjections!$Y$11:$AH$93,MATCH($B49,CostProjections!$L$11:$L$93,0),MATCH(V$15,CostProjections!$Y$10:$AH$10,0))*0.001</f>
        <v>50.444276808228679</v>
      </c>
      <c r="W49" s="982">
        <f>INDEX(CostProjections!$Y$11:$AH$93,MATCH($B49,CostProjections!$L$11:$L$93,0),MATCH(W$15,CostProjections!$Y$10:$AH$10,0))*0.001</f>
        <v>47.557405545107024</v>
      </c>
      <c r="X49" s="982">
        <f>INDEX(CostProjections!$Y$11:$AH$93,MATCH($B49,CostProjections!$L$11:$L$93,0),MATCH(X$15,CostProjections!$Y$10:$AH$10,0))*0.001</f>
        <v>44.670534281985489</v>
      </c>
      <c r="Y49" s="689">
        <f t="shared" si="8"/>
        <v>20</v>
      </c>
      <c r="Z49" s="689">
        <f t="shared" si="3"/>
        <v>20</v>
      </c>
      <c r="AA49" s="919">
        <v>2035</v>
      </c>
      <c r="AB49" s="1">
        <f t="shared" ca="1" si="4"/>
        <v>32</v>
      </c>
      <c r="AC49" s="1">
        <v>1</v>
      </c>
    </row>
    <row r="50" spans="1:29" x14ac:dyDescent="0.2">
      <c r="A50" s="190" t="str">
        <f>ITEMS_nTech!C41</f>
        <v>Transport Passenger Minibus Oil Blended Gasoline-Ethanol-E85-N</v>
      </c>
      <c r="B50" s="190" t="str">
        <f>D50&amp;RIGHT(C50,3)&amp;"-N"</f>
        <v>TPPUMBTBGS-N</v>
      </c>
      <c r="C50" s="611" t="str">
        <f>$L$6</f>
        <v>TRABGS</v>
      </c>
      <c r="D50" s="611" t="str">
        <f>TRP!$B$25</f>
        <v>TPPUMBT</v>
      </c>
      <c r="E50" s="692">
        <f t="array" ref="E50">IFERROR(INDEX(Analytica!$F$59:$AY$138,MATCH($B50,Analytica!$B$59:$B$168,0),MATCH(E$15&amp;E$10,Analytica!$F$58:$AY$58&amp;Analytica!$F$51:'Analytica'!$AY$51,0)),"")</f>
        <v>0.2038025244447535</v>
      </c>
      <c r="F50" s="692">
        <f t="array" ref="F50">IFERROR(INDEX(Analytica!$F$59:$AY$138,MATCH($B50,Analytica!$B$59:$B$168,0),MATCH(F$15&amp;F$10,Analytica!$F$58:$AY$58&amp;Analytica!$F$51:'Analytica'!$AY$51,0)),"")</f>
        <v>0.21973761419035504</v>
      </c>
      <c r="G50" s="692">
        <f t="array" ref="G50">IFERROR(INDEX(Analytica!$F$59:$AY$138,MATCH($B50,Analytica!$B$59:$B$168,0),MATCH(G$15&amp;G$10,Analytica!$F$58:$AY$58&amp;Analytica!$F$51:'Analytica'!$AY$51,0)),"")</f>
        <v>0.24296989100344107</v>
      </c>
      <c r="H50" s="692">
        <f t="array" ref="H50">IFERROR(INDEX(Analytica!$F$59:$AY$138,MATCH($B50,Analytica!$B$59:$B$168,0),MATCH(H$15&amp;H$10,Analytica!$F$58:$AY$58&amp;Analytica!$F$51:'Analytica'!$AY$51,0)),"")</f>
        <v>0.26865845500208052</v>
      </c>
      <c r="I50" s="914">
        <v>1</v>
      </c>
      <c r="J50" s="914">
        <v>1</v>
      </c>
      <c r="K50" s="914">
        <v>1</v>
      </c>
      <c r="L50" s="914">
        <v>1</v>
      </c>
      <c r="M50" s="914">
        <v>1</v>
      </c>
      <c r="N50" s="692">
        <f t="array" ref="N50">IFERROR(INDEX(Analytica!$F$59:$AY$138,MATCH($B50,Analytica!$B$59:$B$168,0),MATCH(N$15&amp;N$10,Analytica!$F$58:$AY$58&amp;Analytica!$F$51:'Analytica'!$AY$51,0)),"")</f>
        <v>3.4999999999999996E-2</v>
      </c>
      <c r="O50" s="981">
        <f>INDEX(CostProjections!$N$11:$W$93,MATCH($B50,CostProjections!$L$11:$L$93,0),MATCH(O$15,CostProjections!$N$10:$W$10,0))*0.001</f>
        <v>438.90146207526243</v>
      </c>
      <c r="P50" s="981">
        <f>INDEX(CostProjections!$N$11:$W$93,MATCH($B50,CostProjections!$L$11:$L$93,0),MATCH(P$15,CostProjections!$N$10:$W$10,0))*0.001</f>
        <v>443.30806790174114</v>
      </c>
      <c r="Q50" s="981">
        <f>INDEX(CostProjections!$N$11:$W$93,MATCH($B50,CostProjections!$L$11:$L$93,0),MATCH(Q$15,CostProjections!$N$10:$W$10,0))*0.001</f>
        <v>447.75891640359885</v>
      </c>
      <c r="R50" s="981">
        <f>INDEX(CostProjections!$N$11:$W$93,MATCH($B50,CostProjections!$L$11:$L$93,0),MATCH(R$15,CostProjections!$N$10:$W$10,0))*0.001</f>
        <v>452.25445178083936</v>
      </c>
      <c r="S50" s="981">
        <f>INDEX(CostProjections!$N$11:$W$93,MATCH($B50,CostProjections!$L$11:$L$93,0),MATCH(S$15,CostProjections!$N$10:$W$10,0))*0.001</f>
        <v>456.79512269326983</v>
      </c>
      <c r="T50" s="981">
        <f>INDEX(CostProjections!$N$11:$W$93,MATCH($B50,CostProjections!$L$11:$L$93,0),MATCH(T$15,CostProjections!$N$10:$W$10,0))*0.001</f>
        <v>466.01368833105909</v>
      </c>
      <c r="U50" s="982">
        <f>INDEX(CostProjections!$Y$11:$AH$93,MATCH($B50,CostProjections!$L$11:$L$93,0),MATCH(U$15,CostProjections!$Y$10:$AH$10,0))*0.001</f>
        <v>11.850339476032087</v>
      </c>
      <c r="V50" s="982">
        <f>INDEX(CostProjections!$Y$11:$AH$93,MATCH($B50,CostProjections!$L$11:$L$93,0),MATCH(V$15,CostProjections!$Y$10:$AH$10,0))*0.001</f>
        <v>12.089490742897169</v>
      </c>
      <c r="W50" s="982">
        <f>INDEX(CostProjections!$Y$11:$AH$93,MATCH($B50,CostProjections!$L$11:$L$93,0),MATCH(W$15,CostProjections!$Y$10:$AH$10,0))*0.001</f>
        <v>12.333468312718285</v>
      </c>
      <c r="X50" s="982">
        <f>INDEX(CostProjections!$Y$11:$AH$93,MATCH($B50,CostProjections!$L$11:$L$93,0),MATCH(X$15,CostProjections!$Y$10:$AH$10,0))*0.001</f>
        <v>12.582369584938595</v>
      </c>
      <c r="Y50" s="689">
        <f t="shared" si="8"/>
        <v>20</v>
      </c>
      <c r="Z50" s="689">
        <f t="shared" ref="Z50:Z81" si="9">Y50</f>
        <v>20</v>
      </c>
      <c r="AA50" s="850">
        <v>2080</v>
      </c>
      <c r="AB50" s="1">
        <f t="shared" ref="AB50:AB81" ca="1" si="10">OFFSET(AB50,-1,0)+1</f>
        <v>33</v>
      </c>
      <c r="AC50" s="1">
        <v>1</v>
      </c>
    </row>
    <row r="51" spans="1:29" x14ac:dyDescent="0.2">
      <c r="A51" s="190" t="str">
        <f>ITEMS_nTech!C42</f>
        <v>Transport Passenger Minibus Electricity-N</v>
      </c>
      <c r="B51" s="190" t="str">
        <f>D51&amp;RIGHT(C51,3)&amp;"-N"</f>
        <v>TPPUMBTELC-N</v>
      </c>
      <c r="C51" s="611" t="s">
        <v>1131</v>
      </c>
      <c r="D51" s="611" t="str">
        <f>TRP!$B$25</f>
        <v>TPPUMBT</v>
      </c>
      <c r="E51" s="692">
        <f t="array" ref="E51">IFERROR(INDEX(Analytica!$F$59:$AY$138,MATCH($B51,Analytica!$B$59:$B$168,0),MATCH(E$15&amp;E$10,Analytica!$F$58:$AY$58&amp;Analytica!$F$51:'Analytica'!$AY$51,0)),"")</f>
        <v>0.81441953153919366</v>
      </c>
      <c r="F51" s="692">
        <f t="array" ref="F51">IFERROR(INDEX(Analytica!$F$59:$AY$138,MATCH($B51,Analytica!$B$59:$B$168,0),MATCH(F$15&amp;F$10,Analytica!$F$58:$AY$58&amp;Analytica!$F$51:'Analytica'!$AY$51,0)),"")</f>
        <v>0.87809807703810294</v>
      </c>
      <c r="G51" s="692">
        <f t="array" ref="G51">IFERROR(INDEX(Analytica!$F$59:$AY$138,MATCH($B51,Analytica!$B$59:$B$168,0),MATCH(G$15&amp;G$10,Analytica!$F$58:$AY$58&amp;Analytica!$F$51:'Analytica'!$AY$51,0)),"")</f>
        <v>0.9709370644365708</v>
      </c>
      <c r="H51" s="692">
        <f t="array" ref="H51">IFERROR(INDEX(Analytica!$F$59:$AY$138,MATCH($B51,Analytica!$B$59:$B$168,0),MATCH(H$15&amp;H$10,Analytica!$F$58:$AY$58&amp;Analytica!$F$51:'Analytica'!$AY$51,0)),"")</f>
        <v>1.07359167244344</v>
      </c>
      <c r="I51" s="914">
        <v>1</v>
      </c>
      <c r="J51" s="914">
        <v>1</v>
      </c>
      <c r="K51" s="914">
        <v>1</v>
      </c>
      <c r="L51" s="914">
        <v>1</v>
      </c>
      <c r="M51" s="914">
        <v>1</v>
      </c>
      <c r="N51" s="692">
        <f t="array" ref="N51">IFERROR(INDEX(Analytica!$F$59:$AY$138,MATCH($B51,Analytica!$B$59:$B$168,0),MATCH(N$15&amp;N$10,Analytica!$F$58:$AY$58&amp;Analytica!$F$51:'Analytica'!$AY$51,0)),"")</f>
        <v>3.4999999999999996E-2</v>
      </c>
      <c r="O51" s="981">
        <f>INDEX(CostProjections!$N$11:$W$93,MATCH($B51,CostProjections!$L$11:$L$93,0),MATCH(O$15,CostProjections!$N$10:$W$10,0))*0.001</f>
        <v>1289.2407774157671</v>
      </c>
      <c r="P51" s="981">
        <f>INDEX(CostProjections!$N$11:$W$93,MATCH($B51,CostProjections!$L$11:$L$93,0),MATCH(P$15,CostProjections!$N$10:$W$10,0))*0.001</f>
        <v>839.09573560975696</v>
      </c>
      <c r="Q51" s="981">
        <f>INDEX(CostProjections!$N$11:$W$93,MATCH($B51,CostProjections!$L$11:$L$93,0),MATCH(Q$15,CostProjections!$N$10:$W$10,0))*0.001</f>
        <v>731.66062829268515</v>
      </c>
      <c r="R51" s="981">
        <f>INDEX(CostProjections!$N$11:$W$93,MATCH($B51,CostProjections!$L$11:$L$93,0),MATCH(R$15,CostProjections!$N$10:$W$10,0))*0.001</f>
        <v>710.72455609756139</v>
      </c>
      <c r="S51" s="981">
        <f>INDEX(CostProjections!$N$11:$W$93,MATCH($B51,CostProjections!$L$11:$L$93,0),MATCH(S$15,CostProjections!$N$10:$W$10,0))*0.001</f>
        <v>689.78848390243911</v>
      </c>
      <c r="T51" s="981">
        <f>INDEX(CostProjections!$N$11:$W$93,MATCH($B51,CostProjections!$L$11:$L$93,0),MATCH(T$15,CostProjections!$N$10:$W$10,0))*0.001</f>
        <v>647.9163395121949</v>
      </c>
      <c r="U51" s="982">
        <f>INDEX(CostProjections!$Y$11:$AH$93,MATCH($B51,CostProjections!$L$11:$L$93,0),MATCH(U$15,CostProjections!$Y$10:$AH$10,0))*0.001</f>
        <v>26.107125742669282</v>
      </c>
      <c r="V51" s="982">
        <f>INDEX(CostProjections!$Y$11:$AH$93,MATCH($B51,CostProjections!$L$11:$L$93,0),MATCH(V$15,CostProjections!$Y$10:$AH$10,0))*0.001</f>
        <v>14.816127722926876</v>
      </c>
      <c r="W51" s="982">
        <f>INDEX(CostProjections!$Y$11:$AH$93,MATCH($B51,CostProjections!$L$11:$L$93,0),MATCH(W$15,CostProjections!$Y$10:$AH$10,0))*0.001</f>
        <v>13.968216799024393</v>
      </c>
      <c r="X51" s="982">
        <f>INDEX(CostProjections!$Y$11:$AH$93,MATCH($B51,CostProjections!$L$11:$L$93,0),MATCH(X$15,CostProjections!$Y$10:$AH$10,0))*0.001</f>
        <v>13.120305875121947</v>
      </c>
      <c r="Y51" s="689">
        <f t="shared" si="8"/>
        <v>20</v>
      </c>
      <c r="Z51" s="689">
        <f t="shared" si="9"/>
        <v>20</v>
      </c>
      <c r="AA51" s="919">
        <v>2030</v>
      </c>
      <c r="AB51" s="1">
        <f t="shared" ca="1" si="10"/>
        <v>34</v>
      </c>
      <c r="AC51" s="1">
        <v>1</v>
      </c>
    </row>
    <row r="52" spans="1:29" x14ac:dyDescent="0.2">
      <c r="A52" s="190" t="s">
        <v>1124</v>
      </c>
      <c r="B52" s="190"/>
      <c r="C52" s="611"/>
      <c r="D52" s="611"/>
      <c r="E52" s="692" t="str">
        <f t="array" ref="E52">IFERROR(INDEX(Analytica!$F$59:$AY$138,MATCH($B52,Analytica!$B$59:$B$168,0),MATCH(E$15&amp;E$10,Analytica!$F$58:$AY$58&amp;Analytica!$F$51:'Analytica'!$AY$51,0)),"")</f>
        <v/>
      </c>
      <c r="F52" s="692" t="str">
        <f t="array" ref="F52">IFERROR(INDEX(Analytica!$F$59:$AY$138,MATCH($B52,Analytica!$B$59:$B$168,0),MATCH(F$15&amp;F$10,Analytica!$F$58:$AY$58&amp;Analytica!$F$51:'Analytica'!$AY$51,0)),"")</f>
        <v/>
      </c>
      <c r="G52" s="692" t="str">
        <f t="array" ref="G52">IFERROR(INDEX(Analytica!$F$59:$AY$138,MATCH($B52,Analytica!$B$59:$B$168,0),MATCH(G$15&amp;G$10,Analytica!$F$58:$AY$58&amp;Analytica!$F$51:'Analytica'!$AY$51,0)),"")</f>
        <v/>
      </c>
      <c r="H52" s="692" t="str">
        <f t="array" ref="H52">IFERROR(INDEX(Analytica!$F$59:$AY$138,MATCH($B52,Analytica!$B$59:$B$168,0),MATCH(H$15&amp;H$10,Analytica!$F$58:$AY$58&amp;Analytica!$F$51:'Analytica'!$AY$51,0)),"")</f>
        <v/>
      </c>
      <c r="I52" s="914"/>
      <c r="J52" s="914"/>
      <c r="K52" s="914"/>
      <c r="L52" s="914"/>
      <c r="M52" s="914"/>
      <c r="N52" s="692" t="str">
        <f t="array" ref="N52">IFERROR(INDEX(Analytica!$F$59:$AY$138,MATCH($B52,Analytica!$B$59:$B$168,0),MATCH(N$15&amp;N$10,Analytica!$F$58:$AY$58&amp;Analytica!$F$51:'Analytica'!$AY$51,0)),"")</f>
        <v/>
      </c>
      <c r="O52" s="619" t="str">
        <f t="array" ref="O52">IFERROR(INDEX(Analytica!$F$59:$AY$138,MATCH($B52,Analytica!$B$59:$B$168,0),MATCH(O$15&amp;O$10,Analytica!$F$58:$AY$58&amp;Analytica!$F$51:'Analytica'!$AY$51,0)),"")</f>
        <v/>
      </c>
      <c r="P52" s="619" t="str">
        <f t="array" ref="P52">IFERROR(INDEX(Analytica!$F$59:$AY$138,MATCH($B52,Analytica!$B$59:$B$168,0),MATCH(P$15&amp;P$10,Analytica!$F$58:$AY$58&amp;Analytica!$F$51:'Analytica'!$AY$51,0)),"")</f>
        <v/>
      </c>
      <c r="Q52" s="619" t="str">
        <f t="array" ref="Q52">IFERROR(INDEX(Analytica!$F$59:$AY$138,MATCH($B52,Analytica!$B$59:$B$168,0),MATCH(Q$15&amp;Q$10,Analytica!$F$58:$AY$58&amp;Analytica!$F$51:'Analytica'!$AY$51,0)),"")</f>
        <v/>
      </c>
      <c r="R52" s="619" t="str">
        <f t="array" ref="R52">IFERROR(INDEX(Analytica!$F$59:$AY$138,MATCH($B52,Analytica!$B$59:$B$168,0),MATCH(R$15&amp;R$10,Analytica!$F$58:$AY$58&amp;Analytica!$F$51:'Analytica'!$AY$51,0)),"")</f>
        <v/>
      </c>
      <c r="S52" s="619" t="str">
        <f t="array" ref="S52">IFERROR(INDEX(Analytica!$F$59:$AY$138,MATCH($B52,Analytica!$B$59:$B$168,0),MATCH(S$15&amp;S$10,Analytica!$F$58:$AY$58&amp;Analytica!$F$51:'Analytica'!$AY$51,0)),"")</f>
        <v/>
      </c>
      <c r="T52" s="619" t="str">
        <f t="array" ref="T52">IFERROR(INDEX(Analytica!$F$59:$AY$138,MATCH($B52,Analytica!$B$59:$B$168,0),MATCH(T$15&amp;T$10,Analytica!$F$58:$AY$58&amp;Analytica!$F$51:'Analytica'!$AY$51,0)),"")</f>
        <v/>
      </c>
      <c r="U52" s="619" t="str">
        <f t="array" ref="U52">IFERROR(INDEX(Analytica!$F$59:$AY$138,MATCH($B52,Analytica!$B$59:$B$168,0),MATCH(U$15&amp;U$10,Analytica!$F$58:$AY$58&amp;Analytica!$F$51:'Analytica'!$AY$51,0)),"")</f>
        <v/>
      </c>
      <c r="V52" s="619" t="str">
        <f t="array" ref="V52">IFERROR(INDEX(Analytica!$F$59:$AY$138,MATCH($B52,Analytica!$B$59:$B$168,0),MATCH(V$15&amp;V$10,Analytica!$F$58:$AY$58&amp;Analytica!$F$51:'Analytica'!$AY$51,0)),"")</f>
        <v/>
      </c>
      <c r="W52" s="619" t="str">
        <f t="array" ref="W52">IFERROR(INDEX(Analytica!$F$59:$AY$138,MATCH($B52,Analytica!$B$59:$B$168,0),MATCH(W$15&amp;W$10,Analytica!$F$58:$AY$58&amp;Analytica!$F$51:'Analytica'!$AY$51,0)),"")</f>
        <v/>
      </c>
      <c r="X52" s="619" t="str">
        <f t="array" ref="X52">IFERROR(INDEX(Analytica!$F$59:$AY$138,MATCH($B52,Analytica!$B$59:$B$168,0),MATCH(X$15&amp;X$10,Analytica!$F$58:$AY$58&amp;Analytica!$F$51:'Analytica'!$AY$51,0)),"")</f>
        <v/>
      </c>
      <c r="Y52" s="689"/>
      <c r="Z52" s="689">
        <f t="shared" si="9"/>
        <v>0</v>
      </c>
      <c r="AA52" s="689">
        <f>IF(AC52,base.year+$AA$12,base.year+$AA$10)</f>
        <v>2018</v>
      </c>
      <c r="AB52" s="1">
        <f t="shared" ca="1" si="10"/>
        <v>35</v>
      </c>
    </row>
    <row r="53" spans="1:29" x14ac:dyDescent="0.2">
      <c r="A53" s="190" t="str">
        <f>ITEMS_nTech!C44</f>
        <v>Transport Passenger BRT Oil Diesel-N</v>
      </c>
      <c r="B53" s="190" t="str">
        <f>D53&amp;RIGHT(C53,3)&amp;"-N"</f>
        <v>TPPUBRTODS-N</v>
      </c>
      <c r="C53" s="611" t="str">
        <f>$D$6</f>
        <v>TRAODS</v>
      </c>
      <c r="D53" s="611" t="str">
        <f>TRP!$B$26</f>
        <v>TPPUBRT</v>
      </c>
      <c r="E53" s="692">
        <f t="array" ref="E53">IFERROR(INDEX(Analytica!$F$59:$AY$138,MATCH($B53,Analytica!$B$59:$B$168,0),MATCH(E$15&amp;E$10,Analytica!$F$58:$AY$58&amp;Analytica!$F$51:'Analytica'!$AY$51,0)),"")</f>
        <v>6.5323297732971908E-2</v>
      </c>
      <c r="F53" s="692">
        <f t="array" ref="F53">IFERROR(INDEX(Analytica!$F$59:$AY$138,MATCH($B53,Analytica!$B$59:$B$168,0),MATCH(F$15&amp;F$10,Analytica!$F$58:$AY$58&amp;Analytica!$F$51:'Analytica'!$AY$51,0)),"")</f>
        <v>7.043085277768743E-2</v>
      </c>
      <c r="G53" s="692">
        <f t="array" ref="G53">IFERROR(INDEX(Analytica!$F$59:$AY$138,MATCH($B53,Analytica!$B$59:$B$168,0),MATCH(G$15&amp;G$10,Analytica!$F$58:$AY$58&amp;Analytica!$F$51:'Analytica'!$AY$51,0)),"")</f>
        <v>7.7877320574937056E-2</v>
      </c>
      <c r="H53" s="692">
        <f t="array" ref="H53">IFERROR(INDEX(Analytica!$F$59:$AY$138,MATCH($B53,Analytica!$B$59:$B$168,0),MATCH(H$15&amp;H$10,Analytica!$F$58:$AY$58&amp;Analytica!$F$51:'Analytica'!$AY$51,0)),"")</f>
        <v>8.6111083718879447E-2</v>
      </c>
      <c r="I53" s="914">
        <v>1</v>
      </c>
      <c r="J53" s="914">
        <v>1</v>
      </c>
      <c r="K53" s="914">
        <v>1</v>
      </c>
      <c r="L53" s="914">
        <v>1</v>
      </c>
      <c r="M53" s="914">
        <v>1</v>
      </c>
      <c r="N53" s="692">
        <f t="array" ref="N53">IFERROR(INDEX(Analytica!$F$59:$AY$138,MATCH($B53,Analytica!$B$59:$B$168,0),MATCH(N$15&amp;N$10,Analytica!$F$58:$AY$58&amp;Analytica!$F$51:'Analytica'!$AY$51,0)),"")</f>
        <v>0.06</v>
      </c>
      <c r="O53" s="981">
        <f>INDEX(CostProjections!$N$11:$W$93,MATCH($B53,CostProjections!$L$11:$L$93,0),MATCH(O$15,CostProjections!$N$10:$W$10,0))*0.001</f>
        <v>1674.9173571001118</v>
      </c>
      <c r="P53" s="981">
        <f>INDEX(CostProjections!$N$11:$W$93,MATCH($B53,CostProjections!$L$11:$L$93,0),MATCH(P$15,CostProjections!$N$10:$W$10,0))*0.001</f>
        <v>1691.733661492832</v>
      </c>
      <c r="Q53" s="981">
        <f>INDEX(CostProjections!$N$11:$W$93,MATCH($B53,CostProjections!$L$11:$L$93,0),MATCH(Q$15,CostProjections!$N$10:$W$10,0))*0.001</f>
        <v>1708.7188029283056</v>
      </c>
      <c r="R53" s="981">
        <f>INDEX(CostProjections!$N$11:$W$93,MATCH($B53,CostProjections!$L$11:$L$93,0),MATCH(R$15,CostProjections!$N$10:$W$10,0))*0.001</f>
        <v>1725.8744765439624</v>
      </c>
      <c r="S53" s="981">
        <f>INDEX(CostProjections!$N$11:$W$93,MATCH($B53,CostProjections!$L$11:$L$93,0),MATCH(S$15,CostProjections!$N$10:$W$10,0))*0.001</f>
        <v>1743.2023944965467</v>
      </c>
      <c r="T53" s="981">
        <f>INDEX(CostProjections!$N$11:$W$93,MATCH($B53,CostProjections!$L$11:$L$93,0),MATCH(T$15,CostProjections!$N$10:$W$10,0))*0.001</f>
        <v>1778.3818981630261</v>
      </c>
      <c r="U53" s="982">
        <f>INDEX(CostProjections!$Y$11:$AH$93,MATCH($B53,CostProjections!$L$11:$L$93,0),MATCH(U$15,CostProjections!$Y$10:$AH$10,0))*0.001</f>
        <v>45.222768641703013</v>
      </c>
      <c r="V53" s="982">
        <f>INDEX(CostProjections!$Y$11:$AH$93,MATCH($B53,CostProjections!$L$11:$L$93,0),MATCH(V$15,CostProjections!$Y$10:$AH$10,0))*0.001</f>
        <v>46.135407679064251</v>
      </c>
      <c r="W53" s="982">
        <f>INDEX(CostProjections!$Y$11:$AH$93,MATCH($B53,CostProjections!$L$11:$L$93,0),MATCH(W$15,CostProjections!$Y$10:$AH$10,0))*0.001</f>
        <v>47.066464651406761</v>
      </c>
      <c r="X53" s="982">
        <f>INDEX(CostProjections!$Y$11:$AH$93,MATCH($B53,CostProjections!$L$11:$L$93,0),MATCH(X$15,CostProjections!$Y$10:$AH$10,0))*0.001</f>
        <v>48.016311250401699</v>
      </c>
      <c r="Y53" s="689">
        <f>Y51</f>
        <v>20</v>
      </c>
      <c r="Z53" s="689">
        <f t="shared" si="9"/>
        <v>20</v>
      </c>
      <c r="AA53" s="689">
        <v>2013</v>
      </c>
      <c r="AB53" s="1">
        <f t="shared" ca="1" si="10"/>
        <v>36</v>
      </c>
    </row>
    <row r="54" spans="1:29" x14ac:dyDescent="0.2">
      <c r="A54" s="190" t="str">
        <f>ITEMS_nTech!C45</f>
        <v>Transport Passenger BRT Gas-N</v>
      </c>
      <c r="B54" s="190" t="str">
        <f>D54&amp;RIGHT(C54,3)&amp;"-N"</f>
        <v>TPPUBRTGAS-N</v>
      </c>
      <c r="C54" s="611" t="str">
        <f>$F$6</f>
        <v>TRAGAS</v>
      </c>
      <c r="D54" s="611" t="str">
        <f>TRP!$B$26</f>
        <v>TPPUBRT</v>
      </c>
      <c r="E54" s="692">
        <f t="array" ref="E54">IFERROR(INDEX(Analytica!$F$59:$AY$138,MATCH($B54,Analytica!$B$59:$B$168,0),MATCH(E$15&amp;E$10,Analytica!$F$58:$AY$58&amp;Analytica!$F$51:'Analytica'!$AY$51,0)),"")</f>
        <v>5.6802867593888626E-2</v>
      </c>
      <c r="F54" s="692">
        <f t="array" ref="F54">IFERROR(INDEX(Analytica!$F$59:$AY$138,MATCH($B54,Analytica!$B$59:$B$168,0),MATCH(F$15&amp;F$10,Analytica!$F$58:$AY$58&amp;Analytica!$F$51:'Analytica'!$AY$51,0)),"")</f>
        <v>6.1244219806684722E-2</v>
      </c>
      <c r="G54" s="692">
        <f t="array" ref="G54">IFERROR(INDEX(Analytica!$F$59:$AY$138,MATCH($B54,Analytica!$B$59:$B$168,0),MATCH(G$15&amp;G$10,Analytica!$F$58:$AY$58&amp;Analytica!$F$51:'Analytica'!$AY$51,0)),"")</f>
        <v>6.7719409195597449E-2</v>
      </c>
      <c r="H54" s="692">
        <f t="array" ref="H54">IFERROR(INDEX(Analytica!$F$59:$AY$138,MATCH($B54,Analytica!$B$59:$B$168,0),MATCH(H$15&amp;H$10,Analytica!$F$58:$AY$58&amp;Analytica!$F$51:'Analytica'!$AY$51,0)),"")</f>
        <v>7.4879203233808214E-2</v>
      </c>
      <c r="I54" s="914">
        <v>1</v>
      </c>
      <c r="J54" s="914">
        <v>1</v>
      </c>
      <c r="K54" s="914">
        <v>1</v>
      </c>
      <c r="L54" s="914">
        <v>1</v>
      </c>
      <c r="M54" s="914">
        <v>1</v>
      </c>
      <c r="N54" s="692">
        <f t="array" ref="N54">IFERROR(INDEX(Analytica!$F$59:$AY$138,MATCH($B54,Analytica!$B$59:$B$168,0),MATCH(N$15&amp;N$10,Analytica!$F$58:$AY$58&amp;Analytica!$F$51:'Analytica'!$AY$51,0)),"")</f>
        <v>0.06</v>
      </c>
      <c r="O54" s="981">
        <f>INDEX(CostProjections!$N$11:$W$93,MATCH($B54,CostProjections!$L$11:$L$93,0),MATCH(O$15,CostProjections!$N$10:$W$10,0))*0.001</f>
        <v>1775.901197692195</v>
      </c>
      <c r="P54" s="981">
        <f>INDEX(CostProjections!$N$11:$W$93,MATCH($B54,CostProjections!$L$11:$L$93,0),MATCH(P$15,CostProjections!$N$10:$W$10,0))*0.001</f>
        <v>1793.7313879312489</v>
      </c>
      <c r="Q54" s="981">
        <f>INDEX(CostProjections!$N$11:$W$93,MATCH($B54,CostProjections!$L$11:$L$93,0),MATCH(Q$15,CostProjections!$N$10:$W$10,0))*0.001</f>
        <v>1811.7405947081456</v>
      </c>
      <c r="R54" s="981">
        <f>INDEX(CostProjections!$N$11:$W$93,MATCH($B54,CostProjections!$L$11:$L$93,0),MATCH(R$15,CostProjections!$N$10:$W$10,0))*0.001</f>
        <v>1829.9306153632604</v>
      </c>
      <c r="S54" s="981">
        <f>INDEX(CostProjections!$N$11:$W$93,MATCH($B54,CostProjections!$L$11:$L$93,0),MATCH(S$15,CostProjections!$N$10:$W$10,0))*0.001</f>
        <v>1848.303265282409</v>
      </c>
      <c r="T54" s="981">
        <f>INDEX(CostProjections!$N$11:$W$93,MATCH($B54,CostProjections!$L$11:$L$93,0),MATCH(T$15,CostProjections!$N$10:$W$10,0))*0.001</f>
        <v>1885.603805772171</v>
      </c>
      <c r="U54" s="982">
        <f>INDEX(CostProjections!$Y$11:$AH$93,MATCH($B54,CostProjections!$L$11:$L$93,0),MATCH(U$15,CostProjections!$Y$10:$AH$10,0))*0.001</f>
        <v>47.94933233768927</v>
      </c>
      <c r="V54" s="982">
        <f>INDEX(CostProjections!$Y$11:$AH$93,MATCH($B54,CostProjections!$L$11:$L$93,0),MATCH(V$15,CostProjections!$Y$10:$AH$10,0))*0.001</f>
        <v>48.916996057119931</v>
      </c>
      <c r="W54" s="982">
        <f>INDEX(CostProjections!$Y$11:$AH$93,MATCH($B54,CostProjections!$L$11:$L$93,0),MATCH(W$15,CostProjections!$Y$10:$AH$10,0))*0.001</f>
        <v>49.90418816262504</v>
      </c>
      <c r="X54" s="982">
        <f>INDEX(CostProjections!$Y$11:$AH$93,MATCH($B54,CostProjections!$L$11:$L$93,0),MATCH(X$15,CostProjections!$Y$10:$AH$10,0))*0.001</f>
        <v>50.911302755848617</v>
      </c>
      <c r="Y54" s="689">
        <f>Y53</f>
        <v>20</v>
      </c>
      <c r="Z54" s="689">
        <f t="shared" si="9"/>
        <v>20</v>
      </c>
      <c r="AA54" s="919">
        <v>2080</v>
      </c>
      <c r="AB54" s="1">
        <f t="shared" ca="1" si="10"/>
        <v>37</v>
      </c>
      <c r="AC54" s="1">
        <v>1</v>
      </c>
    </row>
    <row r="55" spans="1:29" x14ac:dyDescent="0.2">
      <c r="A55" s="190" t="str">
        <f>ITEMS_nTech!C46</f>
        <v>Transport Passenger BRT Electricity-N</v>
      </c>
      <c r="B55" s="190" t="str">
        <f>D55&amp;RIGHT(C55,3)&amp;"-N"</f>
        <v>TPPUBRTELC-N</v>
      </c>
      <c r="C55" s="611" t="str">
        <f>$E$6</f>
        <v>TRAELC</v>
      </c>
      <c r="D55" s="611" t="str">
        <f>TRP!$B$26</f>
        <v>TPPUBRT</v>
      </c>
      <c r="E55" s="692">
        <f t="array" ref="E55">IFERROR(INDEX(Analytica!$F$59:$AY$138,MATCH($B55,Analytica!$B$59:$B$168,0),MATCH(E$15&amp;E$10,Analytica!$F$58:$AY$58&amp;Analytica!$F$51:'Analytica'!$AY$51,0)),"")</f>
        <v>0.21275823278067008</v>
      </c>
      <c r="F55" s="692">
        <f t="array" ref="F55">IFERROR(INDEX(Analytica!$F$59:$AY$138,MATCH($B55,Analytica!$B$59:$B$168,0),MATCH(F$15&amp;F$10,Analytica!$F$58:$AY$58&amp;Analytica!$F$51:'Analytica'!$AY$51,0)),"")</f>
        <v>0.22939355926993843</v>
      </c>
      <c r="G55" s="692">
        <f t="array" ref="G55">IFERROR(INDEX(Analytica!$F$59:$AY$138,MATCH($B55,Analytica!$B$59:$B$168,0),MATCH(G$15&amp;G$10,Analytica!$F$58:$AY$58&amp;Analytica!$F$51:'Analytica'!$AY$51,0)),"")</f>
        <v>0.25364673361942214</v>
      </c>
      <c r="H55" s="692">
        <f t="array" ref="H55">IFERROR(INDEX(Analytica!$F$59:$AY$138,MATCH($B55,Analytica!$B$59:$B$168,0),MATCH(H$15&amp;H$10,Analytica!$F$58:$AY$58&amp;Analytica!$F$51:'Analytica'!$AY$51,0)),"")</f>
        <v>0.28046413195103725</v>
      </c>
      <c r="I55" s="914">
        <v>1</v>
      </c>
      <c r="J55" s="914">
        <v>1</v>
      </c>
      <c r="K55" s="914">
        <v>1</v>
      </c>
      <c r="L55" s="914">
        <v>1</v>
      </c>
      <c r="M55" s="914">
        <v>1</v>
      </c>
      <c r="N55" s="692">
        <f t="array" ref="N55">IFERROR(INDEX(Analytica!$F$59:$AY$138,MATCH($B55,Analytica!$B$59:$B$168,0),MATCH(N$15&amp;N$10,Analytica!$F$58:$AY$58&amp;Analytica!$F$51:'Analytica'!$AY$51,0)),"")</f>
        <v>0.06</v>
      </c>
      <c r="O55" s="981">
        <f>INDEX(CostProjections!$N$11:$W$93,MATCH($B55,CostProjections!$L$11:$L$93,0),MATCH(O$15,CostProjections!$N$10:$W$10,0))*0.001</f>
        <v>2452.3455648171189</v>
      </c>
      <c r="P55" s="981">
        <f>INDEX(CostProjections!$N$11:$W$93,MATCH($B55,CostProjections!$L$11:$L$93,0),MATCH(P$15,CostProjections!$N$10:$W$10,0))*0.001</f>
        <v>1596.0965102300208</v>
      </c>
      <c r="Q55" s="981">
        <f>INDEX(CostProjections!$N$11:$W$93,MATCH($B55,CostProjections!$L$11:$L$93,0),MATCH(Q$15,CostProjections!$N$10:$W$10,0))*0.001</f>
        <v>1391.7374691959765</v>
      </c>
      <c r="R55" s="981">
        <f>INDEX(CostProjections!$N$11:$W$93,MATCH($B55,CostProjections!$L$11:$L$93,0),MATCH(R$15,CostProjections!$N$10:$W$10,0))*0.001</f>
        <v>1351.9136560713896</v>
      </c>
      <c r="S55" s="981">
        <f>INDEX(CostProjections!$N$11:$W$93,MATCH($B55,CostProjections!$L$11:$L$93,0),MATCH(S$15,CostProjections!$N$10:$W$10,0))*0.001</f>
        <v>1312.0898429468054</v>
      </c>
      <c r="T55" s="981">
        <f>INDEX(CostProjections!$N$11:$W$93,MATCH($B55,CostProjections!$L$11:$L$93,0),MATCH(T$15,CostProjections!$N$10:$W$10,0))*0.001</f>
        <v>1232.4422166976376</v>
      </c>
      <c r="U55" s="982">
        <f>INDEX(CostProjections!$Y$11:$AH$93,MATCH($B55,CostProjections!$L$11:$L$93,0),MATCH(U$15,CostProjections!$Y$10:$AH$10,0))*0.001</f>
        <v>49.659997687546664</v>
      </c>
      <c r="V55" s="982">
        <f>INDEX(CostProjections!$Y$11:$AH$93,MATCH($B55,CostProjections!$L$11:$L$93,0),MATCH(V$15,CostProjections!$Y$10:$AH$10,0))*0.001</f>
        <v>28.182683751218523</v>
      </c>
      <c r="W55" s="982">
        <f>INDEX(CostProjections!$Y$11:$AH$93,MATCH($B55,CostProjections!$L$11:$L$93,0),MATCH(W$15,CostProjections!$Y$10:$AH$10,0))*0.001</f>
        <v>26.569819319672813</v>
      </c>
      <c r="X55" s="982">
        <f>INDEX(CostProjections!$Y$11:$AH$93,MATCH($B55,CostProjections!$L$11:$L$93,0),MATCH(X$15,CostProjections!$Y$10:$AH$10,0))*0.001</f>
        <v>24.956954888127168</v>
      </c>
      <c r="Y55" s="689">
        <f>Y54</f>
        <v>20</v>
      </c>
      <c r="Z55" s="689">
        <f t="shared" si="9"/>
        <v>20</v>
      </c>
      <c r="AA55" s="919">
        <v>2040</v>
      </c>
      <c r="AB55" s="1">
        <f t="shared" ca="1" si="10"/>
        <v>38</v>
      </c>
      <c r="AC55" s="1">
        <v>1</v>
      </c>
    </row>
    <row r="56" spans="1:29" x14ac:dyDescent="0.2">
      <c r="A56" s="190" t="str">
        <f>ITEMS_nTech!C47</f>
        <v>Transport Passenger BRT Hydrogen-N</v>
      </c>
      <c r="B56" s="190" t="str">
        <f>D56&amp;RIGHT(C56,3)&amp;"F-N"</f>
        <v>TPPUBRTHGNF-N</v>
      </c>
      <c r="C56" s="611" t="str">
        <f>K6</f>
        <v>TRAHGN</v>
      </c>
      <c r="D56" s="611" t="str">
        <f>TRP!$B$26</f>
        <v>TPPUBRT</v>
      </c>
      <c r="E56" s="692">
        <f t="array" ref="E56">IFERROR(INDEX(Analytica!$F$59:$AY$138,MATCH($B56,Analytica!$B$59:$B$168,0),MATCH(E$15&amp;E$10,Analytica!$F$58:$AY$58&amp;Analytica!$F$51:'Analytica'!$AY$51,0)),"")</f>
        <v>0.13780930986929765</v>
      </c>
      <c r="F56" s="692">
        <f t="array" ref="F56">IFERROR(INDEX(Analytica!$F$59:$AY$138,MATCH($B56,Analytica!$B$59:$B$168,0),MATCH(F$15&amp;F$10,Analytica!$F$58:$AY$58&amp;Analytica!$F$51:'Analytica'!$AY$51,0)),"")</f>
        <v>0.14858446452711918</v>
      </c>
      <c r="G56" s="692">
        <f t="array" ref="G56">IFERROR(INDEX(Analytica!$F$59:$AY$138,MATCH($B56,Analytica!$B$59:$B$168,0),MATCH(G$15&amp;G$10,Analytica!$F$58:$AY$58&amp;Analytica!$F$51:'Analytica'!$AY$51,0)),"")</f>
        <v>0.16429390700348931</v>
      </c>
      <c r="H56" s="692">
        <f t="array" ref="H56">IFERROR(INDEX(Analytica!$F$59:$AY$138,MATCH($B56,Analytica!$B$59:$B$168,0),MATCH(H$15&amp;H$10,Analytica!$F$58:$AY$58&amp;Analytica!$F$51:'Analytica'!$AY$51,0)),"")</f>
        <v>0.18166426728646726</v>
      </c>
      <c r="I56" s="914">
        <v>1</v>
      </c>
      <c r="J56" s="914">
        <v>1</v>
      </c>
      <c r="K56" s="914">
        <v>1</v>
      </c>
      <c r="L56" s="914">
        <v>1</v>
      </c>
      <c r="M56" s="914">
        <v>1</v>
      </c>
      <c r="N56" s="692">
        <f t="array" ref="N56">IFERROR(INDEX(Analytica!$F$59:$AY$138,MATCH($B56,Analytica!$B$59:$B$168,0),MATCH(N$15&amp;N$10,Analytica!$F$58:$AY$58&amp;Analytica!$F$51:'Analytica'!$AY$51,0)),"")</f>
        <v>0.06</v>
      </c>
      <c r="O56" s="981">
        <f>INDEX(CostProjections!$N$11:$W$93,MATCH($B56,CostProjections!$L$11:$L$93,0),MATCH(O$15,CostProjections!$N$10:$W$10,0))*0.001</f>
        <v>3448.5361583131421</v>
      </c>
      <c r="P56" s="981">
        <f>INDEX(CostProjections!$N$11:$W$93,MATCH($B56,CostProjections!$L$11:$L$93,0),MATCH(P$15,CostProjections!$N$10:$W$10,0))*0.001</f>
        <v>2244.4620393847795</v>
      </c>
      <c r="Q56" s="981">
        <f>INDEX(CostProjections!$N$11:$W$93,MATCH($B56,CostProjections!$L$11:$L$93,0),MATCH(Q$15,CostProjections!$N$10:$W$10,0))*0.001</f>
        <v>1957.0883705206784</v>
      </c>
      <c r="R56" s="981">
        <f>INDEX(CostProjections!$N$11:$W$93,MATCH($B56,CostProjections!$L$11:$L$93,0),MATCH(R$15,CostProjections!$N$10:$W$10,0))*0.001</f>
        <v>1901.0873478702326</v>
      </c>
      <c r="S56" s="981">
        <f>INDEX(CostProjections!$N$11:$W$93,MATCH($B56,CostProjections!$L$11:$L$93,0),MATCH(S$15,CostProjections!$N$10:$W$10,0))*0.001</f>
        <v>1845.0863252197912</v>
      </c>
      <c r="T56" s="981">
        <f>INDEX(CostProjections!$N$11:$W$93,MATCH($B56,CostProjections!$L$11:$L$93,0),MATCH(T$15,CostProjections!$N$10:$W$10,0))*0.001</f>
        <v>1733.0842799189081</v>
      </c>
      <c r="U56" s="982">
        <f>INDEX(CostProjections!$Y$11:$AH$93,MATCH($B56,CostProjections!$L$11:$L$93,0),MATCH(U$15,CostProjections!$Y$10:$AH$10,0))*0.001</f>
        <v>93.11047627445484</v>
      </c>
      <c r="V56" s="982">
        <f>INDEX(CostProjections!$Y$11:$AH$93,MATCH($B56,CostProjections!$L$11:$L$93,0),MATCH(V$15,CostProjections!$Y$10:$AH$10,0))*0.001</f>
        <v>52.841386004058315</v>
      </c>
      <c r="W56" s="982">
        <f>INDEX(CostProjections!$Y$11:$AH$93,MATCH($B56,CostProjections!$L$11:$L$93,0),MATCH(W$15,CostProjections!$Y$10:$AH$10,0))*0.001</f>
        <v>49.817330780934363</v>
      </c>
      <c r="X56" s="982">
        <f>INDEX(CostProjections!$Y$11:$AH$93,MATCH($B56,CostProjections!$L$11:$L$93,0),MATCH(X$15,CostProjections!$Y$10:$AH$10,0))*0.001</f>
        <v>46.793275557810524</v>
      </c>
      <c r="Y56" s="689">
        <f>Y55</f>
        <v>20</v>
      </c>
      <c r="Z56" s="689">
        <f t="shared" si="9"/>
        <v>20</v>
      </c>
      <c r="AA56" s="919">
        <v>2040</v>
      </c>
      <c r="AB56" s="1">
        <f t="shared" ca="1" si="10"/>
        <v>39</v>
      </c>
      <c r="AC56" s="1">
        <v>1</v>
      </c>
    </row>
    <row r="57" spans="1:29" x14ac:dyDescent="0.2">
      <c r="A57" s="190" t="str">
        <f>ITEMS_nTech!C48</f>
        <v>Transport Passenger BRT Oil Blended Gasoline-Ethanol-E85-N</v>
      </c>
      <c r="B57" s="190" t="str">
        <f>D57&amp;RIGHT(C57,3)&amp;"-N"</f>
        <v>TPPUBRTBGS-N</v>
      </c>
      <c r="C57" s="611" t="str">
        <f>$L$6</f>
        <v>TRABGS</v>
      </c>
      <c r="D57" s="611" t="str">
        <f>TRP!$B$26</f>
        <v>TPPUBRT</v>
      </c>
      <c r="E57" s="692">
        <f t="array" ref="E57">IFERROR(INDEX(Analytica!$F$59:$AY$138,MATCH($B57,Analytica!$B$59:$B$168,0),MATCH(E$15&amp;E$10,Analytica!$F$58:$AY$58&amp;Analytica!$F$51:'Analytica'!$AY$51,0)),"")</f>
        <v>6.5323297732971908E-2</v>
      </c>
      <c r="F57" s="692">
        <f t="array" ref="F57">IFERROR(INDEX(Analytica!$F$59:$AY$138,MATCH($B57,Analytica!$B$59:$B$168,0),MATCH(F$15&amp;F$10,Analytica!$F$58:$AY$58&amp;Analytica!$F$51:'Analytica'!$AY$51,0)),"")</f>
        <v>7.043085277768743E-2</v>
      </c>
      <c r="G57" s="692">
        <f t="array" ref="G57">IFERROR(INDEX(Analytica!$F$59:$AY$138,MATCH($B57,Analytica!$B$59:$B$168,0),MATCH(G$15&amp;G$10,Analytica!$F$58:$AY$58&amp;Analytica!$F$51:'Analytica'!$AY$51,0)),"")</f>
        <v>7.7877320574937056E-2</v>
      </c>
      <c r="H57" s="692">
        <f t="array" ref="H57">IFERROR(INDEX(Analytica!$F$59:$AY$138,MATCH($B57,Analytica!$B$59:$B$168,0),MATCH(H$15&amp;H$10,Analytica!$F$58:$AY$58&amp;Analytica!$F$51:'Analytica'!$AY$51,0)),"")</f>
        <v>8.6111083718879447E-2</v>
      </c>
      <c r="I57" s="914">
        <v>1</v>
      </c>
      <c r="J57" s="914">
        <v>1</v>
      </c>
      <c r="K57" s="914">
        <v>1</v>
      </c>
      <c r="L57" s="914">
        <v>1</v>
      </c>
      <c r="M57" s="914">
        <v>1</v>
      </c>
      <c r="N57" s="692">
        <f t="array" ref="N57">IFERROR(INDEX(Analytica!$F$59:$AY$138,MATCH($B57,Analytica!$B$59:$B$168,0),MATCH(N$15&amp;N$10,Analytica!$F$58:$AY$58&amp;Analytica!$F$51:'Analytica'!$AY$51,0)),"")</f>
        <v>0.06</v>
      </c>
      <c r="O57" s="981">
        <f>INDEX(CostProjections!$N$11:$W$93,MATCH($B57,CostProjections!$L$11:$L$93,0),MATCH(O$15,CostProjections!$N$10:$W$10,0))*0.001</f>
        <v>1674.9173571001118</v>
      </c>
      <c r="P57" s="981">
        <f>INDEX(CostProjections!$N$11:$W$93,MATCH($B57,CostProjections!$L$11:$L$93,0),MATCH(P$15,CostProjections!$N$10:$W$10,0))*0.001</f>
        <v>1691.733661492832</v>
      </c>
      <c r="Q57" s="981">
        <f>INDEX(CostProjections!$N$11:$W$93,MATCH($B57,CostProjections!$L$11:$L$93,0),MATCH(Q$15,CostProjections!$N$10:$W$10,0))*0.001</f>
        <v>1708.7188029283056</v>
      </c>
      <c r="R57" s="981">
        <f>INDEX(CostProjections!$N$11:$W$93,MATCH($B57,CostProjections!$L$11:$L$93,0),MATCH(R$15,CostProjections!$N$10:$W$10,0))*0.001</f>
        <v>1725.8744765439624</v>
      </c>
      <c r="S57" s="981">
        <f>INDEX(CostProjections!$N$11:$W$93,MATCH($B57,CostProjections!$L$11:$L$93,0),MATCH(S$15,CostProjections!$N$10:$W$10,0))*0.001</f>
        <v>1743.2023944965467</v>
      </c>
      <c r="T57" s="981">
        <f>INDEX(CostProjections!$N$11:$W$93,MATCH($B57,CostProjections!$L$11:$L$93,0),MATCH(T$15,CostProjections!$N$10:$W$10,0))*0.001</f>
        <v>1778.3818981630261</v>
      </c>
      <c r="U57" s="982">
        <f>INDEX(CostProjections!$Y$11:$AH$93,MATCH($B57,CostProjections!$L$11:$L$93,0),MATCH(U$15,CostProjections!$Y$10:$AH$10,0))*0.001</f>
        <v>45.222768641703013</v>
      </c>
      <c r="V57" s="982">
        <f>INDEX(CostProjections!$Y$11:$AH$93,MATCH($B57,CostProjections!$L$11:$L$93,0),MATCH(V$15,CostProjections!$Y$10:$AH$10,0))*0.001</f>
        <v>46.135407679064251</v>
      </c>
      <c r="W57" s="982">
        <f>INDEX(CostProjections!$Y$11:$AH$93,MATCH($B57,CostProjections!$L$11:$L$93,0),MATCH(W$15,CostProjections!$Y$10:$AH$10,0))*0.001</f>
        <v>47.066464651406761</v>
      </c>
      <c r="X57" s="982">
        <f>INDEX(CostProjections!$Y$11:$AH$93,MATCH($B57,CostProjections!$L$11:$L$93,0),MATCH(X$15,CostProjections!$Y$10:$AH$10,0))*0.001</f>
        <v>48.016311250401699</v>
      </c>
      <c r="Y57" s="689">
        <f>Y56</f>
        <v>20</v>
      </c>
      <c r="Z57" s="689">
        <f t="shared" si="9"/>
        <v>20</v>
      </c>
      <c r="AA57" s="850">
        <v>2080</v>
      </c>
      <c r="AB57" s="1">
        <f t="shared" ca="1" si="10"/>
        <v>40</v>
      </c>
      <c r="AC57" s="1">
        <v>1</v>
      </c>
    </row>
    <row r="58" spans="1:29" x14ac:dyDescent="0.2">
      <c r="A58" s="190" t="s">
        <v>1124</v>
      </c>
      <c r="B58" s="190"/>
      <c r="C58" s="611"/>
      <c r="D58" s="611"/>
      <c r="E58" s="692" t="str">
        <f t="array" ref="E58">IFERROR(INDEX(Analytica!$F$59:$AY$138,MATCH($B58,Analytica!$B$59:$B$168,0),MATCH(E$15&amp;E$10,Analytica!$F$58:$AY$58&amp;Analytica!$F$51:'Analytica'!$AY$51,0)),"")</f>
        <v/>
      </c>
      <c r="F58" s="692" t="str">
        <f t="array" ref="F58">IFERROR(INDEX(Analytica!$F$59:$AY$138,MATCH($B58,Analytica!$B$59:$B$168,0),MATCH(F$15&amp;F$10,Analytica!$F$58:$AY$58&amp;Analytica!$F$51:'Analytica'!$AY$51,0)),"")</f>
        <v/>
      </c>
      <c r="G58" s="692" t="str">
        <f t="array" ref="G58">IFERROR(INDEX(Analytica!$F$59:$AY$138,MATCH($B58,Analytica!$B$59:$B$168,0),MATCH(G$15&amp;G$10,Analytica!$F$58:$AY$58&amp;Analytica!$F$51:'Analytica'!$AY$51,0)),"")</f>
        <v/>
      </c>
      <c r="H58" s="692" t="str">
        <f t="array" ref="H58">IFERROR(INDEX(Analytica!$F$59:$AY$138,MATCH($B58,Analytica!$B$59:$B$168,0),MATCH(H$15&amp;H$10,Analytica!$F$58:$AY$58&amp;Analytica!$F$51:'Analytica'!$AY$51,0)),"")</f>
        <v/>
      </c>
      <c r="I58" s="914"/>
      <c r="J58" s="914"/>
      <c r="K58" s="914"/>
      <c r="L58" s="914"/>
      <c r="M58" s="914"/>
      <c r="N58" s="692" t="str">
        <f t="array" ref="N58">IFERROR(INDEX(Analytica!$F$59:$AY$138,MATCH($B58,Analytica!$B$59:$B$168,0),MATCH(N$15&amp;N$10,Analytica!$F$58:$AY$58&amp;Analytica!$F$51:'Analytica'!$AY$51,0)),"")</f>
        <v/>
      </c>
      <c r="O58" s="619" t="str">
        <f t="array" ref="O58">IFERROR(INDEX(Analytica!$F$59:$AY$138,MATCH($B58,Analytica!$B$59:$B$168,0),MATCH(O$15&amp;O$10,Analytica!$F$58:$AY$58&amp;Analytica!$F$51:'Analytica'!$AY$51,0)),"")</f>
        <v/>
      </c>
      <c r="P58" s="619" t="str">
        <f t="array" ref="P58">IFERROR(INDEX(Analytica!$F$59:$AY$138,MATCH($B58,Analytica!$B$59:$B$168,0),MATCH(P$15&amp;P$10,Analytica!$F$58:$AY$58&amp;Analytica!$F$51:'Analytica'!$AY$51,0)),"")</f>
        <v/>
      </c>
      <c r="Q58" s="619" t="str">
        <f t="array" ref="Q58">IFERROR(INDEX(Analytica!$F$59:$AY$138,MATCH($B58,Analytica!$B$59:$B$168,0),MATCH(Q$15&amp;Q$10,Analytica!$F$58:$AY$58&amp;Analytica!$F$51:'Analytica'!$AY$51,0)),"")</f>
        <v/>
      </c>
      <c r="R58" s="619" t="str">
        <f t="array" ref="R58">IFERROR(INDEX(Analytica!$F$59:$AY$138,MATCH($B58,Analytica!$B$59:$B$168,0),MATCH(R$15&amp;R$10,Analytica!$F$58:$AY$58&amp;Analytica!$F$51:'Analytica'!$AY$51,0)),"")</f>
        <v/>
      </c>
      <c r="S58" s="619" t="str">
        <f t="array" ref="S58">IFERROR(INDEX(Analytica!$F$59:$AY$138,MATCH($B58,Analytica!$B$59:$B$168,0),MATCH(S$15&amp;S$10,Analytica!$F$58:$AY$58&amp;Analytica!$F$51:'Analytica'!$AY$51,0)),"")</f>
        <v/>
      </c>
      <c r="T58" s="619" t="str">
        <f t="array" ref="T58">IFERROR(INDEX(Analytica!$F$59:$AY$138,MATCH($B58,Analytica!$B$59:$B$168,0),MATCH(T$15&amp;T$10,Analytica!$F$58:$AY$58&amp;Analytica!$F$51:'Analytica'!$AY$51,0)),"")</f>
        <v/>
      </c>
      <c r="U58" s="619" t="str">
        <f t="array" ref="U58">IFERROR(INDEX(Analytica!$F$59:$AY$138,MATCH($B58,Analytica!$B$59:$B$168,0),MATCH(U$15&amp;U$10,Analytica!$F$58:$AY$58&amp;Analytica!$F$51:'Analytica'!$AY$51,0)),"")</f>
        <v/>
      </c>
      <c r="V58" s="619" t="str">
        <f t="array" ref="V58">IFERROR(INDEX(Analytica!$F$59:$AY$138,MATCH($B58,Analytica!$B$59:$B$168,0),MATCH(V$15&amp;V$10,Analytica!$F$58:$AY$58&amp;Analytica!$F$51:'Analytica'!$AY$51,0)),"")</f>
        <v/>
      </c>
      <c r="W58" s="619" t="str">
        <f t="array" ref="W58">IFERROR(INDEX(Analytica!$F$59:$AY$138,MATCH($B58,Analytica!$B$59:$B$168,0),MATCH(W$15&amp;W$10,Analytica!$F$58:$AY$58&amp;Analytica!$F$51:'Analytica'!$AY$51,0)),"")</f>
        <v/>
      </c>
      <c r="X58" s="619" t="str">
        <f t="array" ref="X58">IFERROR(INDEX(Analytica!$F$59:$AY$138,MATCH($B58,Analytica!$B$59:$B$168,0),MATCH(X$15&amp;X$10,Analytica!$F$58:$AY$58&amp;Analytica!$F$51:'Analytica'!$AY$51,0)),"")</f>
        <v/>
      </c>
      <c r="Y58" s="689"/>
      <c r="Z58" s="689">
        <f t="shared" si="9"/>
        <v>0</v>
      </c>
      <c r="AA58" s="689">
        <f>IF(AC58,base.year+$AA$12,base.year+$AA$10)</f>
        <v>2018</v>
      </c>
      <c r="AB58" s="1">
        <f t="shared" ca="1" si="10"/>
        <v>41</v>
      </c>
    </row>
    <row r="59" spans="1:29" x14ac:dyDescent="0.2">
      <c r="A59" s="190" t="str">
        <f>ITEMS_nTech!C50</f>
        <v>Transport Passenger Metro Rail Electricity-N</v>
      </c>
      <c r="B59" s="190" t="str">
        <f>D59&amp;RIGHT(C59,3)&amp;"-N"</f>
        <v>TPPUMERELC-N</v>
      </c>
      <c r="C59" s="611" t="str">
        <f>$E$6</f>
        <v>TRAELC</v>
      </c>
      <c r="D59" s="611" t="str">
        <f>TRP!$B$27</f>
        <v>TPPUMER</v>
      </c>
      <c r="E59" s="696">
        <f>TRP!E79</f>
        <v>3.858057479967961</v>
      </c>
      <c r="F59" s="692">
        <f>E59</f>
        <v>3.858057479967961</v>
      </c>
      <c r="G59" s="692">
        <f>F59</f>
        <v>3.858057479967961</v>
      </c>
      <c r="H59" s="692">
        <f>G59</f>
        <v>3.858057479967961</v>
      </c>
      <c r="I59" s="914">
        <v>1</v>
      </c>
      <c r="J59" s="914">
        <v>1</v>
      </c>
      <c r="K59" s="914">
        <v>1</v>
      </c>
      <c r="L59" s="914">
        <v>1</v>
      </c>
      <c r="M59" s="914">
        <v>1</v>
      </c>
      <c r="N59" s="692">
        <f t="array" ref="N59">IFERROR(INDEX(Analytica!$F$59:$AY$138,MATCH($B59,Analytica!$B$59:$B$168,0),MATCH(N$15&amp;N$10,Analytica!$F$58:$AY$58&amp;Analytica!$F$51:'Analytica'!$AY$51,0)),"")</f>
        <v>1</v>
      </c>
      <c r="O59" s="692">
        <f t="array" ref="O59">IFERROR(INDEX(Analytica!$F$59:$AY$138,MATCH($B59,Analytica!$B$59:$B$168,0),MATCH(O$15&amp;O$10,Analytica!$F$58:$AY$58&amp;Analytica!$F$51:'Analytica'!$AY$51,0)),"")</f>
        <v>1E-3</v>
      </c>
      <c r="P59" s="692">
        <f t="array" ref="P59">IFERROR(INDEX(Analytica!$F$59:$AY$138,MATCH($B59,Analytica!$B$59:$B$168,0),MATCH(P$15&amp;P$10,Analytica!$F$58:$AY$58&amp;Analytica!$F$51:'Analytica'!$AY$51,0)),"")</f>
        <v>1E-3</v>
      </c>
      <c r="Q59" s="692">
        <f t="array" ref="Q59">IFERROR(INDEX(Analytica!$F$59:$AY$138,MATCH($B59,Analytica!$B$59:$B$168,0),MATCH(Q$15&amp;Q$10,Analytica!$F$58:$AY$58&amp;Analytica!$F$51:'Analytica'!$AY$51,0)),"")</f>
        <v>1E-3</v>
      </c>
      <c r="R59" s="692">
        <f t="array" ref="R59">IFERROR(INDEX(Analytica!$F$59:$AY$138,MATCH($B59,Analytica!$B$59:$B$168,0),MATCH(R$15&amp;R$10,Analytica!$F$58:$AY$58&amp;Analytica!$F$51:'Analytica'!$AY$51,0)),"")</f>
        <v>1E-3</v>
      </c>
      <c r="S59" s="692">
        <f t="array" ref="S59">IFERROR(INDEX(Analytica!$F$59:$AY$138,MATCH($B59,Analytica!$B$59:$B$168,0),MATCH(S$15&amp;S$10,Analytica!$F$58:$AY$58&amp;Analytica!$F$51:'Analytica'!$AY$51,0)),"")</f>
        <v>1E-3</v>
      </c>
      <c r="T59" s="692">
        <f t="array" ref="T59">IFERROR(INDEX(Analytica!$F$59:$AY$138,MATCH($B59,Analytica!$B$59:$B$168,0),MATCH(T$15&amp;T$10,Analytica!$F$58:$AY$58&amp;Analytica!$F$51:'Analytica'!$AY$51,0)),"")</f>
        <v>1E-3</v>
      </c>
      <c r="U59" s="692">
        <f t="array" ref="U59">IFERROR(INDEX(Analytica!$F$59:$AY$138,MATCH($B59,Analytica!$B$59:$B$168,0),MATCH(U$15&amp;U$10,Analytica!$F$58:$AY$58&amp;Analytica!$F$51:'Analytica'!$AY$51,0)),"")</f>
        <v>2.0250000000000001E-5</v>
      </c>
      <c r="V59" s="692">
        <f t="array" ref="V59">IFERROR(INDEX(Analytica!$F$59:$AY$138,MATCH($B59,Analytica!$B$59:$B$168,0),MATCH(V$15&amp;V$10,Analytica!$F$58:$AY$58&amp;Analytica!$F$51:'Analytica'!$AY$51,0)),"")</f>
        <v>2.0250000000000001E-5</v>
      </c>
      <c r="W59" s="692">
        <f t="array" ref="W59">IFERROR(INDEX(Analytica!$F$59:$AY$138,MATCH($B59,Analytica!$B$59:$B$168,0),MATCH(W$15&amp;W$10,Analytica!$F$58:$AY$58&amp;Analytica!$F$51:'Analytica'!$AY$51,0)),"")</f>
        <v>2.0250000000000001E-5</v>
      </c>
      <c r="X59" s="692">
        <f t="array" ref="X59">IFERROR(INDEX(Analytica!$F$59:$AY$138,MATCH($B59,Analytica!$B$59:$B$168,0),MATCH(X$15&amp;X$10,Analytica!$F$58:$AY$58&amp;Analytica!$F$51:'Analytica'!$AY$51,0)),"")</f>
        <v>2.0250000000000001E-5</v>
      </c>
      <c r="Y59" s="692">
        <v>50</v>
      </c>
      <c r="Z59" s="689">
        <f t="shared" si="9"/>
        <v>50</v>
      </c>
      <c r="AA59" s="689">
        <v>2013</v>
      </c>
      <c r="AB59" s="1">
        <f t="shared" ca="1" si="10"/>
        <v>42</v>
      </c>
    </row>
    <row r="60" spans="1:29" x14ac:dyDescent="0.2">
      <c r="A60" s="190" t="s">
        <v>1124</v>
      </c>
      <c r="B60" s="190"/>
      <c r="C60" s="611"/>
      <c r="D60" s="611"/>
      <c r="E60" s="692" t="str">
        <f t="array" ref="E60">IFERROR(INDEX(Analytica!$F$59:$AY$138,MATCH($B60,Analytica!$B$59:$B$168,0),MATCH(E$15&amp;E$10,Analytica!$F$58:$AY$58&amp;Analytica!$F$51:'Analytica'!$AY$51,0)),"")</f>
        <v/>
      </c>
      <c r="F60" s="692" t="str">
        <f t="array" ref="F60">IFERROR(INDEX(Analytica!$F$59:$AY$138,MATCH($B60,Analytica!$B$59:$B$168,0),MATCH(F$15&amp;F$10,Analytica!$F$58:$AY$58&amp;Analytica!$F$51:'Analytica'!$AY$51,0)),"")</f>
        <v/>
      </c>
      <c r="G60" s="692" t="str">
        <f t="array" ref="G60">IFERROR(INDEX(Analytica!$F$59:$AY$138,MATCH($B60,Analytica!$B$59:$B$168,0),MATCH(G$15&amp;G$10,Analytica!$F$58:$AY$58&amp;Analytica!$F$51:'Analytica'!$AY$51,0)),"")</f>
        <v/>
      </c>
      <c r="H60" s="692" t="str">
        <f t="array" ref="H60">IFERROR(INDEX(Analytica!$F$59:$AY$138,MATCH($B60,Analytica!$B$59:$B$168,0),MATCH(H$15&amp;H$10,Analytica!$F$58:$AY$58&amp;Analytica!$F$51:'Analytica'!$AY$51,0)),"")</f>
        <v/>
      </c>
      <c r="I60" s="914"/>
      <c r="J60" s="914"/>
      <c r="K60" s="914"/>
      <c r="L60" s="914"/>
      <c r="M60" s="914"/>
      <c r="N60" s="692" t="str">
        <f t="array" ref="N60">IFERROR(INDEX(Analytica!$F$59:$AY$138,MATCH($B60,Analytica!$B$59:$B$168,0),MATCH(N$15&amp;N$10,Analytica!$F$58:$AY$58&amp;Analytica!$F$51:'Analytica'!$AY$51,0)),"")</f>
        <v/>
      </c>
      <c r="O60" s="692" t="str">
        <f t="array" ref="O60">IFERROR(INDEX(Analytica!$F$59:$AY$138,MATCH($B60,Analytica!$B$59:$B$168,0),MATCH(O$15&amp;O$10,Analytica!$F$58:$AY$58&amp;Analytica!$F$51:'Analytica'!$AY$51,0)),"")</f>
        <v/>
      </c>
      <c r="P60" s="692" t="str">
        <f t="array" ref="P60">IFERROR(INDEX(Analytica!$F$59:$AY$138,MATCH($B60,Analytica!$B$59:$B$168,0),MATCH(P$15&amp;P$10,Analytica!$F$58:$AY$58&amp;Analytica!$F$51:'Analytica'!$AY$51,0)),"")</f>
        <v/>
      </c>
      <c r="Q60" s="692" t="str">
        <f t="array" ref="Q60">IFERROR(INDEX(Analytica!$F$59:$AY$138,MATCH($B60,Analytica!$B$59:$B$168,0),MATCH(Q$15&amp;Q$10,Analytica!$F$58:$AY$58&amp;Analytica!$F$51:'Analytica'!$AY$51,0)),"")</f>
        <v/>
      </c>
      <c r="R60" s="692" t="str">
        <f t="array" ref="R60">IFERROR(INDEX(Analytica!$F$59:$AY$138,MATCH($B60,Analytica!$B$59:$B$168,0),MATCH(R$15&amp;R$10,Analytica!$F$58:$AY$58&amp;Analytica!$F$51:'Analytica'!$AY$51,0)),"")</f>
        <v/>
      </c>
      <c r="S60" s="692" t="str">
        <f t="array" ref="S60">IFERROR(INDEX(Analytica!$F$59:$AY$138,MATCH($B60,Analytica!$B$59:$B$168,0),MATCH(S$15&amp;S$10,Analytica!$F$58:$AY$58&amp;Analytica!$F$51:'Analytica'!$AY$51,0)),"")</f>
        <v/>
      </c>
      <c r="T60" s="692" t="str">
        <f t="array" ref="T60">IFERROR(INDEX(Analytica!$F$59:$AY$138,MATCH($B60,Analytica!$B$59:$B$168,0),MATCH(T$15&amp;T$10,Analytica!$F$58:$AY$58&amp;Analytica!$F$51:'Analytica'!$AY$51,0)),"")</f>
        <v/>
      </c>
      <c r="U60" s="692" t="str">
        <f t="array" ref="U60">IFERROR(INDEX(Analytica!$F$59:$AY$138,MATCH($B60,Analytica!$B$59:$B$168,0),MATCH(U$15&amp;U$10,Analytica!$F$58:$AY$58&amp;Analytica!$F$51:'Analytica'!$AY$51,0)),"")</f>
        <v/>
      </c>
      <c r="V60" s="692" t="str">
        <f t="array" ref="V60">IFERROR(INDEX(Analytica!$F$59:$AY$138,MATCH($B60,Analytica!$B$59:$B$168,0),MATCH(V$15&amp;V$10,Analytica!$F$58:$AY$58&amp;Analytica!$F$51:'Analytica'!$AY$51,0)),"")</f>
        <v/>
      </c>
      <c r="W60" s="692" t="str">
        <f t="array" ref="W60">IFERROR(INDEX(Analytica!$F$59:$AY$138,MATCH($B60,Analytica!$B$59:$B$168,0),MATCH(W$15&amp;W$10,Analytica!$F$58:$AY$58&amp;Analytica!$F$51:'Analytica'!$AY$51,0)),"")</f>
        <v/>
      </c>
      <c r="X60" s="692" t="str">
        <f t="array" ref="X60">IFERROR(INDEX(Analytica!$F$59:$AY$138,MATCH($B60,Analytica!$B$59:$B$168,0),MATCH(X$15&amp;X$10,Analytica!$F$58:$AY$58&amp;Analytica!$F$51:'Analytica'!$AY$51,0)),"")</f>
        <v/>
      </c>
      <c r="Y60" s="692" t="str">
        <f t="array" ref="Y60">IFERROR(INDEX(Analytica!$F$59:$AY$138,MATCH($B60,Analytica!$B$59:$B$168,0),MATCH(Y$15&amp;Y$10,Analytica!$F$58:$AY$58&amp;Analytica!$F$51:'Analytica'!$AY$51,0)),"")</f>
        <v/>
      </c>
      <c r="Z60" s="689" t="str">
        <f t="shared" si="9"/>
        <v/>
      </c>
      <c r="AA60" s="689">
        <f>IF(AC60,base.year+$AA$12,base.year+$AA$10)</f>
        <v>2018</v>
      </c>
      <c r="AB60" s="1">
        <f t="shared" ca="1" si="10"/>
        <v>43</v>
      </c>
    </row>
    <row r="61" spans="1:29" x14ac:dyDescent="0.2">
      <c r="A61" s="190" t="str">
        <f>ITEMS_nTech!C52</f>
        <v>Transport Passenger Gautrain Electricity-N</v>
      </c>
      <c r="B61" s="190" t="str">
        <f>D61&amp;RIGHT(C61,3)&amp;"-N"</f>
        <v>TPPUGATELC-N</v>
      </c>
      <c r="C61" s="611" t="str">
        <f>$E$6</f>
        <v>TRAELC</v>
      </c>
      <c r="D61" s="611" t="str">
        <f>TRP!B28</f>
        <v>TPPUGAT</v>
      </c>
      <c r="E61" s="692">
        <f t="array" ref="E61">IFERROR(INDEX(Analytica!$F$59:$AY$138,MATCH($B61,Analytica!$B$59:$B$168,0),MATCH(E$15&amp;E$10,Analytica!$F$58:$AY$58&amp;Analytica!$F$51:'Analytica'!$AY$51,0)),"")</f>
        <v>7.0026980278615358</v>
      </c>
      <c r="F61" s="692">
        <f t="array" ref="F61">IFERROR(INDEX(Analytica!$F$59:$AY$138,MATCH($B61,Analytica!$B$59:$B$168,0),MATCH(F$15&amp;F$10,Analytica!$F$58:$AY$58&amp;Analytica!$F$51:'Analytica'!$AY$51,0)),"")</f>
        <v>7.0026980278615358</v>
      </c>
      <c r="G61" s="692">
        <f t="array" ref="G61">IFERROR(INDEX(Analytica!$F$59:$AY$138,MATCH($B61,Analytica!$B$59:$B$168,0),MATCH(G$15&amp;G$10,Analytica!$F$58:$AY$58&amp;Analytica!$F$51:'Analytica'!$AY$51,0)),"")</f>
        <v>7.0026980278615358</v>
      </c>
      <c r="H61" s="692">
        <f t="array" ref="H61">IFERROR(INDEX(Analytica!$F$59:$AY$138,MATCH($B61,Analytica!$B$59:$B$168,0),MATCH(H$15&amp;H$10,Analytica!$F$58:$AY$58&amp;Analytica!$F$51:'Analytica'!$AY$51,0)),"")</f>
        <v>7.0026980278615358</v>
      </c>
      <c r="I61" s="914">
        <v>1</v>
      </c>
      <c r="J61" s="914">
        <v>1</v>
      </c>
      <c r="K61" s="914">
        <v>1</v>
      </c>
      <c r="L61" s="914">
        <v>1</v>
      </c>
      <c r="M61" s="914">
        <v>1</v>
      </c>
      <c r="N61" s="692">
        <f t="array" ref="N61">IFERROR(INDEX(Analytica!$F$59:$AY$138,MATCH($B61,Analytica!$B$59:$B$168,0),MATCH(N$15&amp;N$10,Analytica!$F$58:$AY$58&amp;Analytica!$F$51:'Analytica'!$AY$51,0)),"")</f>
        <v>1</v>
      </c>
      <c r="O61" s="692">
        <f t="array" ref="O61">IFERROR(INDEX(Analytica!$F$59:$AY$138,MATCH($B61,Analytica!$B$59:$B$168,0),MATCH(O$15&amp;O$10,Analytica!$F$58:$AY$58&amp;Analytica!$F$51:'Analytica'!$AY$51,0)),"")</f>
        <v>1E-3</v>
      </c>
      <c r="P61" s="692">
        <f t="array" ref="P61">IFERROR(INDEX(Analytica!$F$59:$AY$138,MATCH($B61,Analytica!$B$59:$B$168,0),MATCH(P$15&amp;P$10,Analytica!$F$58:$AY$58&amp;Analytica!$F$51:'Analytica'!$AY$51,0)),"")</f>
        <v>1E-3</v>
      </c>
      <c r="Q61" s="692">
        <f t="array" ref="Q61">IFERROR(INDEX(Analytica!$F$59:$AY$138,MATCH($B61,Analytica!$B$59:$B$168,0),MATCH(Q$15&amp;Q$10,Analytica!$F$58:$AY$58&amp;Analytica!$F$51:'Analytica'!$AY$51,0)),"")</f>
        <v>1E-3</v>
      </c>
      <c r="R61" s="692">
        <f t="array" ref="R61">IFERROR(INDEX(Analytica!$F$59:$AY$138,MATCH($B61,Analytica!$B$59:$B$168,0),MATCH(R$15&amp;R$10,Analytica!$F$58:$AY$58&amp;Analytica!$F$51:'Analytica'!$AY$51,0)),"")</f>
        <v>1E-3</v>
      </c>
      <c r="S61" s="692">
        <f t="array" ref="S61">IFERROR(INDEX(Analytica!$F$59:$AY$138,MATCH($B61,Analytica!$B$59:$B$168,0),MATCH(S$15&amp;S$10,Analytica!$F$58:$AY$58&amp;Analytica!$F$51:'Analytica'!$AY$51,0)),"")</f>
        <v>1E-3</v>
      </c>
      <c r="T61" s="692">
        <f t="array" ref="T61">IFERROR(INDEX(Analytica!$F$59:$AY$138,MATCH($B61,Analytica!$B$59:$B$168,0),MATCH(T$15&amp;T$10,Analytica!$F$58:$AY$58&amp;Analytica!$F$51:'Analytica'!$AY$51,0)),"")</f>
        <v>1E-3</v>
      </c>
      <c r="U61" s="692">
        <f t="array" ref="U61">IFERROR(INDEX(Analytica!$F$59:$AY$138,MATCH($B61,Analytica!$B$59:$B$168,0),MATCH(U$15&amp;U$10,Analytica!$F$58:$AY$58&amp;Analytica!$F$51:'Analytica'!$AY$51,0)),"")</f>
        <v>2.0250000000000001E-5</v>
      </c>
      <c r="V61" s="692">
        <f t="array" ref="V61">IFERROR(INDEX(Analytica!$F$59:$AY$138,MATCH($B61,Analytica!$B$59:$B$168,0),MATCH(V$15&amp;V$10,Analytica!$F$58:$AY$58&amp;Analytica!$F$51:'Analytica'!$AY$51,0)),"")</f>
        <v>2.0250000000000001E-5</v>
      </c>
      <c r="W61" s="692">
        <f t="array" ref="W61">IFERROR(INDEX(Analytica!$F$59:$AY$138,MATCH($B61,Analytica!$B$59:$B$168,0),MATCH(W$15&amp;W$10,Analytica!$F$58:$AY$58&amp;Analytica!$F$51:'Analytica'!$AY$51,0)),"")</f>
        <v>2.0250000000000001E-5</v>
      </c>
      <c r="X61" s="692">
        <f t="array" ref="X61">IFERROR(INDEX(Analytica!$F$59:$AY$138,MATCH($B61,Analytica!$B$59:$B$168,0),MATCH(X$15&amp;X$10,Analytica!$F$58:$AY$58&amp;Analytica!$F$51:'Analytica'!$AY$51,0)),"")</f>
        <v>2.0250000000000001E-5</v>
      </c>
      <c r="Y61" s="692">
        <v>50</v>
      </c>
      <c r="Z61" s="689">
        <f t="shared" si="9"/>
        <v>50</v>
      </c>
      <c r="AA61" s="689">
        <v>2013</v>
      </c>
      <c r="AB61" s="1">
        <f t="shared" ca="1" si="10"/>
        <v>44</v>
      </c>
    </row>
    <row r="62" spans="1:29" x14ac:dyDescent="0.2">
      <c r="A62" s="190" t="s">
        <v>1124</v>
      </c>
      <c r="B62" s="190"/>
      <c r="C62" s="611"/>
      <c r="D62" s="611"/>
      <c r="E62" s="692" t="str">
        <f t="array" ref="E62">IFERROR(INDEX(Analytica!$F$59:$AY$138,MATCH($B62,Analytica!$B$59:$B$168,0),MATCH(E$15&amp;E$10,Analytica!$F$58:$AY$58&amp;Analytica!$F$51:'Analytica'!$AY$51,0)),"")</f>
        <v/>
      </c>
      <c r="F62" s="692" t="str">
        <f t="array" ref="F62">IFERROR(INDEX(Analytica!$F$59:$AY$138,MATCH($B62,Analytica!$B$59:$B$168,0),MATCH(F$15&amp;F$10,Analytica!$F$58:$AY$58&amp;Analytica!$F$51:'Analytica'!$AY$51,0)),"")</f>
        <v/>
      </c>
      <c r="G62" s="692" t="str">
        <f t="array" ref="G62">IFERROR(INDEX(Analytica!$F$59:$AY$138,MATCH($B62,Analytica!$B$59:$B$168,0),MATCH(G$15&amp;G$10,Analytica!$F$58:$AY$58&amp;Analytica!$F$51:'Analytica'!$AY$51,0)),"")</f>
        <v/>
      </c>
      <c r="H62" s="692" t="str">
        <f t="array" ref="H62">IFERROR(INDEX(Analytica!$F$59:$AY$138,MATCH($B62,Analytica!$B$59:$B$168,0),MATCH(H$15&amp;H$10,Analytica!$F$58:$AY$58&amp;Analytica!$F$51:'Analytica'!$AY$51,0)),"")</f>
        <v/>
      </c>
      <c r="I62" s="914"/>
      <c r="J62" s="914"/>
      <c r="K62" s="914"/>
      <c r="L62" s="914"/>
      <c r="M62" s="914"/>
      <c r="N62" s="692" t="str">
        <f t="array" ref="N62">IFERROR(INDEX(Analytica!$F$59:$AY$138,MATCH($B62,Analytica!$B$59:$B$168,0),MATCH(N$15&amp;N$10,Analytica!$F$58:$AY$58&amp;Analytica!$F$51:'Analytica'!$AY$51,0)),"")</f>
        <v/>
      </c>
      <c r="O62" s="619" t="str">
        <f t="array" ref="O62">IFERROR(INDEX(Analytica!$F$59:$AY$138,MATCH($B62,Analytica!$B$59:$B$168,0),MATCH(O$15&amp;O$10,Analytica!$F$58:$AY$58&amp;Analytica!$F$51:'Analytica'!$AY$51,0)),"")</f>
        <v/>
      </c>
      <c r="P62" s="619" t="str">
        <f t="array" ref="P62">IFERROR(INDEX(Analytica!$F$59:$AY$138,MATCH($B62,Analytica!$B$59:$B$168,0),MATCH(P$15&amp;P$10,Analytica!$F$58:$AY$58&amp;Analytica!$F$51:'Analytica'!$AY$51,0)),"")</f>
        <v/>
      </c>
      <c r="Q62" s="619" t="str">
        <f t="array" ref="Q62">IFERROR(INDEX(Analytica!$F$59:$AY$138,MATCH($B62,Analytica!$B$59:$B$168,0),MATCH(Q$15&amp;Q$10,Analytica!$F$58:$AY$58&amp;Analytica!$F$51:'Analytica'!$AY$51,0)),"")</f>
        <v/>
      </c>
      <c r="R62" s="619" t="str">
        <f t="array" ref="R62">IFERROR(INDEX(Analytica!$F$59:$AY$138,MATCH($B62,Analytica!$B$59:$B$168,0),MATCH(R$15&amp;R$10,Analytica!$F$58:$AY$58&amp;Analytica!$F$51:'Analytica'!$AY$51,0)),"")</f>
        <v/>
      </c>
      <c r="S62" s="619" t="str">
        <f t="array" ref="S62">IFERROR(INDEX(Analytica!$F$59:$AY$138,MATCH($B62,Analytica!$B$59:$B$168,0),MATCH(S$15&amp;S$10,Analytica!$F$58:$AY$58&amp;Analytica!$F$51:'Analytica'!$AY$51,0)),"")</f>
        <v/>
      </c>
      <c r="T62" s="619" t="str">
        <f t="array" ref="T62">IFERROR(INDEX(Analytica!$F$59:$AY$138,MATCH($B62,Analytica!$B$59:$B$168,0),MATCH(T$15&amp;T$10,Analytica!$F$58:$AY$58&amp;Analytica!$F$51:'Analytica'!$AY$51,0)),"")</f>
        <v/>
      </c>
      <c r="U62" s="619" t="str">
        <f t="array" ref="U62">IFERROR(INDEX(Analytica!$F$59:$AY$138,MATCH($B62,Analytica!$B$59:$B$168,0),MATCH(U$15&amp;U$10,Analytica!$F$58:$AY$58&amp;Analytica!$F$51:'Analytica'!$AY$51,0)),"")</f>
        <v/>
      </c>
      <c r="V62" s="619" t="str">
        <f t="array" ref="V62">IFERROR(INDEX(Analytica!$F$59:$AY$138,MATCH($B62,Analytica!$B$59:$B$168,0),MATCH(V$15&amp;V$10,Analytica!$F$58:$AY$58&amp;Analytica!$F$51:'Analytica'!$AY$51,0)),"")</f>
        <v/>
      </c>
      <c r="W62" s="619" t="str">
        <f t="array" ref="W62">IFERROR(INDEX(Analytica!$F$59:$AY$138,MATCH($B62,Analytica!$B$59:$B$168,0),MATCH(W$15&amp;W$10,Analytica!$F$58:$AY$58&amp;Analytica!$F$51:'Analytica'!$AY$51,0)),"")</f>
        <v/>
      </c>
      <c r="X62" s="619" t="str">
        <f t="array" ref="X62">IFERROR(INDEX(Analytica!$F$59:$AY$138,MATCH($B62,Analytica!$B$59:$B$168,0),MATCH(X$15&amp;X$10,Analytica!$F$58:$AY$58&amp;Analytica!$F$51:'Analytica'!$AY$51,0)),"")</f>
        <v/>
      </c>
      <c r="Y62" s="689"/>
      <c r="Z62" s="689">
        <f t="shared" si="9"/>
        <v>0</v>
      </c>
      <c r="AA62" s="689">
        <f>IF(AC62,base.year+$AA$12,base.year+$AA$10)</f>
        <v>2018</v>
      </c>
      <c r="AB62" s="1">
        <f t="shared" ca="1" si="10"/>
        <v>45</v>
      </c>
    </row>
    <row r="63" spans="1:29" x14ac:dyDescent="0.2">
      <c r="A63" s="190" t="s">
        <v>1124</v>
      </c>
      <c r="B63" s="190"/>
      <c r="C63" s="611"/>
      <c r="D63" s="611"/>
      <c r="E63" s="692">
        <f>15/13</f>
        <v>1.1538461538461537</v>
      </c>
      <c r="F63" s="692" t="str">
        <f t="array" ref="F63">IFERROR(INDEX(Analytica!$F$59:$AY$138,MATCH($B63,Analytica!$B$59:$B$168,0),MATCH(F$15&amp;F$10,Analytica!$F$58:$AY$58&amp;Analytica!$F$51:'Analytica'!$AY$51,0)),"")</f>
        <v/>
      </c>
      <c r="G63" s="692" t="str">
        <f t="array" ref="G63">IFERROR(INDEX(Analytica!$F$59:$AY$138,MATCH($B63,Analytica!$B$59:$B$168,0),MATCH(G$15&amp;G$10,Analytica!$F$58:$AY$58&amp;Analytica!$F$51:'Analytica'!$AY$51,0)),"")</f>
        <v/>
      </c>
      <c r="H63" s="692" t="str">
        <f t="array" ref="H63">IFERROR(INDEX(Analytica!$F$59:$AY$138,MATCH($B63,Analytica!$B$59:$B$168,0),MATCH(H$15&amp;H$10,Analytica!$F$58:$AY$58&amp;Analytica!$F$51:'Analytica'!$AY$51,0)),"")</f>
        <v/>
      </c>
      <c r="I63" s="914"/>
      <c r="J63" s="914"/>
      <c r="K63" s="914"/>
      <c r="L63" s="914"/>
      <c r="M63" s="914"/>
      <c r="N63" s="692" t="str">
        <f t="array" ref="N63">IFERROR(INDEX(Analytica!$F$59:$AY$138,MATCH($B63,Analytica!$B$59:$B$168,0),MATCH(N$15&amp;N$10,Analytica!$F$58:$AY$58&amp;Analytica!$F$51:'Analytica'!$AY$51,0)),"")</f>
        <v/>
      </c>
      <c r="O63" s="619" t="str">
        <f t="array" ref="O63">IFERROR(INDEX(Analytica!$F$59:$AY$138,MATCH($B63,Analytica!$B$59:$B$168,0),MATCH(O$15&amp;O$10,Analytica!$F$58:$AY$58&amp;Analytica!$F$51:'Analytica'!$AY$51,0)),"")</f>
        <v/>
      </c>
      <c r="P63" s="619" t="str">
        <f t="array" ref="P63">IFERROR(INDEX(Analytica!$F$59:$AY$138,MATCH($B63,Analytica!$B$59:$B$168,0),MATCH(P$15&amp;P$10,Analytica!$F$58:$AY$58&amp;Analytica!$F$51:'Analytica'!$AY$51,0)),"")</f>
        <v/>
      </c>
      <c r="Q63" s="619" t="str">
        <f t="array" ref="Q63">IFERROR(INDEX(Analytica!$F$59:$AY$138,MATCH($B63,Analytica!$B$59:$B$168,0),MATCH(Q$15&amp;Q$10,Analytica!$F$58:$AY$58&amp;Analytica!$F$51:'Analytica'!$AY$51,0)),"")</f>
        <v/>
      </c>
      <c r="R63" s="619" t="str">
        <f t="array" ref="R63">IFERROR(INDEX(Analytica!$F$59:$AY$138,MATCH($B63,Analytica!$B$59:$B$168,0),MATCH(R$15&amp;R$10,Analytica!$F$58:$AY$58&amp;Analytica!$F$51:'Analytica'!$AY$51,0)),"")</f>
        <v/>
      </c>
      <c r="S63" s="619" t="str">
        <f t="array" ref="S63">IFERROR(INDEX(Analytica!$F$59:$AY$138,MATCH($B63,Analytica!$B$59:$B$168,0),MATCH(S$15&amp;S$10,Analytica!$F$58:$AY$58&amp;Analytica!$F$51:'Analytica'!$AY$51,0)),"")</f>
        <v/>
      </c>
      <c r="T63" s="619" t="str">
        <f t="array" ref="T63">IFERROR(INDEX(Analytica!$F$59:$AY$138,MATCH($B63,Analytica!$B$59:$B$168,0),MATCH(T$15&amp;T$10,Analytica!$F$58:$AY$58&amp;Analytica!$F$51:'Analytica'!$AY$51,0)),"")</f>
        <v/>
      </c>
      <c r="U63" s="619" t="str">
        <f t="array" ref="U63">IFERROR(INDEX(Analytica!$F$59:$AY$138,MATCH($B63,Analytica!$B$59:$B$168,0),MATCH(U$15&amp;U$10,Analytica!$F$58:$AY$58&amp;Analytica!$F$51:'Analytica'!$AY$51,0)),"")</f>
        <v/>
      </c>
      <c r="V63" s="619" t="str">
        <f t="array" ref="V63">IFERROR(INDEX(Analytica!$F$59:$AY$138,MATCH($B63,Analytica!$B$59:$B$168,0),MATCH(V$15&amp;V$10,Analytica!$F$58:$AY$58&amp;Analytica!$F$51:'Analytica'!$AY$51,0)),"")</f>
        <v/>
      </c>
      <c r="W63" s="619" t="str">
        <f t="array" ref="W63">IFERROR(INDEX(Analytica!$F$59:$AY$138,MATCH($B63,Analytica!$B$59:$B$168,0),MATCH(W$15&amp;W$10,Analytica!$F$58:$AY$58&amp;Analytica!$F$51:'Analytica'!$AY$51,0)),"")</f>
        <v/>
      </c>
      <c r="X63" s="619" t="str">
        <f t="array" ref="X63">IFERROR(INDEX(Analytica!$F$59:$AY$138,MATCH($B63,Analytica!$B$59:$B$168,0),MATCH(X$15&amp;X$10,Analytica!$F$58:$AY$58&amp;Analytica!$F$51:'Analytica'!$AY$51,0)),"")</f>
        <v/>
      </c>
      <c r="Y63" s="689"/>
      <c r="Z63" s="689">
        <f t="shared" si="9"/>
        <v>0</v>
      </c>
      <c r="AA63" s="689">
        <f>IF(AC63,base.year+$AA$12,base.year+$AA$10)</f>
        <v>2018</v>
      </c>
      <c r="AB63" s="1">
        <f t="shared" ca="1" si="10"/>
        <v>46</v>
      </c>
    </row>
    <row r="64" spans="1:29" x14ac:dyDescent="0.2">
      <c r="A64" s="190" t="s">
        <v>1124</v>
      </c>
      <c r="B64" s="190"/>
      <c r="C64" s="608"/>
      <c r="D64" s="608"/>
      <c r="E64" s="692" t="str">
        <f t="array" ref="E64">IFERROR(INDEX(Analytica!$F$59:$AY$138,MATCH($B64,Analytica!$B$59:$B$168,0),MATCH(E$15&amp;E$10,Analytica!$F$58:$AY$58&amp;Analytica!$F$51:'Analytica'!$AY$51,0)),"")</f>
        <v/>
      </c>
      <c r="F64" s="692" t="str">
        <f t="array" ref="F64">IFERROR(INDEX(Analytica!$F$59:$AY$138,MATCH($B64,Analytica!$B$59:$B$168,0),MATCH(F$15&amp;F$10,Analytica!$F$58:$AY$58&amp;Analytica!$F$51:'Analytica'!$AY$51,0)),"")</f>
        <v/>
      </c>
      <c r="G64" s="692" t="str">
        <f t="array" ref="G64">IFERROR(INDEX(Analytica!$F$59:$AY$138,MATCH($B64,Analytica!$B$59:$B$168,0),MATCH(G$15&amp;G$10,Analytica!$F$58:$AY$58&amp;Analytica!$F$51:'Analytica'!$AY$51,0)),"")</f>
        <v/>
      </c>
      <c r="H64" s="692" t="str">
        <f t="array" ref="H64">IFERROR(INDEX(Analytica!$F$59:$AY$138,MATCH($B64,Analytica!$B$59:$B$168,0),MATCH(H$15&amp;H$10,Analytica!$F$58:$AY$58&amp;Analytica!$F$51:'Analytica'!$AY$51,0)),"")</f>
        <v/>
      </c>
      <c r="I64" s="915"/>
      <c r="J64" s="915"/>
      <c r="K64" s="915"/>
      <c r="L64" s="914"/>
      <c r="M64" s="914"/>
      <c r="N64" s="692" t="str">
        <f t="array" ref="N64">IFERROR(INDEX(Analytica!$F$59:$AY$138,MATCH($B64,Analytica!$B$59:$B$168,0),MATCH(N$15&amp;N$10,Analytica!$F$58:$AY$58&amp;Analytica!$F$51:'Analytica'!$AY$51,0)),"")</f>
        <v/>
      </c>
      <c r="O64" s="619" t="str">
        <f t="array" ref="O64">IFERROR(INDEX(Analytica!$F$59:$AY$138,MATCH($B64,Analytica!$B$59:$B$168,0),MATCH(O$15&amp;O$10,Analytica!$F$58:$AY$58&amp;Analytica!$F$51:'Analytica'!$AY$51,0)),"")</f>
        <v/>
      </c>
      <c r="P64" s="619" t="str">
        <f t="array" ref="P64">IFERROR(INDEX(Analytica!$F$59:$AY$138,MATCH($B64,Analytica!$B$59:$B$168,0),MATCH(P$15&amp;P$10,Analytica!$F$58:$AY$58&amp;Analytica!$F$51:'Analytica'!$AY$51,0)),"")</f>
        <v/>
      </c>
      <c r="Q64" s="619" t="str">
        <f t="array" ref="Q64">IFERROR(INDEX(Analytica!$F$59:$AY$138,MATCH($B64,Analytica!$B$59:$B$168,0),MATCH(Q$15&amp;Q$10,Analytica!$F$58:$AY$58&amp;Analytica!$F$51:'Analytica'!$AY$51,0)),"")</f>
        <v/>
      </c>
      <c r="R64" s="619" t="str">
        <f t="array" ref="R64">IFERROR(INDEX(Analytica!$F$59:$AY$138,MATCH($B64,Analytica!$B$59:$B$168,0),MATCH(R$15&amp;R$10,Analytica!$F$58:$AY$58&amp;Analytica!$F$51:'Analytica'!$AY$51,0)),"")</f>
        <v/>
      </c>
      <c r="S64" s="619" t="str">
        <f t="array" ref="S64">IFERROR(INDEX(Analytica!$F$59:$AY$138,MATCH($B64,Analytica!$B$59:$B$168,0),MATCH(S$15&amp;S$10,Analytica!$F$58:$AY$58&amp;Analytica!$F$51:'Analytica'!$AY$51,0)),"")</f>
        <v/>
      </c>
      <c r="T64" s="619" t="str">
        <f t="array" ref="T64">IFERROR(INDEX(Analytica!$F$59:$AY$138,MATCH($B64,Analytica!$B$59:$B$168,0),MATCH(T$15&amp;T$10,Analytica!$F$58:$AY$58&amp;Analytica!$F$51:'Analytica'!$AY$51,0)),"")</f>
        <v/>
      </c>
      <c r="U64" s="619" t="str">
        <f t="array" ref="U64">IFERROR(INDEX(Analytica!$F$59:$AY$138,MATCH($B64,Analytica!$B$59:$B$168,0),MATCH(U$15&amp;U$10,Analytica!$F$58:$AY$58&amp;Analytica!$F$51:'Analytica'!$AY$51,0)),"")</f>
        <v/>
      </c>
      <c r="V64" s="619" t="str">
        <f t="array" ref="V64">IFERROR(INDEX(Analytica!$F$59:$AY$138,MATCH($B64,Analytica!$B$59:$B$168,0),MATCH(V$15&amp;V$10,Analytica!$F$58:$AY$58&amp;Analytica!$F$51:'Analytica'!$AY$51,0)),"")</f>
        <v/>
      </c>
      <c r="W64" s="619" t="str">
        <f t="array" ref="W64">IFERROR(INDEX(Analytica!$F$59:$AY$138,MATCH($B64,Analytica!$B$59:$B$168,0),MATCH(W$15&amp;W$10,Analytica!$F$58:$AY$58&amp;Analytica!$F$51:'Analytica'!$AY$51,0)),"")</f>
        <v/>
      </c>
      <c r="X64" s="619" t="str">
        <f t="array" ref="X64">IFERROR(INDEX(Analytica!$F$59:$AY$138,MATCH($B64,Analytica!$B$59:$B$168,0),MATCH(X$15&amp;X$10,Analytica!$F$58:$AY$58&amp;Analytica!$F$51:'Analytica'!$AY$51,0)),"")</f>
        <v/>
      </c>
      <c r="Y64" s="689"/>
      <c r="Z64" s="689">
        <f t="shared" si="9"/>
        <v>0</v>
      </c>
      <c r="AA64" s="689">
        <f>IF(AC64,base.year+$AA$12,base.year+$AA$10)</f>
        <v>2018</v>
      </c>
      <c r="AB64" s="1">
        <f t="shared" ca="1" si="10"/>
        <v>47</v>
      </c>
    </row>
    <row r="65" spans="1:29" x14ac:dyDescent="0.2">
      <c r="A65" s="190" t="str">
        <f>ITEMS_nTech!C56</f>
        <v>Transport Freight - LCV Oil Diesel-N</v>
      </c>
      <c r="B65" s="190" t="str">
        <f>D65&amp;RIGHT(C65,3)&amp;"-N"</f>
        <v>TFLCVODS-N</v>
      </c>
      <c r="C65" s="611" t="str">
        <f>$D$6</f>
        <v>TRAODS</v>
      </c>
      <c r="D65" s="611" t="str">
        <f>TRP!$B$31</f>
        <v>TFLCV</v>
      </c>
      <c r="E65" s="692">
        <f t="array" ref="E65">IFERROR(INDEX(Analytica!$F$59:$AY$138,MATCH($B65,Analytica!$B$59:$B$168,0),MATCH(E$15&amp;E$10,Analytica!$F$58:$AY$58&amp;Analytica!$F$51:'Analytica'!$AY$51,0)),"")</f>
        <v>0.23665489362454264</v>
      </c>
      <c r="F65" s="692">
        <f t="array" ref="F65">IFERROR(INDEX(Analytica!$F$59:$AY$138,MATCH($B65,Analytica!$B$59:$B$168,0),MATCH(F$15&amp;F$10,Analytica!$F$58:$AY$58&amp;Analytica!$F$51:'Analytica'!$AY$51,0)),"")</f>
        <v>0.25007346676770725</v>
      </c>
      <c r="G65" s="692">
        <f t="array" ref="G65">IFERROR(INDEX(Analytica!$F$59:$AY$138,MATCH($B65,Analytica!$B$59:$B$168,0),MATCH(G$15&amp;G$10,Analytica!$F$58:$AY$58&amp;Analytica!$F$51:'Analytica'!$AY$51,0)),"")</f>
        <v>0.27651307304523115</v>
      </c>
      <c r="H65" s="692">
        <f t="array" ref="H65">IFERROR(INDEX(Analytica!$F$59:$AY$138,MATCH($B65,Analytica!$B$59:$B$168,0),MATCH(H$15&amp;H$10,Analytica!$F$58:$AY$58&amp;Analytica!$F$51:'Analytica'!$AY$51,0)),"")</f>
        <v>0.30574806897022955</v>
      </c>
      <c r="I65" s="914">
        <v>1</v>
      </c>
      <c r="J65" s="914">
        <v>1</v>
      </c>
      <c r="K65" s="914">
        <v>1</v>
      </c>
      <c r="L65" s="914">
        <v>1</v>
      </c>
      <c r="M65" s="914">
        <v>1</v>
      </c>
      <c r="N65" s="692">
        <f t="array" ref="N65">IFERROR(INDEX(Analytica!$F$59:$AY$138,MATCH($B65,Analytica!$B$59:$B$168,0),MATCH(N$15&amp;N$10,Analytica!$F$58:$AY$58&amp;Analytica!$F$51:'Analytica'!$AY$51,0)),"")</f>
        <v>0.04</v>
      </c>
      <c r="O65" s="981">
        <f>INDEX(CostProjections!$N$11:$W$93,MATCH($B65,CostProjections!$L$11:$L$93,0),MATCH(O$15,CostProjections!$N$10:$W$10,0))*0.001</f>
        <v>835.64408109927854</v>
      </c>
      <c r="P65" s="981">
        <f>INDEX(CostProjections!$N$11:$W$93,MATCH($B65,CostProjections!$L$11:$L$93,0),MATCH(P$15,CostProjections!$N$10:$W$10,0))*0.001</f>
        <v>844.03401459192003</v>
      </c>
      <c r="Q65" s="981">
        <f>INDEX(CostProjections!$N$11:$W$93,MATCH($B65,CostProjections!$L$11:$L$93,0),MATCH(Q$15,CostProjections!$N$10:$W$10,0))*0.001</f>
        <v>852.50818368869375</v>
      </c>
      <c r="R65" s="981">
        <f>INDEX(CostProjections!$N$11:$W$93,MATCH($B65,CostProjections!$L$11:$L$93,0),MATCH(R$15,CostProjections!$N$10:$W$10,0))*0.001</f>
        <v>861.06743412181083</v>
      </c>
      <c r="S65" s="981">
        <f>INDEX(CostProjections!$N$11:$W$93,MATCH($B65,CostProjections!$L$11:$L$93,0),MATCH(S$15,CostProjections!$N$10:$W$10,0))*0.001</f>
        <v>869.71262011470128</v>
      </c>
      <c r="T65" s="981">
        <f>INDEX(CostProjections!$N$11:$W$93,MATCH($B65,CostProjections!$L$11:$L$93,0),MATCH(T$15,CostProjections!$N$10:$W$10,0))*0.001</f>
        <v>887.26425864199052</v>
      </c>
      <c r="U65" s="982">
        <f>INDEX(CostProjections!$Y$11:$AH$93,MATCH($B65,CostProjections!$L$11:$L$93,0),MATCH(U$15,CostProjections!$Y$10:$AH$10,0))*0.001</f>
        <v>22.562390189680517</v>
      </c>
      <c r="V65" s="982">
        <f>INDEX(CostProjections!$Y$11:$AH$93,MATCH($B65,CostProjections!$L$11:$L$93,0),MATCH(V$15,CostProjections!$Y$10:$AH$10,0))*0.001</f>
        <v>23.01772095959473</v>
      </c>
      <c r="W65" s="982">
        <f>INDEX(CostProjections!$Y$11:$AH$93,MATCH($B65,CostProjections!$L$11:$L$93,0),MATCH(W$15,CostProjections!$Y$10:$AH$10,0))*0.001</f>
        <v>23.482240743096934</v>
      </c>
      <c r="X65" s="982">
        <f>INDEX(CostProjections!$Y$11:$AH$93,MATCH($B65,CostProjections!$L$11:$L$93,0),MATCH(X$15,CostProjections!$Y$10:$AH$10,0))*0.001</f>
        <v>23.956134983333744</v>
      </c>
      <c r="Y65" s="689">
        <v>20</v>
      </c>
      <c r="Z65" s="689">
        <f t="shared" si="9"/>
        <v>20</v>
      </c>
      <c r="AA65" s="689">
        <f>IF(AC65,base.year+$AA$12,base.year+$AA$10)</f>
        <v>2018</v>
      </c>
      <c r="AB65" s="1">
        <f t="shared" ca="1" si="10"/>
        <v>48</v>
      </c>
    </row>
    <row r="66" spans="1:29" x14ac:dyDescent="0.2">
      <c r="A66" s="190" t="str">
        <f>ITEMS_nTech!C57</f>
        <v>Transport Freight - LCV Oil Diesel Hybrid-N</v>
      </c>
      <c r="B66" s="190" t="str">
        <f>D66&amp;RIGHT(C66,3)&amp;"H-N"</f>
        <v>TFLCVODSH-N</v>
      </c>
      <c r="C66" s="611" t="str">
        <f>$D$6</f>
        <v>TRAODS</v>
      </c>
      <c r="D66" s="611" t="str">
        <f>TRP!$B$31</f>
        <v>TFLCV</v>
      </c>
      <c r="E66" s="692">
        <f t="array" ref="E66">IFERROR(INDEX(Analytica!$F$59:$AY$138,MATCH($B66,Analytica!$B$59:$B$168,0),MATCH(E$15&amp;E$10,Analytica!$F$58:$AY$58&amp;Analytica!$F$51:'Analytica'!$AY$51,0)),"")</f>
        <v>0.24270993496077886</v>
      </c>
      <c r="F66" s="692">
        <f t="array" ref="F66">IFERROR(INDEX(Analytica!$F$59:$AY$138,MATCH($B66,Analytica!$B$59:$B$168,0),MATCH(F$15&amp;F$10,Analytica!$F$58:$AY$58&amp;Analytica!$F$51:'Analytica'!$AY$51,0)),"")</f>
        <v>0.25647183510559879</v>
      </c>
      <c r="G66" s="692">
        <f t="array" ref="G66">IFERROR(INDEX(Analytica!$F$59:$AY$138,MATCH($B66,Analytica!$B$59:$B$168,0),MATCH(G$15&amp;G$10,Analytica!$F$58:$AY$58&amp;Analytica!$F$51:'Analytica'!$AY$51,0)),"")</f>
        <v>0.28358792394586324</v>
      </c>
      <c r="H66" s="692">
        <f t="array" ref="H66">IFERROR(INDEX(Analytica!$F$59:$AY$138,MATCH($B66,Analytica!$B$59:$B$168,0),MATCH(H$15&amp;H$10,Analytica!$F$58:$AY$58&amp;Analytica!$F$51:'Analytica'!$AY$51,0)),"")</f>
        <v>0.31357092514588203</v>
      </c>
      <c r="I66" s="914">
        <v>1</v>
      </c>
      <c r="J66" s="914">
        <v>1</v>
      </c>
      <c r="K66" s="914">
        <v>1</v>
      </c>
      <c r="L66" s="914">
        <v>1</v>
      </c>
      <c r="M66" s="914">
        <v>1</v>
      </c>
      <c r="N66" s="692">
        <f t="array" ref="N66">IFERROR(INDEX(Analytica!$F$59:$AY$138,MATCH($B66,Analytica!$B$59:$B$168,0),MATCH(N$15&amp;N$10,Analytica!$F$58:$AY$58&amp;Analytica!$F$51:'Analytica'!$AY$51,0)),"")</f>
        <v>0.04</v>
      </c>
      <c r="O66" s="981">
        <f>INDEX(CostProjections!$N$11:$W$93,MATCH($B66,CostProjections!$L$11:$L$93,0),MATCH(O$15,CostProjections!$N$10:$W$10,0))*0.001</f>
        <v>1115.3529863163551</v>
      </c>
      <c r="P66" s="981">
        <f>INDEX(CostProjections!$N$11:$W$93,MATCH($B66,CostProjections!$L$11:$L$93,0),MATCH(P$15,CostProjections!$N$10:$W$10,0))*0.001</f>
        <v>913.08384515926969</v>
      </c>
      <c r="Q66" s="981">
        <f>INDEX(CostProjections!$N$11:$W$93,MATCH($B66,CostProjections!$L$11:$L$93,0),MATCH(Q$15,CostProjections!$N$10:$W$10,0))*0.001</f>
        <v>860.36537834869</v>
      </c>
      <c r="R66" s="981">
        <f>INDEX(CostProjections!$N$11:$W$93,MATCH($B66,CostProjections!$L$11:$L$93,0),MATCH(R$15,CostProjections!$N$10:$W$10,0))*0.001</f>
        <v>861.7712041303065</v>
      </c>
      <c r="S66" s="981">
        <f>INDEX(CostProjections!$N$11:$W$93,MATCH($B66,CostProjections!$L$11:$L$93,0),MATCH(S$15,CostProjections!$N$10:$W$10,0))*0.001</f>
        <v>863.17702991192198</v>
      </c>
      <c r="T66" s="981">
        <f>INDEX(CostProjections!$N$11:$W$93,MATCH($B66,CostProjections!$L$11:$L$93,0),MATCH(T$15,CostProjections!$N$10:$W$10,0))*0.001</f>
        <v>865.98868147515293</v>
      </c>
      <c r="U66" s="982">
        <f>INDEX(CostProjections!$Y$11:$AH$93,MATCH($B66,CostProjections!$L$11:$L$93,0),MATCH(U$15,CostProjections!$Y$10:$AH$10,0))*0.001</f>
        <v>30.114530630541591</v>
      </c>
      <c r="V66" s="982">
        <f>INDEX(CostProjections!$Y$11:$AH$93,MATCH($B66,CostProjections!$L$11:$L$93,0),MATCH(V$15,CostProjections!$Y$10:$AH$10,0))*0.001</f>
        <v>23.22986521541463</v>
      </c>
      <c r="W66" s="982">
        <f>INDEX(CostProjections!$Y$11:$AH$93,MATCH($B66,CostProjections!$L$11:$L$93,0),MATCH(W$15,CostProjections!$Y$10:$AH$10,0))*0.001</f>
        <v>23.305779807621892</v>
      </c>
      <c r="X66" s="982">
        <f>INDEX(CostProjections!$Y$11:$AH$93,MATCH($B66,CostProjections!$L$11:$L$93,0),MATCH(X$15,CostProjections!$Y$10:$AH$10,0))*0.001</f>
        <v>23.381694399829129</v>
      </c>
      <c r="Y66" s="689">
        <f>Y65</f>
        <v>20</v>
      </c>
      <c r="Z66" s="689">
        <f t="shared" si="9"/>
        <v>20</v>
      </c>
      <c r="AA66" s="919">
        <v>2080</v>
      </c>
      <c r="AB66" s="1">
        <f t="shared" ca="1" si="10"/>
        <v>49</v>
      </c>
      <c r="AC66" s="1">
        <v>1</v>
      </c>
    </row>
    <row r="67" spans="1:29" x14ac:dyDescent="0.2">
      <c r="A67" s="190" t="str">
        <f>ITEMS_nTech!C58</f>
        <v>Transport Freight - LCV Oil Gasoline-N</v>
      </c>
      <c r="B67" s="190" t="str">
        <f>D67&amp;RIGHT(C67,3)&amp;"-N"</f>
        <v>TFLCVOGS-N</v>
      </c>
      <c r="C67" s="611" t="str">
        <f>$G$6</f>
        <v>TRAOGS</v>
      </c>
      <c r="D67" s="611" t="str">
        <f>TRP!$B$31</f>
        <v>TFLCV</v>
      </c>
      <c r="E67" s="692">
        <f t="array" ref="E67">IFERROR(INDEX(Analytica!$F$59:$AY$138,MATCH($B67,Analytica!$B$59:$B$168,0),MATCH(E$15&amp;E$10,Analytica!$F$58:$AY$58&amp;Analytica!$F$51:'Analytica'!$AY$51,0)),"")</f>
        <v>0.2068742400139009</v>
      </c>
      <c r="F67" s="692">
        <f t="array" ref="F67">IFERROR(INDEX(Analytica!$F$59:$AY$138,MATCH($B67,Analytica!$B$59:$B$168,0),MATCH(F$15&amp;F$10,Analytica!$F$58:$AY$58&amp;Analytica!$F$51:'Analytica'!$AY$51,0)),"")</f>
        <v>0.21860421981084194</v>
      </c>
      <c r="G67" s="692">
        <f t="array" ref="G67">IFERROR(INDEX(Analytica!$F$59:$AY$138,MATCH($B67,Analytica!$B$59:$B$168,0),MATCH(G$15&amp;G$10,Analytica!$F$58:$AY$58&amp;Analytica!$F$51:'Analytica'!$AY$51,0)),"")</f>
        <v>0.24171666583364532</v>
      </c>
      <c r="H67" s="692">
        <f t="array" ref="H67">IFERROR(INDEX(Analytica!$F$59:$AY$138,MATCH($B67,Analytica!$B$59:$B$168,0),MATCH(H$15&amp;H$10,Analytica!$F$58:$AY$58&amp;Analytica!$F$51:'Analytica'!$AY$51,0)),"")</f>
        <v>0.26727272964945947</v>
      </c>
      <c r="I67" s="914">
        <v>1</v>
      </c>
      <c r="J67" s="914">
        <v>1</v>
      </c>
      <c r="K67" s="914">
        <v>1</v>
      </c>
      <c r="L67" s="914">
        <v>1</v>
      </c>
      <c r="M67" s="914">
        <v>1</v>
      </c>
      <c r="N67" s="692">
        <f t="array" ref="N67">IFERROR(INDEX(Analytica!$F$59:$AY$138,MATCH($B67,Analytica!$B$59:$B$168,0),MATCH(N$15&amp;N$10,Analytica!$F$58:$AY$58&amp;Analytica!$F$51:'Analytica'!$AY$51,0)),"")</f>
        <v>3.4999999999999996E-2</v>
      </c>
      <c r="O67" s="981">
        <f>INDEX(CostProjections!$N$11:$W$93,MATCH($B67,CostProjections!$L$11:$L$93,0),MATCH(O$15,CostProjections!$N$10:$W$10,0))*0.001</f>
        <v>438.90146207526243</v>
      </c>
      <c r="P67" s="981">
        <f>INDEX(CostProjections!$N$11:$W$93,MATCH($B67,CostProjections!$L$11:$L$93,0),MATCH(P$15,CostProjections!$N$10:$W$10,0))*0.001</f>
        <v>443.30806790174114</v>
      </c>
      <c r="Q67" s="981">
        <f>INDEX(CostProjections!$N$11:$W$93,MATCH($B67,CostProjections!$L$11:$L$93,0),MATCH(Q$15,CostProjections!$N$10:$W$10,0))*0.001</f>
        <v>447.75891640359885</v>
      </c>
      <c r="R67" s="981">
        <f>INDEX(CostProjections!$N$11:$W$93,MATCH($B67,CostProjections!$L$11:$L$93,0),MATCH(R$15,CostProjections!$N$10:$W$10,0))*0.001</f>
        <v>452.25445178083936</v>
      </c>
      <c r="S67" s="981">
        <f>INDEX(CostProjections!$N$11:$W$93,MATCH($B67,CostProjections!$L$11:$L$93,0),MATCH(S$15,CostProjections!$N$10:$W$10,0))*0.001</f>
        <v>456.79512269326983</v>
      </c>
      <c r="T67" s="981">
        <f>INDEX(CostProjections!$N$11:$W$93,MATCH($B67,CostProjections!$L$11:$L$93,0),MATCH(T$15,CostProjections!$N$10:$W$10,0))*0.001</f>
        <v>466.01368833105909</v>
      </c>
      <c r="U67" s="982">
        <f>INDEX(CostProjections!$Y$11:$AH$93,MATCH($B67,CostProjections!$L$11:$L$93,0),MATCH(U$15,CostProjections!$Y$10:$AH$10,0))*0.001</f>
        <v>11.850339476032087</v>
      </c>
      <c r="V67" s="982">
        <f>INDEX(CostProjections!$Y$11:$AH$93,MATCH($B67,CostProjections!$L$11:$L$93,0),MATCH(V$15,CostProjections!$Y$10:$AH$10,0))*0.001</f>
        <v>12.089490742897169</v>
      </c>
      <c r="W67" s="982">
        <f>INDEX(CostProjections!$Y$11:$AH$93,MATCH($B67,CostProjections!$L$11:$L$93,0),MATCH(W$15,CostProjections!$Y$10:$AH$10,0))*0.001</f>
        <v>12.333468312718285</v>
      </c>
      <c r="X67" s="982">
        <f>INDEX(CostProjections!$Y$11:$AH$93,MATCH($B67,CostProjections!$L$11:$L$93,0),MATCH(X$15,CostProjections!$Y$10:$AH$10,0))*0.001</f>
        <v>12.582369584938595</v>
      </c>
      <c r="Y67" s="689">
        <f>Y66</f>
        <v>20</v>
      </c>
      <c r="Z67" s="689">
        <f t="shared" si="9"/>
        <v>20</v>
      </c>
      <c r="AA67" s="689">
        <f t="shared" ref="AA67:AA81" si="11">IF(AC67,base.year+$AA$12,base.year+$AA$10)</f>
        <v>2018</v>
      </c>
      <c r="AB67" s="1">
        <f t="shared" ca="1" si="10"/>
        <v>50</v>
      </c>
    </row>
    <row r="68" spans="1:29" x14ac:dyDescent="0.2">
      <c r="A68" s="190" t="str">
        <f>ITEMS_nTech!C59</f>
        <v>Transport Freight - LCV Oil GasolineHybrid-N</v>
      </c>
      <c r="B68" s="190" t="str">
        <f>D68&amp;RIGHT(C68,3)&amp;"H-N"</f>
        <v>TFLCVOGSH-N</v>
      </c>
      <c r="C68" s="611" t="str">
        <f>$G$6</f>
        <v>TRAOGS</v>
      </c>
      <c r="D68" s="611" t="str">
        <f>TRP!$B$31</f>
        <v>TFLCV</v>
      </c>
      <c r="E68" s="692">
        <f t="array" ref="E68">IFERROR(INDEX(Analytica!$F$59:$AY$138,MATCH($B68,Analytica!$B$59:$B$168,0),MATCH(E$15&amp;E$10,Analytica!$F$58:$AY$58&amp;Analytica!$F$51:'Analytica'!$AY$51,0)),"")</f>
        <v>0.2707440173280492</v>
      </c>
      <c r="F68" s="692">
        <f t="array" ref="F68">IFERROR(INDEX(Analytica!$F$59:$AY$138,MATCH($B68,Analytica!$B$59:$B$168,0),MATCH(F$15&amp;F$10,Analytica!$F$58:$AY$58&amp;Analytica!$F$51:'Analytica'!$AY$51,0)),"")</f>
        <v>0.28609547845335548</v>
      </c>
      <c r="G68" s="692">
        <f t="array" ref="G68">IFERROR(INDEX(Analytica!$F$59:$AY$138,MATCH($B68,Analytica!$B$59:$B$168,0),MATCH(G$15&amp;G$10,Analytica!$F$58:$AY$58&amp;Analytica!$F$51:'Analytica'!$AY$51,0)),"")</f>
        <v>0.31634359675977686</v>
      </c>
      <c r="H68" s="692">
        <f t="array" ref="H68">IFERROR(INDEX(Analytica!$F$59:$AY$138,MATCH($B68,Analytica!$B$59:$B$168,0),MATCH(H$15&amp;H$10,Analytica!$F$58:$AY$58&amp;Analytica!$F$51:'Analytica'!$AY$51,0)),"")</f>
        <v>0.3497897686181996</v>
      </c>
      <c r="I68" s="914">
        <v>1</v>
      </c>
      <c r="J68" s="914">
        <v>1</v>
      </c>
      <c r="K68" s="914">
        <v>1</v>
      </c>
      <c r="L68" s="914">
        <v>1</v>
      </c>
      <c r="M68" s="914">
        <v>1</v>
      </c>
      <c r="N68" s="692">
        <f t="array" ref="N68">IFERROR(INDEX(Analytica!$F$59:$AY$138,MATCH($B68,Analytica!$B$59:$B$168,0),MATCH(N$15&amp;N$10,Analytica!$F$58:$AY$58&amp;Analytica!$F$51:'Analytica'!$AY$51,0)),"")</f>
        <v>3.4999999999999996E-2</v>
      </c>
      <c r="O68" s="981">
        <f>INDEX(CostProjections!$N$11:$W$93,MATCH($B68,CostProjections!$L$11:$L$93,0),MATCH(O$15,CostProjections!$N$10:$W$10,0))*0.001</f>
        <v>585.81167209404305</v>
      </c>
      <c r="P68" s="981">
        <f>INDEX(CostProjections!$N$11:$W$93,MATCH($B68,CostProjections!$L$11:$L$93,0),MATCH(P$15,CostProjections!$N$10:$W$10,0))*0.001</f>
        <v>479.57478991596491</v>
      </c>
      <c r="Q68" s="981">
        <f>INDEX(CostProjections!$N$11:$W$93,MATCH($B68,CostProjections!$L$11:$L$93,0),MATCH(Q$15,CostProjections!$N$10:$W$10,0))*0.001</f>
        <v>451.88571428571379</v>
      </c>
      <c r="R68" s="981">
        <f>INDEX(CostProjections!$N$11:$W$93,MATCH($B68,CostProjections!$L$11:$L$93,0),MATCH(R$15,CostProjections!$N$10:$W$10,0))*0.001</f>
        <v>452.62408963585438</v>
      </c>
      <c r="S68" s="981">
        <f>INDEX(CostProjections!$N$11:$W$93,MATCH($B68,CostProjections!$L$11:$L$93,0),MATCH(S$15,CostProjections!$N$10:$W$10,0))*0.001</f>
        <v>453.36246498599439</v>
      </c>
      <c r="T68" s="981">
        <f>INDEX(CostProjections!$N$11:$W$93,MATCH($B68,CostProjections!$L$11:$L$93,0),MATCH(T$15,CostProjections!$N$10:$W$10,0))*0.001</f>
        <v>454.83921568627454</v>
      </c>
      <c r="U68" s="982">
        <f>INDEX(CostProjections!$Y$11:$AH$93,MATCH($B68,CostProjections!$L$11:$L$93,0),MATCH(U$15,CostProjections!$Y$10:$AH$10,0))*0.001</f>
        <v>15.816915146539161</v>
      </c>
      <c r="V68" s="982">
        <f>INDEX(CostProjections!$Y$11:$AH$93,MATCH($B68,CostProjections!$L$11:$L$93,0),MATCH(V$15,CostProjections!$Y$10:$AH$10,0))*0.001</f>
        <v>12.200914285714273</v>
      </c>
      <c r="W68" s="982">
        <f>INDEX(CostProjections!$Y$11:$AH$93,MATCH($B68,CostProjections!$L$11:$L$93,0),MATCH(W$15,CostProjections!$Y$10:$AH$10,0))*0.001</f>
        <v>12.240786554621849</v>
      </c>
      <c r="X68" s="982">
        <f>INDEX(CostProjections!$Y$11:$AH$93,MATCH($B68,CostProjections!$L$11:$L$93,0),MATCH(X$15,CostProjections!$Y$10:$AH$10,0))*0.001</f>
        <v>12.280658823529411</v>
      </c>
      <c r="Y68" s="689">
        <f>Y67</f>
        <v>20</v>
      </c>
      <c r="Z68" s="689">
        <f t="shared" si="9"/>
        <v>20</v>
      </c>
      <c r="AA68" s="919">
        <v>2030</v>
      </c>
      <c r="AB68" s="1">
        <f t="shared" ca="1" si="10"/>
        <v>51</v>
      </c>
      <c r="AC68" s="1">
        <v>1</v>
      </c>
    </row>
    <row r="69" spans="1:29" x14ac:dyDescent="0.2">
      <c r="A69" s="190" t="str">
        <f>ITEMS_nTech!C60</f>
        <v>Transport Freight - LCV Gas-N</v>
      </c>
      <c r="B69" s="190" t="str">
        <f>D69&amp;RIGHT(C69,3)&amp;"-N"</f>
        <v>TFLCVGAS-N</v>
      </c>
      <c r="C69" s="611" t="str">
        <f>$F$6</f>
        <v>TRAGAS</v>
      </c>
      <c r="D69" s="611" t="str">
        <f>TRP!$B$31</f>
        <v>TFLCV</v>
      </c>
      <c r="E69" s="692">
        <f t="array" ref="E69">IFERROR(INDEX(Analytica!$F$59:$AY$138,MATCH($B69,Analytica!$B$59:$B$168,0),MATCH(E$15&amp;E$10,Analytica!$F$58:$AY$58&amp;Analytica!$F$51:'Analytica'!$AY$51,0)),"")</f>
        <v>0.17631523870770266</v>
      </c>
      <c r="F69" s="692">
        <f t="array" ref="F69">IFERROR(INDEX(Analytica!$F$59:$AY$138,MATCH($B69,Analytica!$B$59:$B$168,0),MATCH(F$15&amp;F$10,Analytica!$F$58:$AY$58&amp;Analytica!$F$51:'Analytica'!$AY$51,0)),"")</f>
        <v>0.1863124920525136</v>
      </c>
      <c r="G69" s="692">
        <f t="array" ref="G69">IFERROR(INDEX(Analytica!$F$59:$AY$138,MATCH($B69,Analytica!$B$59:$B$168,0),MATCH(G$15&amp;G$10,Analytica!$F$58:$AY$58&amp;Analytica!$F$51:'Analytica'!$AY$51,0)),"")</f>
        <v>0.2060108191006548</v>
      </c>
      <c r="H69" s="692">
        <f t="array" ref="H69">IFERROR(INDEX(Analytica!$F$59:$AY$138,MATCH($B69,Analytica!$B$59:$B$168,0),MATCH(H$15&amp;H$10,Analytica!$F$58:$AY$58&amp;Analytica!$F$51:'Analytica'!$AY$51,0)),"")</f>
        <v>0.22779179817186146</v>
      </c>
      <c r="I69" s="914">
        <v>1</v>
      </c>
      <c r="J69" s="914">
        <v>1</v>
      </c>
      <c r="K69" s="914">
        <v>1</v>
      </c>
      <c r="L69" s="914">
        <v>1</v>
      </c>
      <c r="M69" s="914">
        <v>1</v>
      </c>
      <c r="N69" s="692">
        <f t="array" ref="N69">IFERROR(INDEX(Analytica!$F$59:$AY$138,MATCH($B69,Analytica!$B$59:$B$168,0),MATCH(N$15&amp;N$10,Analytica!$F$58:$AY$58&amp;Analytica!$F$51:'Analytica'!$AY$51,0)),"")</f>
        <v>3.4999999999999996E-2</v>
      </c>
      <c r="O69" s="981">
        <f>INDEX(CostProjections!$N$11:$W$93,MATCH($B69,CostProjections!$L$11:$L$93,0),MATCH(O$15,CostProjections!$N$10:$W$10,0))*0.001</f>
        <v>919.2084892092065</v>
      </c>
      <c r="P69" s="981">
        <f>INDEX(CostProjections!$N$11:$W$93,MATCH($B69,CostProjections!$L$11:$L$93,0),MATCH(P$15,CostProjections!$N$10:$W$10,0))*0.001</f>
        <v>928.437416051112</v>
      </c>
      <c r="Q69" s="981">
        <f>INDEX(CostProjections!$N$11:$W$93,MATCH($B69,CostProjections!$L$11:$L$93,0),MATCH(Q$15,CostProjections!$N$10:$W$10,0))*0.001</f>
        <v>937.75900205756318</v>
      </c>
      <c r="R69" s="981">
        <f>INDEX(CostProjections!$N$11:$W$93,MATCH($B69,CostProjections!$L$11:$L$93,0),MATCH(R$15,CostProjections!$N$10:$W$10,0))*0.001</f>
        <v>947.17417753399195</v>
      </c>
      <c r="S69" s="981">
        <f>INDEX(CostProjections!$N$11:$W$93,MATCH($B69,CostProjections!$L$11:$L$93,0),MATCH(S$15,CostProjections!$N$10:$W$10,0))*0.001</f>
        <v>956.68388212617151</v>
      </c>
      <c r="T69" s="981">
        <f>INDEX(CostProjections!$N$11:$W$93,MATCH($B69,CostProjections!$L$11:$L$93,0),MATCH(T$15,CostProjections!$N$10:$W$10,0))*0.001</f>
        <v>975.99068450618972</v>
      </c>
      <c r="U69" s="982">
        <f>INDEX(CostProjections!$Y$11:$AH$93,MATCH($B69,CostProjections!$L$11:$L$93,0),MATCH(U$15,CostProjections!$Y$10:$AH$10,0))*0.001</f>
        <v>24.818629208648577</v>
      </c>
      <c r="V69" s="982">
        <f>INDEX(CostProjections!$Y$11:$AH$93,MATCH($B69,CostProjections!$L$11:$L$93,0),MATCH(V$15,CostProjections!$Y$10:$AH$10,0))*0.001</f>
        <v>25.319493055554204</v>
      </c>
      <c r="W69" s="982">
        <f>INDEX(CostProjections!$Y$11:$AH$93,MATCH($B69,CostProjections!$L$11:$L$93,0),MATCH(W$15,CostProjections!$Y$10:$AH$10,0))*0.001</f>
        <v>25.830464817406632</v>
      </c>
      <c r="X69" s="982">
        <f>INDEX(CostProjections!$Y$11:$AH$93,MATCH($B69,CostProjections!$L$11:$L$93,0),MATCH(X$15,CostProjections!$Y$10:$AH$10,0))*0.001</f>
        <v>26.351748481667119</v>
      </c>
      <c r="Y69" s="689">
        <f>Y68</f>
        <v>20</v>
      </c>
      <c r="Z69" s="689">
        <f t="shared" si="9"/>
        <v>20</v>
      </c>
      <c r="AA69" s="919">
        <v>2080</v>
      </c>
      <c r="AB69" s="1">
        <f t="shared" ca="1" si="10"/>
        <v>52</v>
      </c>
      <c r="AC69" s="1">
        <v>1</v>
      </c>
    </row>
    <row r="70" spans="1:29" x14ac:dyDescent="0.2">
      <c r="A70" s="190" t="str">
        <f>ITEMS_nTech!C61</f>
        <v>Transport Freight - LCV Electricity-N</v>
      </c>
      <c r="B70" s="190" t="str">
        <f>D70&amp;RIGHT(C70,3)&amp;"-N"</f>
        <v>TFLCVELC-N</v>
      </c>
      <c r="C70" s="611" t="str">
        <f>$E$6</f>
        <v>TRAELC</v>
      </c>
      <c r="D70" s="611" t="str">
        <f>TRP!$B$31</f>
        <v>TFLCV</v>
      </c>
      <c r="E70" s="692">
        <f t="array" ref="E70">IFERROR(INDEX(Analytica!$F$59:$AY$138,MATCH($B70,Analytica!$B$59:$B$168,0),MATCH(E$15&amp;E$10,Analytica!$F$58:$AY$58&amp;Analytica!$F$51:'Analytica'!$AY$51,0)),"")</f>
        <v>0.8266944783862078</v>
      </c>
      <c r="F70" s="692">
        <f t="array" ref="F70">IFERROR(INDEX(Analytica!$F$59:$AY$138,MATCH($B70,Analytica!$B$59:$B$168,0),MATCH(F$15&amp;F$10,Analytica!$F$58:$AY$58&amp;Analytica!$F$51:'Analytica'!$AY$51,0)),"")</f>
        <v>0.87356889604720478</v>
      </c>
      <c r="G70" s="692">
        <f t="array" ref="G70">IFERROR(INDEX(Analytica!$F$59:$AY$138,MATCH($B70,Analytica!$B$59:$B$168,0),MATCH(G$15&amp;G$10,Analytica!$F$58:$AY$58&amp;Analytica!$F$51:'Analytica'!$AY$51,0)),"")</f>
        <v>0.96592902511773071</v>
      </c>
      <c r="H70" s="692">
        <f t="array" ref="H70">IFERROR(INDEX(Analytica!$F$59:$AY$138,MATCH($B70,Analytica!$B$59:$B$168,0),MATCH(H$15&amp;H$10,Analytica!$F$58:$AY$58&amp;Analytica!$F$51:'Analytica'!$AY$51,0)),"")</f>
        <v>1.068054146372071</v>
      </c>
      <c r="I70" s="914">
        <v>1</v>
      </c>
      <c r="J70" s="914">
        <v>1</v>
      </c>
      <c r="K70" s="914">
        <v>1</v>
      </c>
      <c r="L70" s="914">
        <v>1</v>
      </c>
      <c r="M70" s="914">
        <v>1</v>
      </c>
      <c r="N70" s="692">
        <f t="array" ref="N70">IFERROR(INDEX(Analytica!$F$59:$AY$138,MATCH($B70,Analytica!$B$59:$B$168,0),MATCH(N$15&amp;N$10,Analytica!$F$58:$AY$58&amp;Analytica!$F$51:'Analytica'!$AY$51,0)),"")</f>
        <v>3.4999999999999996E-2</v>
      </c>
      <c r="O70" s="981">
        <f>INDEX(CostProjections!$N$11:$W$93,MATCH($B70,CostProjections!$L$11:$L$93,0),MATCH(O$15,CostProjections!$N$10:$W$10,0))*0.001</f>
        <v>1289.2407774157671</v>
      </c>
      <c r="P70" s="981">
        <f>INDEX(CostProjections!$N$11:$W$93,MATCH($B70,CostProjections!$L$11:$L$93,0),MATCH(P$15,CostProjections!$N$10:$W$10,0))*0.001</f>
        <v>839.09573560975696</v>
      </c>
      <c r="Q70" s="981">
        <f>INDEX(CostProjections!$N$11:$W$93,MATCH($B70,CostProjections!$L$11:$L$93,0),MATCH(Q$15,CostProjections!$N$10:$W$10,0))*0.001</f>
        <v>731.66062829268515</v>
      </c>
      <c r="R70" s="981">
        <f>INDEX(CostProjections!$N$11:$W$93,MATCH($B70,CostProjections!$L$11:$L$93,0),MATCH(R$15,CostProjections!$N$10:$W$10,0))*0.001</f>
        <v>710.72455609756139</v>
      </c>
      <c r="S70" s="981">
        <f>INDEX(CostProjections!$N$11:$W$93,MATCH($B70,CostProjections!$L$11:$L$93,0),MATCH(S$15,CostProjections!$N$10:$W$10,0))*0.001</f>
        <v>689.78848390243911</v>
      </c>
      <c r="T70" s="981">
        <f>INDEX(CostProjections!$N$11:$W$93,MATCH($B70,CostProjections!$L$11:$L$93,0),MATCH(T$15,CostProjections!$N$10:$W$10,0))*0.001</f>
        <v>647.9163395121949</v>
      </c>
      <c r="U70" s="982">
        <f>INDEX(CostProjections!$Y$11:$AH$93,MATCH($B70,CostProjections!$L$11:$L$93,0),MATCH(U$15,CostProjections!$Y$10:$AH$10,0))*0.001</f>
        <v>26.107125742669282</v>
      </c>
      <c r="V70" s="982">
        <f>INDEX(CostProjections!$Y$11:$AH$93,MATCH($B70,CostProjections!$L$11:$L$93,0),MATCH(V$15,CostProjections!$Y$10:$AH$10,0))*0.001</f>
        <v>14.816127722926876</v>
      </c>
      <c r="W70" s="982">
        <f>INDEX(CostProjections!$Y$11:$AH$93,MATCH($B70,CostProjections!$L$11:$L$93,0),MATCH(W$15,CostProjections!$Y$10:$AH$10,0))*0.001</f>
        <v>13.968216799024393</v>
      </c>
      <c r="X70" s="982">
        <f>INDEX(CostProjections!$Y$11:$AH$93,MATCH($B70,CostProjections!$L$11:$L$93,0),MATCH(X$15,CostProjections!$Y$10:$AH$10,0))*0.001</f>
        <v>13.120305875121947</v>
      </c>
      <c r="Y70" s="689">
        <f>Y69</f>
        <v>20</v>
      </c>
      <c r="Z70" s="689">
        <f t="shared" si="9"/>
        <v>20</v>
      </c>
      <c r="AA70" s="919">
        <v>2030</v>
      </c>
      <c r="AB70" s="1">
        <f t="shared" ca="1" si="10"/>
        <v>53</v>
      </c>
      <c r="AC70" s="1">
        <v>1</v>
      </c>
    </row>
    <row r="71" spans="1:29" x14ac:dyDescent="0.2">
      <c r="A71" s="190" t="s">
        <v>1124</v>
      </c>
      <c r="B71" s="190"/>
      <c r="C71" s="611"/>
      <c r="D71" s="611"/>
      <c r="E71" s="692" t="str">
        <f t="array" ref="E71">IFERROR(INDEX(Analytica!$F$59:$AY$138,MATCH($B71,Analytica!$B$59:$B$168,0),MATCH(E$15&amp;E$10,Analytica!$F$58:$AY$58&amp;Analytica!$F$51:'Analytica'!$AY$51,0)),"")</f>
        <v/>
      </c>
      <c r="F71" s="692" t="str">
        <f t="array" ref="F71">IFERROR(INDEX(Analytica!$F$59:$AY$138,MATCH($B71,Analytica!$B$59:$B$168,0),MATCH(F$15&amp;F$10,Analytica!$F$58:$AY$58&amp;Analytica!$F$51:'Analytica'!$AY$51,0)),"")</f>
        <v/>
      </c>
      <c r="G71" s="692" t="str">
        <f t="array" ref="G71">IFERROR(INDEX(Analytica!$F$59:$AY$138,MATCH($B71,Analytica!$B$59:$B$168,0),MATCH(G$15&amp;G$10,Analytica!$F$58:$AY$58&amp;Analytica!$F$51:'Analytica'!$AY$51,0)),"")</f>
        <v/>
      </c>
      <c r="H71" s="692" t="str">
        <f t="array" ref="H71">IFERROR(INDEX(Analytica!$F$59:$AY$138,MATCH($B71,Analytica!$B$59:$B$168,0),MATCH(H$15&amp;H$10,Analytica!$F$58:$AY$58&amp;Analytica!$F$51:'Analytica'!$AY$51,0)),"")</f>
        <v/>
      </c>
      <c r="I71" s="914">
        <v>1</v>
      </c>
      <c r="J71" s="914">
        <v>1</v>
      </c>
      <c r="K71" s="914">
        <v>1</v>
      </c>
      <c r="L71" s="914">
        <v>1</v>
      </c>
      <c r="M71" s="914">
        <v>1</v>
      </c>
      <c r="N71" s="692" t="str">
        <f t="array" ref="N71">IFERROR(INDEX(Analytica!$F$59:$AY$138,MATCH($B71,Analytica!$B$59:$B$168,0),MATCH(N$15&amp;N$10,Analytica!$F$58:$AY$58&amp;Analytica!$F$51:'Analytica'!$AY$51,0)),"")</f>
        <v/>
      </c>
      <c r="O71" s="619" t="str">
        <f t="array" ref="O71">IFERROR(INDEX(Analytica!$F$59:$AY$138,MATCH($B71,Analytica!$B$59:$B$168,0),MATCH(O$15&amp;O$10,Analytica!$F$58:$AY$58&amp;Analytica!$F$51:'Analytica'!$AY$51,0)),"")</f>
        <v/>
      </c>
      <c r="P71" s="619" t="str">
        <f t="array" ref="P71">IFERROR(INDEX(Analytica!$F$59:$AY$138,MATCH($B71,Analytica!$B$59:$B$168,0),MATCH(P$15&amp;P$10,Analytica!$F$58:$AY$58&amp;Analytica!$F$51:'Analytica'!$AY$51,0)),"")</f>
        <v/>
      </c>
      <c r="Q71" s="619" t="str">
        <f t="array" ref="Q71">IFERROR(INDEX(Analytica!$F$59:$AY$138,MATCH($B71,Analytica!$B$59:$B$168,0),MATCH(Q$15&amp;Q$10,Analytica!$F$58:$AY$58&amp;Analytica!$F$51:'Analytica'!$AY$51,0)),"")</f>
        <v/>
      </c>
      <c r="R71" s="619" t="str">
        <f t="array" ref="R71">IFERROR(INDEX(Analytica!$F$59:$AY$138,MATCH($B71,Analytica!$B$59:$B$168,0),MATCH(R$15&amp;R$10,Analytica!$F$58:$AY$58&amp;Analytica!$F$51:'Analytica'!$AY$51,0)),"")</f>
        <v/>
      </c>
      <c r="S71" s="619" t="str">
        <f t="array" ref="S71">IFERROR(INDEX(Analytica!$F$59:$AY$138,MATCH($B71,Analytica!$B$59:$B$168,0),MATCH(S$15&amp;S$10,Analytica!$F$58:$AY$58&amp;Analytica!$F$51:'Analytica'!$AY$51,0)),"")</f>
        <v/>
      </c>
      <c r="T71" s="619" t="str">
        <f t="array" ref="T71">IFERROR(INDEX(Analytica!$F$59:$AY$138,MATCH($B71,Analytica!$B$59:$B$168,0),MATCH(T$15&amp;T$10,Analytica!$F$58:$AY$58&amp;Analytica!$F$51:'Analytica'!$AY$51,0)),"")</f>
        <v/>
      </c>
      <c r="U71" s="619" t="str">
        <f>IFERROR(INDEX(Analytica!$F$59:$AY$138,MATCH($B71,Analytica!$B$59:$B$168,0),MATCH(U$15&amp;U$10,Analytica!$F$58:$AY$58&amp;Analytica!$F$51:'Analytica'!$AY$51,0)),"")</f>
        <v/>
      </c>
      <c r="V71" s="619" t="str">
        <f t="array" ref="V71">IFERROR(INDEX(Analytica!$F$59:$AY$138,MATCH($B71,Analytica!$B$59:$B$168,0),MATCH(V$15&amp;V$10,Analytica!$F$58:$AY$58&amp;Analytica!$F$51:'Analytica'!$AY$51,0)),"")</f>
        <v/>
      </c>
      <c r="W71" s="619" t="str">
        <f t="array" ref="W71">IFERROR(INDEX(Analytica!$F$59:$AY$138,MATCH($B71,Analytica!$B$59:$B$168,0),MATCH(W$15&amp;W$10,Analytica!$F$58:$AY$58&amp;Analytica!$F$51:'Analytica'!$AY$51,0)),"")</f>
        <v/>
      </c>
      <c r="X71" s="619" t="str">
        <f t="array" ref="X71">IFERROR(INDEX(Analytica!$F$59:$AY$138,MATCH($B71,Analytica!$B$59:$B$168,0),MATCH(X$15&amp;X$10,Analytica!$F$58:$AY$58&amp;Analytica!$F$51:'Analytica'!$AY$51,0)),"")</f>
        <v/>
      </c>
      <c r="Y71" s="689"/>
      <c r="Z71" s="689">
        <f t="shared" si="9"/>
        <v>0</v>
      </c>
      <c r="AA71" s="689">
        <f t="shared" si="11"/>
        <v>2018</v>
      </c>
      <c r="AB71" s="1">
        <f t="shared" ca="1" si="10"/>
        <v>54</v>
      </c>
    </row>
    <row r="72" spans="1:29" x14ac:dyDescent="0.2">
      <c r="A72" s="190" t="str">
        <f>ITEMS_nTech!C63</f>
        <v>Transport Freight - HCV1 Oil Diesel-N</v>
      </c>
      <c r="B72" s="190" t="str">
        <f t="shared" ref="B72:B107" si="12">D72&amp;RIGHT(C72,3)&amp;"-N"</f>
        <v>TFHCV1ODS-N</v>
      </c>
      <c r="C72" s="611" t="str">
        <f>D6</f>
        <v>TRAODS</v>
      </c>
      <c r="D72" s="611" t="str">
        <f>TRP!$B$32</f>
        <v>TFHCV1</v>
      </c>
      <c r="E72" s="692">
        <f t="array" ref="E72">IFERROR(INDEX(Analytica!$F$59:$AY$138,MATCH($B72,Analytica!$B$59:$B$168,0),MATCH(E$15&amp;E$10,Analytica!$F$58:$AY$58&amp;Analytica!$F$51:'Analytica'!$AY$51,0)),"")</f>
        <v>0.17083617224509673</v>
      </c>
      <c r="F72" s="692">
        <f t="array" ref="F72">IFERROR(INDEX(Analytica!$F$59:$AY$138,MATCH($B72,Analytica!$B$59:$B$168,0),MATCH(F$15&amp;F$10,Analytica!$F$58:$AY$58&amp;Analytica!$F$51:'Analytica'!$AY$51,0)),"")</f>
        <v>0.18052275694934541</v>
      </c>
      <c r="G72" s="692">
        <f t="array" ref="G72">IFERROR(INDEX(Analytica!$F$59:$AY$138,MATCH($B72,Analytica!$B$59:$B$168,0),MATCH(G$15&amp;G$10,Analytica!$F$58:$AY$58&amp;Analytica!$F$51:'Analytica'!$AY$51,0)),"")</f>
        <v>0.19960895061701436</v>
      </c>
      <c r="H72" s="692">
        <f t="array" ref="H72">IFERROR(INDEX(Analytica!$F$59:$AY$138,MATCH($B72,Analytica!$B$59:$B$168,0),MATCH(H$15&amp;H$10,Analytica!$F$58:$AY$58&amp;Analytica!$F$51:'Analytica'!$AY$51,0)),"")</f>
        <v>0.22071307706432722</v>
      </c>
      <c r="I72" s="914">
        <v>1</v>
      </c>
      <c r="J72" s="914">
        <v>1</v>
      </c>
      <c r="K72" s="914">
        <v>1</v>
      </c>
      <c r="L72" s="914">
        <v>1</v>
      </c>
      <c r="M72" s="914">
        <v>1</v>
      </c>
      <c r="N72" s="692">
        <f t="array" ref="N72">IFERROR(INDEX(Analytica!$F$59:$AY$138,MATCH($B72,Analytica!$B$59:$B$168,0),MATCH(N$15&amp;N$10,Analytica!$F$58:$AY$58&amp;Analytica!$F$51:'Analytica'!$AY$51,0)),"")</f>
        <v>5.5E-2</v>
      </c>
      <c r="O72" s="981">
        <f>INDEX(CostProjections!$N$11:$W$93,MATCH($B72,CostProjections!$L$11:$L$93,0),MATCH(O$15,CostProjections!$N$10:$W$10,0))*0.001</f>
        <v>522.57584162425417</v>
      </c>
      <c r="P72" s="981">
        <f>INDEX(CostProjections!$N$11:$W$93,MATCH($B72,CostProjections!$L$11:$L$93,0),MATCH(P$15,CostProjections!$N$10:$W$10,0))*0.001</f>
        <v>527.82254492205163</v>
      </c>
      <c r="Q72" s="981">
        <f>INDEX(CostProjections!$N$11:$W$93,MATCH($B72,CostProjections!$L$11:$L$93,0),MATCH(Q$15,CostProjections!$N$10:$W$10,0))*0.001</f>
        <v>533.12192554111539</v>
      </c>
      <c r="R72" s="981">
        <f>INDEX(CostProjections!$N$11:$W$93,MATCH($B72,CostProjections!$L$11:$L$93,0),MATCH(R$15,CostProjections!$N$10:$W$10,0))*0.001</f>
        <v>538.47451236596908</v>
      </c>
      <c r="S72" s="981">
        <f>INDEX(CostProjections!$N$11:$W$93,MATCH($B72,CostProjections!$L$11:$L$93,0),MATCH(S$15,CostProjections!$N$10:$W$10,0))*0.001</f>
        <v>543.88083959117944</v>
      </c>
      <c r="T72" s="981">
        <f>INDEX(CostProjections!$N$11:$W$93,MATCH($B72,CostProjections!$L$11:$L$93,0),MATCH(T$15,CostProjections!$N$10:$W$10,0))*0.001</f>
        <v>554.85687889156804</v>
      </c>
      <c r="U72" s="982">
        <f>INDEX(CostProjections!$Y$11:$AH$93,MATCH($B72,CostProjections!$L$11:$L$93,0),MATCH(U$15,CostProjections!$Y$10:$AH$10,0))*0.001</f>
        <v>14.109547723854861</v>
      </c>
      <c r="V72" s="982">
        <f>INDEX(CostProjections!$Y$11:$AH$93,MATCH($B72,CostProjections!$L$11:$L$93,0),MATCH(V$15,CostProjections!$Y$10:$AH$10,0))*0.001</f>
        <v>14.394291989610114</v>
      </c>
      <c r="W72" s="982">
        <f>INDEX(CostProjections!$Y$11:$AH$93,MATCH($B72,CostProjections!$L$11:$L$93,0),MATCH(W$15,CostProjections!$Y$10:$AH$10,0))*0.001</f>
        <v>14.684782668961844</v>
      </c>
      <c r="X72" s="982">
        <f>INDEX(CostProjections!$Y$11:$AH$93,MATCH($B72,CostProjections!$L$11:$L$93,0),MATCH(X$15,CostProjections!$Y$10:$AH$10,0))*0.001</f>
        <v>14.981135730072339</v>
      </c>
      <c r="Y72" s="689">
        <v>20</v>
      </c>
      <c r="Z72" s="689">
        <f t="shared" si="9"/>
        <v>20</v>
      </c>
      <c r="AA72" s="689">
        <f t="shared" si="11"/>
        <v>2018</v>
      </c>
      <c r="AB72" s="1">
        <f t="shared" ca="1" si="10"/>
        <v>55</v>
      </c>
    </row>
    <row r="73" spans="1:29" x14ac:dyDescent="0.2">
      <c r="A73" s="190" t="str">
        <f>ITEMS_nTech!C64</f>
        <v>Transport Freight - HCV1 Oil Gasoline-N</v>
      </c>
      <c r="B73" s="190" t="str">
        <f t="shared" si="12"/>
        <v>TFHCV1OGS-N</v>
      </c>
      <c r="C73" s="611" t="str">
        <f>G6</f>
        <v>TRAOGS</v>
      </c>
      <c r="D73" s="611" t="str">
        <f>TRP!B32</f>
        <v>TFHCV1</v>
      </c>
      <c r="E73" s="692">
        <f>1.08 * E72</f>
        <v>0.18450306602470448</v>
      </c>
      <c r="F73" s="692">
        <f>1.08 * F72</f>
        <v>0.19496457750529306</v>
      </c>
      <c r="G73" s="692">
        <f>1.08 * G72</f>
        <v>0.21557766666637554</v>
      </c>
      <c r="H73" s="692">
        <f>1.08 * H72</f>
        <v>0.2383701232294734</v>
      </c>
      <c r="I73" s="914">
        <v>1</v>
      </c>
      <c r="J73" s="914">
        <v>1</v>
      </c>
      <c r="K73" s="914">
        <v>1</v>
      </c>
      <c r="L73" s="914">
        <v>1</v>
      </c>
      <c r="M73" s="914">
        <v>1</v>
      </c>
      <c r="N73" s="692">
        <f t="array" ref="N73">IFERROR(INDEX(Analytica!$F$59:$AY$138,MATCH($B73,Analytica!$B$59:$B$168,0),MATCH(N$15&amp;N$10,Analytica!$F$58:$AY$58&amp;Analytica!$F$51:'Analytica'!$AY$51,0)),"")</f>
        <v>4.8000000000000001E-2</v>
      </c>
      <c r="O73" s="981">
        <f>INDEX(CostProjections!$N$11:$W$93,MATCH($B73,CostProjections!$L$11:$L$93,0),MATCH(O$15,CostProjections!$N$10:$W$10,0))*0.001</f>
        <v>411.73058994760896</v>
      </c>
      <c r="P73" s="981">
        <f>INDEX(CostProjections!$N$11:$W$93,MATCH($B73,CostProjections!$L$11:$L$93,0),MATCH(P$15,CostProjections!$N$10:$W$10,0))*0.001</f>
        <v>415.86439804208169</v>
      </c>
      <c r="Q73" s="981">
        <f>INDEX(CostProjections!$N$11:$W$93,MATCH($B73,CostProjections!$L$11:$L$93,0),MATCH(Q$15,CostProjections!$N$10:$W$10,0))*0.001</f>
        <v>420.0397099008585</v>
      </c>
      <c r="R73" s="981">
        <f>INDEX(CostProjections!$N$11:$W$93,MATCH($B73,CostProjections!$L$11:$L$93,0),MATCH(R$15,CostProjections!$N$10:$W$10,0))*0.001</f>
        <v>424.25694222505655</v>
      </c>
      <c r="S73" s="981">
        <f>INDEX(CostProjections!$N$11:$W$93,MATCH($B73,CostProjections!$L$11:$L$93,0),MATCH(S$15,CostProjections!$N$10:$W$10,0))*0.001</f>
        <v>428.51651589950546</v>
      </c>
      <c r="T73" s="981">
        <f>INDEX(CostProjections!$N$11:$W$93,MATCH($B73,CostProjections!$L$11:$L$93,0),MATCH(T$15,CostProjections!$N$10:$W$10,0))*0.001</f>
        <v>437.16439200948946</v>
      </c>
      <c r="U73" s="982">
        <f>INDEX(CostProjections!$Y$11:$AH$93,MATCH($B73,CostProjections!$L$11:$L$93,0),MATCH(U$15,CostProjections!$Y$10:$AH$10,0))*0.001</f>
        <v>11.116725928585442</v>
      </c>
      <c r="V73" s="982">
        <f>INDEX(CostProjections!$Y$11:$AH$93,MATCH($B73,CostProjections!$L$11:$L$93,0),MATCH(V$15,CostProjections!$Y$10:$AH$10,0))*0.001</f>
        <v>11.341072167323178</v>
      </c>
      <c r="W73" s="982">
        <f>INDEX(CostProjections!$Y$11:$AH$93,MATCH($B73,CostProjections!$L$11:$L$93,0),MATCH(W$15,CostProjections!$Y$10:$AH$10,0))*0.001</f>
        <v>11.569945929286646</v>
      </c>
      <c r="X73" s="982">
        <f>INDEX(CostProjections!$Y$11:$AH$93,MATCH($B73,CostProjections!$L$11:$L$93,0),MATCH(X$15,CostProjections!$Y$10:$AH$10,0))*0.001</f>
        <v>11.803438584256215</v>
      </c>
      <c r="Y73" s="689">
        <f t="shared" ref="Y73:Y107" si="13">Y72</f>
        <v>20</v>
      </c>
      <c r="Z73" s="689">
        <f t="shared" si="9"/>
        <v>20</v>
      </c>
      <c r="AA73" s="689">
        <f t="shared" si="11"/>
        <v>2018</v>
      </c>
      <c r="AB73" s="1">
        <f t="shared" ca="1" si="10"/>
        <v>56</v>
      </c>
    </row>
    <row r="74" spans="1:29" x14ac:dyDescent="0.2">
      <c r="A74" s="190" t="str">
        <f>ITEMS_nTech!C65</f>
        <v>Transport Freight - HCV2 Oil Diesel-N</v>
      </c>
      <c r="B74" s="190" t="str">
        <f t="shared" si="12"/>
        <v>TFHCV2ODS-N</v>
      </c>
      <c r="C74" s="611" t="str">
        <f t="shared" ref="C74:C81" si="14">$D$6</f>
        <v>TRAODS</v>
      </c>
      <c r="D74" s="611" t="str">
        <f>TRP!B33</f>
        <v>TFHCV2</v>
      </c>
      <c r="E74" s="692">
        <f t="array" ref="E74">IFERROR(INDEX(Analytica!$F$59:$AY$138,MATCH($B74,Analytica!$B$59:$B$168,0),MATCH(E$15&amp;E$10,Analytica!$F$58:$AY$58&amp;Analytica!$F$51:'Analytica'!$AY$51,0)),"")</f>
        <v>0.13684194378774683</v>
      </c>
      <c r="F74" s="692">
        <f t="array" ref="F74">IFERROR(INDEX(Analytica!$F$59:$AY$138,MATCH($B74,Analytica!$B$59:$B$168,0),MATCH(F$15&amp;F$10,Analytica!$F$58:$AY$58&amp;Analytica!$F$51:'Analytica'!$AY$51,0)),"")</f>
        <v>0.14460102116681806</v>
      </c>
      <c r="G74" s="692">
        <f t="array" ref="G74">IFERROR(INDEX(Analytica!$F$59:$AY$138,MATCH($B74,Analytica!$B$59:$B$168,0),MATCH(G$15&amp;G$10,Analytica!$F$58:$AY$58&amp;Analytica!$F$51:'Analytica'!$AY$51,0)),"")</f>
        <v>0.15988930471162904</v>
      </c>
      <c r="H74" s="692">
        <f t="array" ref="H74">IFERROR(INDEX(Analytica!$F$59:$AY$138,MATCH($B74,Analytica!$B$59:$B$168,0),MATCH(H$15&amp;H$10,Analytica!$F$58:$AY$58&amp;Analytica!$F$51:'Analytica'!$AY$51,0)),"")</f>
        <v>0.17679397804304392</v>
      </c>
      <c r="I74" s="914">
        <v>1</v>
      </c>
      <c r="J74" s="914">
        <v>1</v>
      </c>
      <c r="K74" s="914">
        <v>1</v>
      </c>
      <c r="L74" s="914">
        <v>1</v>
      </c>
      <c r="M74" s="914">
        <v>1</v>
      </c>
      <c r="N74" s="692">
        <f t="array" ref="N74">IFERROR(INDEX(Analytica!$F$59:$AY$138,MATCH($B74,Analytica!$B$59:$B$168,0),MATCH(N$15&amp;N$10,Analytica!$F$58:$AY$58&amp;Analytica!$F$51:'Analytica'!$AY$51,0)),"")</f>
        <v>4.8000000000000001E-2</v>
      </c>
      <c r="O74" s="981">
        <f>INDEX(CostProjections!$N$11:$W$93,MATCH($B74,CostProjections!$L$11:$L$93,0),MATCH(O$15,CostProjections!$N$10:$W$10,0))*0.001</f>
        <v>522.57584162425417</v>
      </c>
      <c r="P74" s="981">
        <f>INDEX(CostProjections!$N$11:$W$93,MATCH($B74,CostProjections!$L$11:$L$93,0),MATCH(P$15,CostProjections!$N$10:$W$10,0))*0.001</f>
        <v>527.82254492205163</v>
      </c>
      <c r="Q74" s="981">
        <f>INDEX(CostProjections!$N$11:$W$93,MATCH($B74,CostProjections!$L$11:$L$93,0),MATCH(Q$15,CostProjections!$N$10:$W$10,0))*0.001</f>
        <v>533.12192554111539</v>
      </c>
      <c r="R74" s="981">
        <f>INDEX(CostProjections!$N$11:$W$93,MATCH($B74,CostProjections!$L$11:$L$93,0),MATCH(R$15,CostProjections!$N$10:$W$10,0))*0.001</f>
        <v>538.47451236596908</v>
      </c>
      <c r="S74" s="981">
        <f>INDEX(CostProjections!$N$11:$W$93,MATCH($B74,CostProjections!$L$11:$L$93,0),MATCH(S$15,CostProjections!$N$10:$W$10,0))*0.001</f>
        <v>543.88083959117944</v>
      </c>
      <c r="T74" s="981">
        <f>INDEX(CostProjections!$N$11:$W$93,MATCH($B74,CostProjections!$L$11:$L$93,0),MATCH(T$15,CostProjections!$N$10:$W$10,0))*0.001</f>
        <v>554.85687889156804</v>
      </c>
      <c r="U74" s="982">
        <f>INDEX(CostProjections!$Y$11:$AH$93,MATCH($B74,CostProjections!$L$11:$L$93,0),MATCH(U$15,CostProjections!$Y$10:$AH$10,0))*0.001</f>
        <v>14.109547723854861</v>
      </c>
      <c r="V74" s="982">
        <f>INDEX(CostProjections!$Y$11:$AH$93,MATCH($B74,CostProjections!$L$11:$L$93,0),MATCH(V$15,CostProjections!$Y$10:$AH$10,0))*0.001</f>
        <v>14.394291989610114</v>
      </c>
      <c r="W74" s="982">
        <f>INDEX(CostProjections!$Y$11:$AH$93,MATCH($B74,CostProjections!$L$11:$L$93,0),MATCH(W$15,CostProjections!$Y$10:$AH$10,0))*0.001</f>
        <v>14.684782668961844</v>
      </c>
      <c r="X74" s="982">
        <f>INDEX(CostProjections!$Y$11:$AH$93,MATCH($B74,CostProjections!$L$11:$L$93,0),MATCH(X$15,CostProjections!$Y$10:$AH$10,0))*0.001</f>
        <v>14.981135730072339</v>
      </c>
      <c r="Y74" s="689">
        <f t="shared" si="13"/>
        <v>20</v>
      </c>
      <c r="Z74" s="689">
        <f t="shared" si="9"/>
        <v>20</v>
      </c>
      <c r="AA74" s="689">
        <f t="shared" si="11"/>
        <v>2018</v>
      </c>
      <c r="AB74" s="1">
        <f t="shared" ca="1" si="10"/>
        <v>57</v>
      </c>
    </row>
    <row r="75" spans="1:29" x14ac:dyDescent="0.2">
      <c r="A75" s="190" t="str">
        <f>ITEMS_nTech!C66</f>
        <v>Transport Freight - HCV3 Oil Diesel-N</v>
      </c>
      <c r="B75" s="190" t="str">
        <f t="shared" si="12"/>
        <v>TFHCV3ODS-N</v>
      </c>
      <c r="C75" s="611" t="str">
        <f t="shared" si="14"/>
        <v>TRAODS</v>
      </c>
      <c r="D75" s="611" t="str">
        <f>TRP!B34</f>
        <v>TFHCV3</v>
      </c>
      <c r="E75" s="692">
        <f t="array" ref="E75">IFERROR(INDEX(Analytica!$F$59:$AY$138,MATCH($B75,Analytica!$B$59:$B$168,0),MATCH(E$15&amp;E$10,Analytica!$F$58:$AY$58&amp;Analytica!$F$51:'Analytica'!$AY$51,0)),"")</f>
        <v>0.11964033060753712</v>
      </c>
      <c r="F75" s="692">
        <f t="array" ref="F75">IFERROR(INDEX(Analytica!$F$59:$AY$138,MATCH($B75,Analytica!$B$59:$B$168,0),MATCH(F$15&amp;F$10,Analytica!$F$58:$AY$58&amp;Analytica!$F$51:'Analytica'!$AY$51,0)),"")</f>
        <v>0.12642405902549511</v>
      </c>
      <c r="G75" s="692">
        <f t="array" ref="G75">IFERROR(INDEX(Analytica!$F$59:$AY$138,MATCH($B75,Analytica!$B$59:$B$168,0),MATCH(G$15&amp;G$10,Analytica!$F$58:$AY$58&amp;Analytica!$F$51:'Analytica'!$AY$51,0)),"")</f>
        <v>0.13979054043531805</v>
      </c>
      <c r="H75" s="692">
        <f t="array" ref="H75">IFERROR(INDEX(Analytica!$F$59:$AY$138,MATCH($B75,Analytica!$B$59:$B$168,0),MATCH(H$15&amp;H$10,Analytica!$F$58:$AY$58&amp;Analytica!$F$51:'Analytica'!$AY$51,0)),"")</f>
        <v>0.15457022457456068</v>
      </c>
      <c r="I75" s="914">
        <v>1</v>
      </c>
      <c r="J75" s="914">
        <v>1</v>
      </c>
      <c r="K75" s="914">
        <v>1</v>
      </c>
      <c r="L75" s="914">
        <v>1</v>
      </c>
      <c r="M75" s="914">
        <v>1</v>
      </c>
      <c r="N75" s="692">
        <f t="array" ref="N75">IFERROR(INDEX(Analytica!$F$59:$AY$138,MATCH($B75,Analytica!$B$59:$B$168,0),MATCH(N$15&amp;N$10,Analytica!$F$58:$AY$58&amp;Analytica!$F$51:'Analytica'!$AY$51,0)),"")</f>
        <v>8.4999999999999992E-2</v>
      </c>
      <c r="O75" s="981">
        <f>INDEX(CostProjections!$N$11:$W$93,MATCH($B75,CostProjections!$L$11:$L$93,0),MATCH(O$15,CostProjections!$N$10:$W$10,0))*0.001</f>
        <v>522.57584162425417</v>
      </c>
      <c r="P75" s="981">
        <f>INDEX(CostProjections!$N$11:$W$93,MATCH($B75,CostProjections!$L$11:$L$93,0),MATCH(P$15,CostProjections!$N$10:$W$10,0))*0.001</f>
        <v>527.82254492205163</v>
      </c>
      <c r="Q75" s="981">
        <f>INDEX(CostProjections!$N$11:$W$93,MATCH($B75,CostProjections!$L$11:$L$93,0),MATCH(Q$15,CostProjections!$N$10:$W$10,0))*0.001</f>
        <v>533.12192554111539</v>
      </c>
      <c r="R75" s="981">
        <f>INDEX(CostProjections!$N$11:$W$93,MATCH($B75,CostProjections!$L$11:$L$93,0),MATCH(R$15,CostProjections!$N$10:$W$10,0))*0.001</f>
        <v>538.47451236596908</v>
      </c>
      <c r="S75" s="981">
        <f>INDEX(CostProjections!$N$11:$W$93,MATCH($B75,CostProjections!$L$11:$L$93,0),MATCH(S$15,CostProjections!$N$10:$W$10,0))*0.001</f>
        <v>543.88083959117944</v>
      </c>
      <c r="T75" s="981">
        <f>INDEX(CostProjections!$N$11:$W$93,MATCH($B75,CostProjections!$L$11:$L$93,0),MATCH(T$15,CostProjections!$N$10:$W$10,0))*0.001</f>
        <v>554.85687889156804</v>
      </c>
      <c r="U75" s="982">
        <f>INDEX(CostProjections!$Y$11:$AH$93,MATCH($B75,CostProjections!$L$11:$L$93,0),MATCH(U$15,CostProjections!$Y$10:$AH$10,0))*0.001</f>
        <v>14.109547723854861</v>
      </c>
      <c r="V75" s="982">
        <f>INDEX(CostProjections!$Y$11:$AH$93,MATCH($B75,CostProjections!$L$11:$L$93,0),MATCH(V$15,CostProjections!$Y$10:$AH$10,0))*0.001</f>
        <v>14.394291989610114</v>
      </c>
      <c r="W75" s="982">
        <f>INDEX(CostProjections!$Y$11:$AH$93,MATCH($B75,CostProjections!$L$11:$L$93,0),MATCH(W$15,CostProjections!$Y$10:$AH$10,0))*0.001</f>
        <v>14.684782668961844</v>
      </c>
      <c r="X75" s="982">
        <f>INDEX(CostProjections!$Y$11:$AH$93,MATCH($B75,CostProjections!$L$11:$L$93,0),MATCH(X$15,CostProjections!$Y$10:$AH$10,0))*0.001</f>
        <v>14.981135730072339</v>
      </c>
      <c r="Y75" s="689">
        <f t="shared" si="13"/>
        <v>20</v>
      </c>
      <c r="Z75" s="689">
        <f t="shared" si="9"/>
        <v>20</v>
      </c>
      <c r="AA75" s="689">
        <f t="shared" si="11"/>
        <v>2018</v>
      </c>
      <c r="AB75" s="1">
        <f t="shared" ca="1" si="10"/>
        <v>58</v>
      </c>
    </row>
    <row r="76" spans="1:29" x14ac:dyDescent="0.2">
      <c r="A76" s="190" t="str">
        <f>ITEMS_nTech!C67</f>
        <v>Transport Freight - HCV4 Oil Diesel-N</v>
      </c>
      <c r="B76" s="190" t="str">
        <f t="shared" si="12"/>
        <v>TFHCV4ODS-N</v>
      </c>
      <c r="C76" s="611" t="str">
        <f t="shared" si="14"/>
        <v>TRAODS</v>
      </c>
      <c r="D76" s="611" t="str">
        <f>TRP!B35</f>
        <v>TFHCV4</v>
      </c>
      <c r="E76" s="692">
        <f t="array" ref="E76">IFERROR(INDEX(Analytica!$F$59:$AY$138,MATCH($B76,Analytica!$B$59:$B$168,0),MATCH(E$15&amp;E$10,Analytica!$F$58:$AY$58&amp;Analytica!$F$51:'Analytica'!$AY$51,0)),"")</f>
        <v>0.10281963637464944</v>
      </c>
      <c r="F76" s="692">
        <f t="array" ref="F76">IFERROR(INDEX(Analytica!$F$59:$AY$138,MATCH($B76,Analytica!$B$59:$B$168,0),MATCH(F$15&amp;F$10,Analytica!$F$58:$AY$58&amp;Analytica!$F$51:'Analytica'!$AY$51,0)),"")</f>
        <v>0.10864961432319646</v>
      </c>
      <c r="G76" s="692">
        <f t="array" ref="G76">IFERROR(INDEX(Analytica!$F$59:$AY$138,MATCH($B76,Analytica!$B$59:$B$168,0),MATCH(G$15&amp;G$10,Analytica!$F$58:$AY$58&amp;Analytica!$F$51:'Analytica'!$AY$51,0)),"")</f>
        <v>0.12013685070233035</v>
      </c>
      <c r="H76" s="692">
        <f t="array" ref="H76">IFERROR(INDEX(Analytica!$F$59:$AY$138,MATCH($B76,Analytica!$B$59:$B$168,0),MATCH(H$15&amp;H$10,Analytica!$F$58:$AY$58&amp;Analytica!$F$51:'Analytica'!$AY$51,0)),"")</f>
        <v>0.13283860220378738</v>
      </c>
      <c r="I76" s="914">
        <v>1</v>
      </c>
      <c r="J76" s="914">
        <v>1</v>
      </c>
      <c r="K76" s="914">
        <v>1</v>
      </c>
      <c r="L76" s="914">
        <v>1</v>
      </c>
      <c r="M76" s="914">
        <v>1</v>
      </c>
      <c r="N76" s="692">
        <f t="array" ref="N76">IFERROR(INDEX(Analytica!$F$59:$AY$138,MATCH($B76,Analytica!$B$59:$B$168,0),MATCH(N$15&amp;N$10,Analytica!$F$58:$AY$58&amp;Analytica!$F$51:'Analytica'!$AY$51,0)),"")</f>
        <v>8.4999999999999992E-2</v>
      </c>
      <c r="O76" s="981">
        <f>INDEX(CostProjections!$N$11:$W$93,MATCH($B76,CostProjections!$L$11:$L$93,0),MATCH(O$15,CostProjections!$N$10:$W$10,0))*0.001</f>
        <v>902.73536260054868</v>
      </c>
      <c r="P76" s="981">
        <f>INDEX(CostProjections!$N$11:$W$93,MATCH($B76,CostProjections!$L$11:$L$93,0),MATCH(P$15,CostProjections!$N$10:$W$10,0))*0.001</f>
        <v>911.79889793213465</v>
      </c>
      <c r="Q76" s="981">
        <f>INDEX(CostProjections!$N$11:$W$93,MATCH($B76,CostProjections!$L$11:$L$93,0),MATCH(Q$15,CostProjections!$N$10:$W$10,0))*0.001</f>
        <v>920.95343188425818</v>
      </c>
      <c r="R76" s="981">
        <f>INDEX(CostProjections!$N$11:$W$93,MATCH($B76,CostProjections!$L$11:$L$93,0),MATCH(R$15,CostProjections!$N$10:$W$10,0))*0.001</f>
        <v>930.19987809035649</v>
      </c>
      <c r="S76" s="981">
        <f>INDEX(CostProjections!$N$11:$W$93,MATCH($B76,CostProjections!$L$11:$L$93,0),MATCH(S$15,CostProjections!$N$10:$W$10,0))*0.001</f>
        <v>939.53915935681937</v>
      </c>
      <c r="T76" s="981">
        <f>INDEX(CostProjections!$N$11:$W$93,MATCH($B76,CostProjections!$L$11:$L$93,0),MATCH(T$15,CostProjections!$N$10:$W$10,0))*0.001</f>
        <v>958.49996471467352</v>
      </c>
      <c r="U76" s="982">
        <f>INDEX(CostProjections!$Y$11:$AH$93,MATCH($B76,CostProjections!$L$11:$L$93,0),MATCH(U$15,CostProjections!$Y$10:$AH$10,0))*0.001</f>
        <v>24.373854790214814</v>
      </c>
      <c r="V76" s="982">
        <f>INDEX(CostProjections!$Y$11:$AH$93,MATCH($B76,CostProjections!$L$11:$L$93,0),MATCH(V$15,CostProjections!$Y$10:$AH$10,0))*0.001</f>
        <v>24.865742660874972</v>
      </c>
      <c r="W76" s="982">
        <f>INDEX(CostProjections!$Y$11:$AH$93,MATCH($B76,CostProjections!$L$11:$L$93,0),MATCH(W$15,CostProjections!$Y$10:$AH$10,0))*0.001</f>
        <v>25.367557302634122</v>
      </c>
      <c r="X76" s="982">
        <f>INDEX(CostProjections!$Y$11:$AH$93,MATCH($B76,CostProjections!$L$11:$L$93,0),MATCH(X$15,CostProjections!$Y$10:$AH$10,0))*0.001</f>
        <v>25.879499047296186</v>
      </c>
      <c r="Y76" s="689">
        <f t="shared" si="13"/>
        <v>20</v>
      </c>
      <c r="Z76" s="689">
        <f t="shared" si="9"/>
        <v>20</v>
      </c>
      <c r="AA76" s="689">
        <f t="shared" si="11"/>
        <v>2018</v>
      </c>
      <c r="AB76" s="1">
        <f t="shared" ca="1" si="10"/>
        <v>59</v>
      </c>
    </row>
    <row r="77" spans="1:29" x14ac:dyDescent="0.2">
      <c r="A77" s="190" t="str">
        <f>ITEMS_nTech!C68</f>
        <v>Transport Freight - HCV5 Oil Diesel-N</v>
      </c>
      <c r="B77" s="190" t="str">
        <f t="shared" si="12"/>
        <v>TFHCV5ODS-N</v>
      </c>
      <c r="C77" s="611" t="str">
        <f t="shared" si="14"/>
        <v>TRAODS</v>
      </c>
      <c r="D77" s="611" t="str">
        <f>TRP!B36</f>
        <v>TFHCV5</v>
      </c>
      <c r="E77" s="692">
        <f t="array" ref="E77">IFERROR(INDEX(Analytica!$F$59:$AY$138,MATCH($B77,Analytica!$B$59:$B$168,0),MATCH(E$15&amp;E$10,Analytica!$F$58:$AY$58&amp;Analytica!$F$51:'Analytica'!$AY$51,0)),"")</f>
        <v>9.4723463153705931E-2</v>
      </c>
      <c r="F77" s="692">
        <f t="array" ref="F77">IFERROR(INDEX(Analytica!$F$59:$AY$138,MATCH($B77,Analytica!$B$59:$B$168,0),MATCH(F$15&amp;F$10,Analytica!$F$58:$AY$58&amp;Analytica!$F$51:'Analytica'!$AY$51,0)),"")</f>
        <v>0.1000943798469327</v>
      </c>
      <c r="G77" s="692">
        <f t="array" ref="G77">IFERROR(INDEX(Analytica!$F$59:$AY$138,MATCH($B77,Analytica!$B$59:$B$168,0),MATCH(G$15&amp;G$10,Analytica!$F$58:$AY$58&amp;Analytica!$F$51:'Analytica'!$AY$51,0)),"")</f>
        <v>0.11067709391073265</v>
      </c>
      <c r="H77" s="692">
        <f t="array" ref="H77">IFERROR(INDEX(Analytica!$F$59:$AY$138,MATCH($B77,Analytica!$B$59:$B$168,0),MATCH(H$15&amp;H$10,Analytica!$F$58:$AY$58&amp;Analytica!$F$51:'Analytica'!$AY$51,0)),"")</f>
        <v>0.12237869034462585</v>
      </c>
      <c r="I77" s="914">
        <v>1</v>
      </c>
      <c r="J77" s="914">
        <v>1</v>
      </c>
      <c r="K77" s="914">
        <v>1</v>
      </c>
      <c r="L77" s="914">
        <v>1</v>
      </c>
      <c r="M77" s="914">
        <v>1</v>
      </c>
      <c r="N77" s="692">
        <f t="array" ref="N77">IFERROR(INDEX(Analytica!$F$59:$AY$138,MATCH($B77,Analytica!$B$59:$B$168,0),MATCH(N$15&amp;N$10,Analytica!$F$58:$AY$58&amp;Analytica!$F$51:'Analytica'!$AY$51,0)),"")</f>
        <v>0.11</v>
      </c>
      <c r="O77" s="981">
        <f>INDEX(CostProjections!$N$11:$W$93,MATCH($B77,CostProjections!$L$11:$L$93,0),MATCH(O$15,CostProjections!$N$10:$W$10,0))*0.001</f>
        <v>858.22359532891846</v>
      </c>
      <c r="P77" s="981">
        <f>INDEX(CostProjections!$N$11:$W$93,MATCH($B77,CostProjections!$L$11:$L$93,0),MATCH(P$15,CostProjections!$N$10:$W$10,0))*0.001</f>
        <v>866.84022895259363</v>
      </c>
      <c r="Q77" s="981">
        <f>INDEX(CostProjections!$N$11:$W$93,MATCH($B77,CostProjections!$L$11:$L$93,0),MATCH(Q$15,CostProjections!$N$10:$W$10,0))*0.001</f>
        <v>875.54337426787095</v>
      </c>
      <c r="R77" s="981">
        <f>INDEX(CostProjections!$N$11:$W$93,MATCH($B77,CostProjections!$L$11:$L$93,0),MATCH(R$15,CostProjections!$N$10:$W$10,0))*0.001</f>
        <v>884.33389985906172</v>
      </c>
      <c r="S77" s="981">
        <f>INDEX(CostProjections!$N$11:$W$93,MATCH($B77,CostProjections!$L$11:$L$93,0),MATCH(S$15,CostProjections!$N$10:$W$10,0))*0.001</f>
        <v>893.21268303113357</v>
      </c>
      <c r="T77" s="981">
        <f>INDEX(CostProjections!$N$11:$W$93,MATCH($B77,CostProjections!$L$11:$L$93,0),MATCH(T$15,CostProjections!$N$10:$W$10,0))*0.001</f>
        <v>911.23857546728675</v>
      </c>
      <c r="U77" s="982">
        <f>INDEX(CostProjections!$Y$11:$AH$93,MATCH($B77,CostProjections!$L$11:$L$93,0),MATCH(U$15,CostProjections!$Y$10:$AH$10,0))*0.001</f>
        <v>23.172037073880798</v>
      </c>
      <c r="V77" s="982">
        <f>INDEX(CostProjections!$Y$11:$AH$93,MATCH($B77,CostProjections!$L$11:$L$93,0),MATCH(V$15,CostProjections!$Y$10:$AH$10,0))*0.001</f>
        <v>23.639671105232516</v>
      </c>
      <c r="W77" s="982">
        <f>INDEX(CostProjections!$Y$11:$AH$93,MATCH($B77,CostProjections!$L$11:$L$93,0),MATCH(W$15,CostProjections!$Y$10:$AH$10,0))*0.001</f>
        <v>24.116742441840604</v>
      </c>
      <c r="X77" s="982">
        <f>INDEX(CostProjections!$Y$11:$AH$93,MATCH($B77,CostProjections!$L$11:$L$93,0),MATCH(X$15,CostProjections!$Y$10:$AH$10,0))*0.001</f>
        <v>24.603441537616742</v>
      </c>
      <c r="Y77" s="689">
        <f t="shared" si="13"/>
        <v>20</v>
      </c>
      <c r="Z77" s="689">
        <f t="shared" si="9"/>
        <v>20</v>
      </c>
      <c r="AA77" s="689">
        <f t="shared" si="11"/>
        <v>2018</v>
      </c>
      <c r="AB77" s="1">
        <f t="shared" ca="1" si="10"/>
        <v>60</v>
      </c>
    </row>
    <row r="78" spans="1:29" x14ac:dyDescent="0.2">
      <c r="A78" s="190" t="str">
        <f>ITEMS_nTech!C69</f>
        <v>Transport Freight - HCV6 Oil Diesel-N</v>
      </c>
      <c r="B78" s="190" t="str">
        <f t="shared" si="12"/>
        <v>TFHCV6ODS-N</v>
      </c>
      <c r="C78" s="611" t="str">
        <f t="shared" si="14"/>
        <v>TRAODS</v>
      </c>
      <c r="D78" s="611" t="str">
        <f>TRP!B37</f>
        <v>TFHCV6</v>
      </c>
      <c r="E78" s="692">
        <f t="array" ref="E78">IFERROR(INDEX(Analytica!$F$59:$AY$138,MATCH($B78,Analytica!$B$59:$B$168,0),MATCH(E$15&amp;E$10,Analytica!$F$58:$AY$58&amp;Analytica!$F$51:'Analytica'!$AY$51,0)),"")</f>
        <v>6.5335885867528767E-2</v>
      </c>
      <c r="F78" s="692">
        <f t="array" ref="F78">IFERROR(INDEX(Analytica!$F$59:$AY$138,MATCH($B78,Analytica!$B$59:$B$168,0),MATCH(F$15&amp;F$10,Analytica!$F$58:$AY$58&amp;Analytica!$F$51:'Analytica'!$AY$51,0)),"")</f>
        <v>6.9040497041882143E-2</v>
      </c>
      <c r="G78" s="692">
        <f t="array" ref="G78">IFERROR(INDEX(Analytica!$F$59:$AY$138,MATCH($B78,Analytica!$B$59:$B$168,0),MATCH(G$15&amp;G$10,Analytica!$F$58:$AY$58&amp;Analytica!$F$51:'Analytica'!$AY$51,0)),"")</f>
        <v>7.6339966204228477E-2</v>
      </c>
      <c r="H78" s="692">
        <f t="array" ref="H78">IFERROR(INDEX(Analytica!$F$59:$AY$138,MATCH($B78,Analytica!$B$59:$B$168,0),MATCH(H$15&amp;H$10,Analytica!$F$58:$AY$58&amp;Analytica!$F$51:'Analytica'!$AY$51,0)),"")</f>
        <v>8.4411188936363318E-2</v>
      </c>
      <c r="I78" s="914">
        <v>1</v>
      </c>
      <c r="J78" s="914">
        <v>1</v>
      </c>
      <c r="K78" s="914">
        <v>1</v>
      </c>
      <c r="L78" s="914">
        <v>1</v>
      </c>
      <c r="M78" s="914">
        <v>1</v>
      </c>
      <c r="N78" s="692">
        <f t="array" ref="N78">IFERROR(INDEX(Analytica!$F$59:$AY$138,MATCH($B78,Analytica!$B$59:$B$168,0),MATCH(N$15&amp;N$10,Analytica!$F$58:$AY$58&amp;Analytica!$F$51:'Analytica'!$AY$51,0)),"")</f>
        <v>0.11</v>
      </c>
      <c r="O78" s="981">
        <f>INDEX(CostProjections!$N$11:$W$93,MATCH($B78,CostProjections!$L$11:$L$93,0),MATCH(O$15,CostProjections!$N$10:$W$10,0))*0.001</f>
        <v>858.22359532891846</v>
      </c>
      <c r="P78" s="981">
        <f>INDEX(CostProjections!$N$11:$W$93,MATCH($B78,CostProjections!$L$11:$L$93,0),MATCH(P$15,CostProjections!$N$10:$W$10,0))*0.001</f>
        <v>866.84022895259363</v>
      </c>
      <c r="Q78" s="981">
        <f>INDEX(CostProjections!$N$11:$W$93,MATCH($B78,CostProjections!$L$11:$L$93,0),MATCH(Q$15,CostProjections!$N$10:$W$10,0))*0.001</f>
        <v>875.54337426787095</v>
      </c>
      <c r="R78" s="981">
        <f>INDEX(CostProjections!$N$11:$W$93,MATCH($B78,CostProjections!$L$11:$L$93,0),MATCH(R$15,CostProjections!$N$10:$W$10,0))*0.001</f>
        <v>884.33389985906172</v>
      </c>
      <c r="S78" s="981">
        <f>INDEX(CostProjections!$N$11:$W$93,MATCH($B78,CostProjections!$L$11:$L$93,0),MATCH(S$15,CostProjections!$N$10:$W$10,0))*0.001</f>
        <v>893.21268303113357</v>
      </c>
      <c r="T78" s="981">
        <f>INDEX(CostProjections!$N$11:$W$93,MATCH($B78,CostProjections!$L$11:$L$93,0),MATCH(T$15,CostProjections!$N$10:$W$10,0))*0.001</f>
        <v>911.23857546728675</v>
      </c>
      <c r="U78" s="982">
        <f>INDEX(CostProjections!$Y$11:$AH$93,MATCH($B78,CostProjections!$L$11:$L$93,0),MATCH(U$15,CostProjections!$Y$10:$AH$10,0))*0.001</f>
        <v>23.172037073880798</v>
      </c>
      <c r="V78" s="982">
        <f>INDEX(CostProjections!$Y$11:$AH$93,MATCH($B78,CostProjections!$L$11:$L$93,0),MATCH(V$15,CostProjections!$Y$10:$AH$10,0))*0.001</f>
        <v>23.639671105232516</v>
      </c>
      <c r="W78" s="982">
        <f>INDEX(CostProjections!$Y$11:$AH$93,MATCH($B78,CostProjections!$L$11:$L$93,0),MATCH(W$15,CostProjections!$Y$10:$AH$10,0))*0.001</f>
        <v>24.116742441840604</v>
      </c>
      <c r="X78" s="982">
        <f>INDEX(CostProjections!$Y$11:$AH$93,MATCH($B78,CostProjections!$L$11:$L$93,0),MATCH(X$15,CostProjections!$Y$10:$AH$10,0))*0.001</f>
        <v>24.603441537616742</v>
      </c>
      <c r="Y78" s="689">
        <f t="shared" si="13"/>
        <v>20</v>
      </c>
      <c r="Z78" s="689">
        <f t="shared" si="9"/>
        <v>20</v>
      </c>
      <c r="AA78" s="689">
        <f t="shared" si="11"/>
        <v>2018</v>
      </c>
      <c r="AB78" s="1">
        <f t="shared" ca="1" si="10"/>
        <v>61</v>
      </c>
    </row>
    <row r="79" spans="1:29" x14ac:dyDescent="0.2">
      <c r="A79" s="190" t="str">
        <f>ITEMS_nTech!C70</f>
        <v>Transport Freight - HCV7 Oil Diesel-N</v>
      </c>
      <c r="B79" s="190" t="str">
        <f t="shared" si="12"/>
        <v>TFHCV7ODS-N</v>
      </c>
      <c r="C79" s="611" t="str">
        <f t="shared" si="14"/>
        <v>TRAODS</v>
      </c>
      <c r="D79" s="611" t="str">
        <f>TRP!B38</f>
        <v>TFHCV7</v>
      </c>
      <c r="E79" s="692">
        <f t="array" ref="E79">IFERROR(INDEX(Analytica!$F$59:$AY$138,MATCH($B79,Analytica!$B$59:$B$168,0),MATCH(E$15&amp;E$10,Analytica!$F$58:$AY$58&amp;Analytica!$F$51:'Analytica'!$AY$51,0)),"")</f>
        <v>7.0529217664861518E-2</v>
      </c>
      <c r="F79" s="692">
        <f t="array" ref="F79">IFERROR(INDEX(Analytica!$F$59:$AY$138,MATCH($B79,Analytica!$B$59:$B$168,0),MATCH(F$15&amp;F$10,Analytica!$F$58:$AY$58&amp;Analytica!$F$51:'Analytica'!$AY$51,0)),"")</f>
        <v>7.4528296033668062E-2</v>
      </c>
      <c r="G79" s="692">
        <f t="array" ref="G79">IFERROR(INDEX(Analytica!$F$59:$AY$138,MATCH($B79,Analytica!$B$59:$B$168,0),MATCH(G$15&amp;G$10,Analytica!$F$58:$AY$58&amp;Analytica!$F$51:'Analytica'!$AY$51,0)),"")</f>
        <v>8.2407975669954003E-2</v>
      </c>
      <c r="H79" s="692">
        <f t="array" ref="H79">IFERROR(INDEX(Analytica!$F$59:$AY$138,MATCH($B79,Analytica!$B$59:$B$168,0),MATCH(H$15&amp;H$10,Analytica!$F$58:$AY$58&amp;Analytica!$F$51:'Analytica'!$AY$51,0)),"")</f>
        <v>9.1120752994968135E-2</v>
      </c>
      <c r="I79" s="914">
        <v>1</v>
      </c>
      <c r="J79" s="914">
        <v>1</v>
      </c>
      <c r="K79" s="914">
        <v>1</v>
      </c>
      <c r="L79" s="914">
        <v>1</v>
      </c>
      <c r="M79" s="914">
        <v>1</v>
      </c>
      <c r="N79" s="692">
        <f t="array" ref="N79">IFERROR(INDEX(Analytica!$F$59:$AY$138,MATCH($B79,Analytica!$B$59:$B$168,0),MATCH(N$15&amp;N$10,Analytica!$F$58:$AY$58&amp;Analytica!$F$51:'Analytica'!$AY$51,0)),"")</f>
        <v>0.16</v>
      </c>
      <c r="O79" s="981">
        <f>INDEX(CostProjections!$N$11:$W$93,MATCH($B79,CostProjections!$L$11:$L$93,0),MATCH(O$15,CostProjections!$N$10:$W$10,0))*0.001</f>
        <v>1128.5294733678718</v>
      </c>
      <c r="P79" s="981">
        <f>INDEX(CostProjections!$N$11:$W$93,MATCH($B79,CostProjections!$L$11:$L$93,0),MATCH(P$15,CostProjections!$N$10:$W$10,0))*0.001</f>
        <v>1139.8599996531614</v>
      </c>
      <c r="Q79" s="981">
        <f>INDEX(CostProjections!$N$11:$W$93,MATCH($B79,CostProjections!$L$11:$L$93,0),MATCH(Q$15,CostProjections!$N$10:$W$10,0))*0.001</f>
        <v>1151.3042853297043</v>
      </c>
      <c r="R79" s="981">
        <f>INDEX(CostProjections!$N$11:$W$93,MATCH($B79,CostProjections!$L$11:$L$93,0),MATCH(R$15,CostProjections!$N$10:$W$10,0))*0.001</f>
        <v>1162.8634725508987</v>
      </c>
      <c r="S79" s="981">
        <f>INDEX(CostProjections!$N$11:$W$93,MATCH($B79,CostProjections!$L$11:$L$93,0),MATCH(S$15,CostProjections!$N$10:$W$10,0))*0.001</f>
        <v>1174.5387149374535</v>
      </c>
      <c r="T79" s="981">
        <f>INDEX(CostProjections!$N$11:$W$93,MATCH($B79,CostProjections!$L$11:$L$93,0),MATCH(T$15,CostProjections!$N$10:$W$10,0))*0.001</f>
        <v>1198.2420377179947</v>
      </c>
      <c r="U79" s="982">
        <f>INDEX(CostProjections!$Y$11:$AH$93,MATCH($B79,CostProjections!$L$11:$L$93,0),MATCH(U$15,CostProjections!$Y$10:$AH$10,0))*0.001</f>
        <v>30.470295780932535</v>
      </c>
      <c r="V79" s="982">
        <f>INDEX(CostProjections!$Y$11:$AH$93,MATCH($B79,CostProjections!$L$11:$L$93,0),MATCH(V$15,CostProjections!$Y$10:$AH$10,0))*0.001</f>
        <v>31.085215703902012</v>
      </c>
      <c r="W79" s="982">
        <f>INDEX(CostProjections!$Y$11:$AH$93,MATCH($B79,CostProjections!$L$11:$L$93,0),MATCH(W$15,CostProjections!$Y$10:$AH$10,0))*0.001</f>
        <v>31.712545303311245</v>
      </c>
      <c r="X79" s="982">
        <f>INDEX(CostProjections!$Y$11:$AH$93,MATCH($B79,CostProjections!$L$11:$L$93,0),MATCH(X$15,CostProjections!$Y$10:$AH$10,0))*0.001</f>
        <v>32.352535018385858</v>
      </c>
      <c r="Y79" s="689">
        <f t="shared" si="13"/>
        <v>20</v>
      </c>
      <c r="Z79" s="689">
        <f t="shared" si="9"/>
        <v>20</v>
      </c>
      <c r="AA79" s="689">
        <f t="shared" si="11"/>
        <v>2018</v>
      </c>
      <c r="AB79" s="1">
        <f t="shared" ca="1" si="10"/>
        <v>62</v>
      </c>
    </row>
    <row r="80" spans="1:29" x14ac:dyDescent="0.2">
      <c r="A80" s="190" t="str">
        <f>ITEMS_nTech!C71</f>
        <v>Transport Freight - HCV8 Oil Diesel-N</v>
      </c>
      <c r="B80" s="190" t="str">
        <f t="shared" si="12"/>
        <v>TFHCV8ODS-N</v>
      </c>
      <c r="C80" s="611" t="str">
        <f t="shared" si="14"/>
        <v>TRAODS</v>
      </c>
      <c r="D80" s="611" t="str">
        <f>TRP!B39</f>
        <v>TFHCV8</v>
      </c>
      <c r="E80" s="692">
        <f t="array" ref="E80">IFERROR(INDEX(Analytica!$F$59:$AY$138,MATCH($B80,Analytica!$B$59:$B$168,0),MATCH(E$15&amp;E$10,Analytica!$F$58:$AY$58&amp;Analytica!$F$51:'Analytica'!$AY$51,0)),"")</f>
        <v>6.9401604619788601E-2</v>
      </c>
      <c r="F80" s="692">
        <f t="array" ref="F80">IFERROR(INDEX(Analytica!$F$59:$AY$138,MATCH($B80,Analytica!$B$59:$B$168,0),MATCH(F$15&amp;F$10,Analytica!$F$58:$AY$58&amp;Analytica!$F$51:'Analytica'!$AY$51,0)),"")</f>
        <v>7.3336746182173118E-2</v>
      </c>
      <c r="G80" s="692">
        <f t="array" ref="G80">IFERROR(INDEX(Analytica!$F$59:$AY$138,MATCH($B80,Analytica!$B$59:$B$168,0),MATCH(G$15&amp;G$10,Analytica!$F$58:$AY$58&amp;Analytica!$F$51:'Analytica'!$AY$51,0)),"")</f>
        <v>8.109044640392632E-2</v>
      </c>
      <c r="H80" s="692">
        <f t="array" ref="H80">IFERROR(INDEX(Analytica!$F$59:$AY$138,MATCH($B80,Analytica!$B$59:$B$168,0),MATCH(H$15&amp;H$10,Analytica!$F$58:$AY$58&amp;Analytica!$F$51:'Analytica'!$AY$51,0)),"")</f>
        <v>8.966392484408417E-2</v>
      </c>
      <c r="I80" s="914">
        <v>1</v>
      </c>
      <c r="J80" s="914">
        <v>1</v>
      </c>
      <c r="K80" s="914">
        <v>1</v>
      </c>
      <c r="L80" s="914">
        <v>1</v>
      </c>
      <c r="M80" s="914">
        <v>1</v>
      </c>
      <c r="N80" s="692">
        <f t="array" ref="N80">IFERROR(INDEX(Analytica!$F$59:$AY$138,MATCH($B80,Analytica!$B$59:$B$168,0),MATCH(N$15&amp;N$10,Analytica!$F$58:$AY$58&amp;Analytica!$F$51:'Analytica'!$AY$51,0)),"")</f>
        <v>0.16</v>
      </c>
      <c r="O80" s="981">
        <f>INDEX(CostProjections!$N$11:$W$93,MATCH($B80,CostProjections!$L$11:$L$93,0),MATCH(O$15,CostProjections!$N$10:$W$10,0))*0.001</f>
        <v>1128.5294733678718</v>
      </c>
      <c r="P80" s="981">
        <f>INDEX(CostProjections!$N$11:$W$93,MATCH($B80,CostProjections!$L$11:$L$93,0),MATCH(P$15,CostProjections!$N$10:$W$10,0))*0.001</f>
        <v>1139.8599996531614</v>
      </c>
      <c r="Q80" s="981">
        <f>INDEX(CostProjections!$N$11:$W$93,MATCH($B80,CostProjections!$L$11:$L$93,0),MATCH(Q$15,CostProjections!$N$10:$W$10,0))*0.001</f>
        <v>1151.3042853297043</v>
      </c>
      <c r="R80" s="981">
        <f>INDEX(CostProjections!$N$11:$W$93,MATCH($B80,CostProjections!$L$11:$L$93,0),MATCH(R$15,CostProjections!$N$10:$W$10,0))*0.001</f>
        <v>1162.8634725508987</v>
      </c>
      <c r="S80" s="981">
        <f>INDEX(CostProjections!$N$11:$W$93,MATCH($B80,CostProjections!$L$11:$L$93,0),MATCH(S$15,CostProjections!$N$10:$W$10,0))*0.001</f>
        <v>1174.5387149374535</v>
      </c>
      <c r="T80" s="981">
        <f>INDEX(CostProjections!$N$11:$W$93,MATCH($B80,CostProjections!$L$11:$L$93,0),MATCH(T$15,CostProjections!$N$10:$W$10,0))*0.001</f>
        <v>1198.2420377179947</v>
      </c>
      <c r="U80" s="982">
        <f>INDEX(CostProjections!$Y$11:$AH$93,MATCH($B80,CostProjections!$L$11:$L$93,0),MATCH(U$15,CostProjections!$Y$10:$AH$10,0))*0.001</f>
        <v>30.470295780932535</v>
      </c>
      <c r="V80" s="982">
        <f>INDEX(CostProjections!$Y$11:$AH$93,MATCH($B80,CostProjections!$L$11:$L$93,0),MATCH(V$15,CostProjections!$Y$10:$AH$10,0))*0.001</f>
        <v>31.085215703902012</v>
      </c>
      <c r="W80" s="982">
        <f>INDEX(CostProjections!$Y$11:$AH$93,MATCH($B80,CostProjections!$L$11:$L$93,0),MATCH(W$15,CostProjections!$Y$10:$AH$10,0))*0.001</f>
        <v>31.712545303311245</v>
      </c>
      <c r="X80" s="982">
        <f>INDEX(CostProjections!$Y$11:$AH$93,MATCH($B80,CostProjections!$L$11:$L$93,0),MATCH(X$15,CostProjections!$Y$10:$AH$10,0))*0.001</f>
        <v>32.352535018385858</v>
      </c>
      <c r="Y80" s="689">
        <f t="shared" si="13"/>
        <v>20</v>
      </c>
      <c r="Z80" s="689">
        <f t="shared" si="9"/>
        <v>20</v>
      </c>
      <c r="AA80" s="689">
        <f t="shared" si="11"/>
        <v>2018</v>
      </c>
      <c r="AB80" s="1">
        <f t="shared" ca="1" si="10"/>
        <v>63</v>
      </c>
    </row>
    <row r="81" spans="1:29" x14ac:dyDescent="0.2">
      <c r="A81" s="190" t="str">
        <f>ITEMS_nTech!C72</f>
        <v>Transport Freight - HCV9 Oil Diesel-N</v>
      </c>
      <c r="B81" s="190" t="str">
        <f t="shared" si="12"/>
        <v>TFHCV9ODS-N</v>
      </c>
      <c r="C81" s="611" t="str">
        <f t="shared" si="14"/>
        <v>TRAODS</v>
      </c>
      <c r="D81" s="611" t="str">
        <f>TRP!B40</f>
        <v>TFHCV9</v>
      </c>
      <c r="E81" s="692">
        <f t="array" ref="E81">IFERROR(INDEX(Analytica!$F$59:$AY$138,MATCH($B81,Analytica!$B$59:$B$168,0),MATCH(E$15&amp;E$10,Analytica!$F$58:$AY$58&amp;Analytica!$F$51:'Analytica'!$AY$51,0)),"")</f>
        <v>5.4534804966928384E-2</v>
      </c>
      <c r="F81" s="692">
        <f t="array" ref="F81">IFERROR(INDEX(Analytica!$F$59:$AY$138,MATCH($B81,Analytica!$B$59:$B$168,0),MATCH(F$15&amp;F$10,Analytica!$F$58:$AY$58&amp;Analytica!$F$51:'Analytica'!$AY$51,0)),"")</f>
        <v>5.7626983869672431E-2</v>
      </c>
      <c r="G81" s="692">
        <f t="array" ref="G81">IFERROR(INDEX(Analytica!$F$59:$AY$138,MATCH($B81,Analytica!$B$59:$B$168,0),MATCH(G$15&amp;G$10,Analytica!$F$58:$AY$58&amp;Analytica!$F$51:'Analytica'!$AY$51,0)),"")</f>
        <v>6.3719732469389584E-2</v>
      </c>
      <c r="H81" s="692">
        <f t="array" ref="H81">IFERROR(INDEX(Analytica!$F$59:$AY$138,MATCH($B81,Analytica!$B$59:$B$168,0),MATCH(H$15&amp;H$10,Analytica!$F$58:$AY$58&amp;Analytica!$F$51:'Analytica'!$AY$51,0)),"")</f>
        <v>7.0456651265195916E-2</v>
      </c>
      <c r="I81" s="914">
        <v>1</v>
      </c>
      <c r="J81" s="914">
        <v>1</v>
      </c>
      <c r="K81" s="914">
        <v>1</v>
      </c>
      <c r="L81" s="914">
        <v>1</v>
      </c>
      <c r="M81" s="914">
        <v>1</v>
      </c>
      <c r="N81" s="692">
        <f t="array" ref="N81">IFERROR(INDEX(Analytica!$F$59:$AY$138,MATCH($B81,Analytica!$B$59:$B$168,0),MATCH(N$15&amp;N$10,Analytica!$F$58:$AY$58&amp;Analytica!$F$51:'Analytica'!$AY$51,0)),"")</f>
        <v>0.18</v>
      </c>
      <c r="O81" s="981">
        <f>INDEX(CostProjections!$N$11:$W$93,MATCH($B81,CostProjections!$L$11:$L$93,0),MATCH(O$15,CostProjections!$N$10:$W$10,0))*0.001</f>
        <v>1128.5294733678718</v>
      </c>
      <c r="P81" s="981">
        <f>INDEX(CostProjections!$N$11:$W$93,MATCH($B81,CostProjections!$L$11:$L$93,0),MATCH(P$15,CostProjections!$N$10:$W$10,0))*0.001</f>
        <v>1139.8599996531614</v>
      </c>
      <c r="Q81" s="981">
        <f>INDEX(CostProjections!$N$11:$W$93,MATCH($B81,CostProjections!$L$11:$L$93,0),MATCH(Q$15,CostProjections!$N$10:$W$10,0))*0.001</f>
        <v>1151.3042853297043</v>
      </c>
      <c r="R81" s="981">
        <f>INDEX(CostProjections!$N$11:$W$93,MATCH($B81,CostProjections!$L$11:$L$93,0),MATCH(R$15,CostProjections!$N$10:$W$10,0))*0.001</f>
        <v>1162.8634725508987</v>
      </c>
      <c r="S81" s="981">
        <f>INDEX(CostProjections!$N$11:$W$93,MATCH($B81,CostProjections!$L$11:$L$93,0),MATCH(S$15,CostProjections!$N$10:$W$10,0))*0.001</f>
        <v>1174.5387149374535</v>
      </c>
      <c r="T81" s="981">
        <f>INDEX(CostProjections!$N$11:$W$93,MATCH($B81,CostProjections!$L$11:$L$93,0),MATCH(T$15,CostProjections!$N$10:$W$10,0))*0.001</f>
        <v>1198.2420377179947</v>
      </c>
      <c r="U81" s="982">
        <f>INDEX(CostProjections!$Y$11:$AH$93,MATCH($B81,CostProjections!$L$11:$L$93,0),MATCH(U$15,CostProjections!$Y$10:$AH$10,0))*0.001</f>
        <v>30.470295780932535</v>
      </c>
      <c r="V81" s="982">
        <f>INDEX(CostProjections!$Y$11:$AH$93,MATCH($B81,CostProjections!$L$11:$L$93,0),MATCH(V$15,CostProjections!$Y$10:$AH$10,0))*0.001</f>
        <v>31.085215703902012</v>
      </c>
      <c r="W81" s="982">
        <f>INDEX(CostProjections!$Y$11:$AH$93,MATCH($B81,CostProjections!$L$11:$L$93,0),MATCH(W$15,CostProjections!$Y$10:$AH$10,0))*0.001</f>
        <v>31.712545303311245</v>
      </c>
      <c r="X81" s="982">
        <f>INDEX(CostProjections!$Y$11:$AH$93,MATCH($B81,CostProjections!$L$11:$L$93,0),MATCH(X$15,CostProjections!$Y$10:$AH$10,0))*0.001</f>
        <v>32.352535018385858</v>
      </c>
      <c r="Y81" s="689">
        <f t="shared" si="13"/>
        <v>20</v>
      </c>
      <c r="Z81" s="689">
        <f t="shared" si="9"/>
        <v>20</v>
      </c>
      <c r="AA81" s="689">
        <f t="shared" si="11"/>
        <v>2018</v>
      </c>
      <c r="AB81" s="1">
        <f t="shared" ca="1" si="10"/>
        <v>64</v>
      </c>
    </row>
    <row r="82" spans="1:29" x14ac:dyDescent="0.2">
      <c r="A82" s="190" t="str">
        <f>ITEMS_nTech!C73</f>
        <v>Transport Freight - HCV1 Gas-N</v>
      </c>
      <c r="B82" s="190" t="str">
        <f t="shared" si="12"/>
        <v>TFHCV1GAS-N</v>
      </c>
      <c r="C82" s="611" t="str">
        <f t="shared" ref="C82:C90" si="15">$F$6</f>
        <v>TRAGAS</v>
      </c>
      <c r="D82" s="611" t="str">
        <f>TRP!B32</f>
        <v>TFHCV1</v>
      </c>
      <c r="E82" s="692">
        <f t="array" ref="E82">IFERROR(INDEX(Analytica!$F$59:$AY$138,MATCH($B82,Analytica!$B$59:$B$168,0),MATCH(E$15&amp;E$10,Analytica!$F$58:$AY$58&amp;Analytica!$F$51:'Analytica'!$AY$51,0)),"")</f>
        <v>0.14855319325660585</v>
      </c>
      <c r="F82" s="692">
        <f t="array" ref="F82">IFERROR(INDEX(Analytica!$F$59:$AY$138,MATCH($B82,Analytica!$B$59:$B$168,0),MATCH(F$15&amp;F$10,Analytica!$F$58:$AY$58&amp;Analytica!$F$51:'Analytica'!$AY$51,0)),"")</f>
        <v>0.15697631039073517</v>
      </c>
      <c r="G82" s="692">
        <f t="array" ref="G82">IFERROR(INDEX(Analytica!$F$59:$AY$138,MATCH($B82,Analytica!$B$59:$B$168,0),MATCH(G$15&amp;G$10,Analytica!$F$58:$AY$58&amp;Analytica!$F$51:'Analytica'!$AY$51,0)),"")</f>
        <v>0.17357300053653429</v>
      </c>
      <c r="H82" s="692">
        <f t="array" ref="H82">IFERROR(INDEX(Analytica!$F$59:$AY$138,MATCH($B82,Analytica!$B$59:$B$168,0),MATCH(H$15&amp;H$10,Analytica!$F$58:$AY$58&amp;Analytica!$F$51:'Analytica'!$AY$51,0)),"")</f>
        <v>0.19192441483854544</v>
      </c>
      <c r="I82" s="914">
        <v>1</v>
      </c>
      <c r="J82" s="914">
        <v>1</v>
      </c>
      <c r="K82" s="914">
        <v>1</v>
      </c>
      <c r="L82" s="914">
        <v>1</v>
      </c>
      <c r="M82" s="914">
        <v>1</v>
      </c>
      <c r="N82" s="692">
        <f t="array" ref="N82">IFERROR(INDEX(Analytica!$F$59:$AY$138,MATCH($B82,Analytica!$B$59:$B$168,0),MATCH(N$15&amp;N$10,Analytica!$F$58:$AY$58&amp;Analytica!$F$51:'Analytica'!$AY$51,0)),"")</f>
        <v>4.8000000000000001E-2</v>
      </c>
      <c r="O82" s="981">
        <f>INDEX(CostProjections!$N$11:$W$93,MATCH($B82,CostProjections!$L$11:$L$93,0),MATCH(O$15,CostProjections!$N$10:$W$10,0))*0.001</f>
        <v>645.6084743842323</v>
      </c>
      <c r="P82" s="981">
        <f>INDEX(CostProjections!$N$11:$W$93,MATCH($B82,CostProjections!$L$11:$L$93,0),MATCH(P$15,CostProjections!$N$10:$W$10,0))*0.001</f>
        <v>652.09043516739712</v>
      </c>
      <c r="Q82" s="981">
        <f>INDEX(CostProjections!$N$11:$W$93,MATCH($B82,CostProjections!$L$11:$L$93,0),MATCH(Q$15,CostProjections!$N$10:$W$10,0))*0.001</f>
        <v>658.63747535590073</v>
      </c>
      <c r="R82" s="981">
        <f>INDEX(CostProjections!$N$11:$W$93,MATCH($B82,CostProjections!$L$11:$L$93,0),MATCH(R$15,CostProjections!$N$10:$W$10,0))*0.001</f>
        <v>665.25024835218414</v>
      </c>
      <c r="S82" s="981">
        <f>INDEX(CostProjections!$N$11:$W$93,MATCH($B82,CostProjections!$L$11:$L$93,0),MATCH(S$15,CostProjections!$N$10:$W$10,0))*0.001</f>
        <v>671.92941411890092</v>
      </c>
      <c r="T82" s="981">
        <f>INDEX(CostProjections!$N$11:$W$93,MATCH($B82,CostProjections!$L$11:$L$93,0),MATCH(T$15,CostProjections!$N$10:$W$10,0))*0.001</f>
        <v>685.48959701116814</v>
      </c>
      <c r="U82" s="982">
        <f>INDEX(CostProjections!$Y$11:$AH$93,MATCH($B82,CostProjections!$L$11:$L$93,0),MATCH(U$15,CostProjections!$Y$10:$AH$10,0))*0.001</f>
        <v>17.431428808374271</v>
      </c>
      <c r="V82" s="982">
        <f>INDEX(CostProjections!$Y$11:$AH$93,MATCH($B82,CostProjections!$L$11:$L$93,0),MATCH(V$15,CostProjections!$Y$10:$AH$10,0))*0.001</f>
        <v>17.783211834609318</v>
      </c>
      <c r="W82" s="982">
        <f>INDEX(CostProjections!$Y$11:$AH$93,MATCH($B82,CostProjections!$L$11:$L$93,0),MATCH(W$15,CostProjections!$Y$10:$AH$10,0))*0.001</f>
        <v>18.142094181210322</v>
      </c>
      <c r="X82" s="982">
        <f>INDEX(CostProjections!$Y$11:$AH$93,MATCH($B82,CostProjections!$L$11:$L$93,0),MATCH(X$15,CostProjections!$Y$10:$AH$10,0))*0.001</f>
        <v>18.50821911930154</v>
      </c>
      <c r="Y82" s="689">
        <f t="shared" si="13"/>
        <v>20</v>
      </c>
      <c r="Z82" s="689">
        <f t="shared" ref="Z82:Z107" si="16">Y82</f>
        <v>20</v>
      </c>
      <c r="AA82" s="919">
        <v>2080</v>
      </c>
      <c r="AB82" s="1">
        <f t="shared" ref="AB82:AB124" ca="1" si="17">OFFSET(AB82,-1,0)+1</f>
        <v>65</v>
      </c>
      <c r="AC82" s="1">
        <v>1</v>
      </c>
    </row>
    <row r="83" spans="1:29" x14ac:dyDescent="0.2">
      <c r="A83" s="190" t="str">
        <f>ITEMS_nTech!C74</f>
        <v>Transport Freight - HCV2 Gas-N</v>
      </c>
      <c r="B83" s="190" t="str">
        <f t="shared" si="12"/>
        <v>TFHCV2GAS-N</v>
      </c>
      <c r="C83" s="611" t="str">
        <f t="shared" si="15"/>
        <v>TRAGAS</v>
      </c>
      <c r="D83" s="611" t="str">
        <f>TRP!B33</f>
        <v>TFHCV2</v>
      </c>
      <c r="E83" s="692">
        <f t="array" ref="E83">IFERROR(INDEX(Analytica!$F$59:$AY$138,MATCH($B83,Analytica!$B$59:$B$168,0),MATCH(E$15&amp;E$10,Analytica!$F$58:$AY$58&amp;Analytica!$F$51:'Analytica'!$AY$51,0)),"")</f>
        <v>0.11899299459804072</v>
      </c>
      <c r="F83" s="692">
        <f t="array" ref="F83">IFERROR(INDEX(Analytica!$F$59:$AY$138,MATCH($B83,Analytica!$B$59:$B$168,0),MATCH(F$15&amp;F$10,Analytica!$F$58:$AY$58&amp;Analytica!$F$51:'Analytica'!$AY$51,0)),"")</f>
        <v>0.12574001840592877</v>
      </c>
      <c r="G83" s="692">
        <f t="array" ref="G83">IFERROR(INDEX(Analytica!$F$59:$AY$138,MATCH($B83,Analytica!$B$59:$B$168,0),MATCH(G$15&amp;G$10,Analytica!$F$58:$AY$58&amp;Analytica!$F$51:'Analytica'!$AY$51,0)),"")</f>
        <v>0.13903417801011222</v>
      </c>
      <c r="H83" s="692">
        <f t="array" ref="H83">IFERROR(INDEX(Analytica!$F$59:$AY$138,MATCH($B83,Analytica!$B$59:$B$168,0),MATCH(H$15&amp;H$10,Analytica!$F$58:$AY$58&amp;Analytica!$F$51:'Analytica'!$AY$51,0)),"")</f>
        <v>0.15373389395047296</v>
      </c>
      <c r="I83" s="914">
        <v>1</v>
      </c>
      <c r="J83" s="914">
        <v>1</v>
      </c>
      <c r="K83" s="914">
        <v>1</v>
      </c>
      <c r="L83" s="914">
        <v>1</v>
      </c>
      <c r="M83" s="914">
        <v>1</v>
      </c>
      <c r="N83" s="692">
        <f t="array" ref="N83">IFERROR(INDEX(Analytica!$F$59:$AY$138,MATCH($B83,Analytica!$B$59:$B$168,0),MATCH(N$15&amp;N$10,Analytica!$F$58:$AY$58&amp;Analytica!$F$51:'Analytica'!$AY$51,0)),"")</f>
        <v>4.8000000000000001E-2</v>
      </c>
      <c r="O83" s="981">
        <f>INDEX(CostProjections!$N$11:$W$93,MATCH($B83,CostProjections!$L$11:$L$93,0),MATCH(O$15,CostProjections!$N$10:$W$10,0))*0.001</f>
        <v>645.6084743842323</v>
      </c>
      <c r="P83" s="981">
        <f>INDEX(CostProjections!$N$11:$W$93,MATCH($B83,CostProjections!$L$11:$L$93,0),MATCH(P$15,CostProjections!$N$10:$W$10,0))*0.001</f>
        <v>652.09043516739712</v>
      </c>
      <c r="Q83" s="981">
        <f>INDEX(CostProjections!$N$11:$W$93,MATCH($B83,CostProjections!$L$11:$L$93,0),MATCH(Q$15,CostProjections!$N$10:$W$10,0))*0.001</f>
        <v>658.63747535590073</v>
      </c>
      <c r="R83" s="981">
        <f>INDEX(CostProjections!$N$11:$W$93,MATCH($B83,CostProjections!$L$11:$L$93,0),MATCH(R$15,CostProjections!$N$10:$W$10,0))*0.001</f>
        <v>665.25024835218414</v>
      </c>
      <c r="S83" s="981">
        <f>INDEX(CostProjections!$N$11:$W$93,MATCH($B83,CostProjections!$L$11:$L$93,0),MATCH(S$15,CostProjections!$N$10:$W$10,0))*0.001</f>
        <v>671.92941411890092</v>
      </c>
      <c r="T83" s="981">
        <f>INDEX(CostProjections!$N$11:$W$93,MATCH($B83,CostProjections!$L$11:$L$93,0),MATCH(T$15,CostProjections!$N$10:$W$10,0))*0.001</f>
        <v>685.48959701116814</v>
      </c>
      <c r="U83" s="982">
        <f>INDEX(CostProjections!$Y$11:$AH$93,MATCH($B83,CostProjections!$L$11:$L$93,0),MATCH(U$15,CostProjections!$Y$10:$AH$10,0))*0.001</f>
        <v>17.431428808374271</v>
      </c>
      <c r="V83" s="982">
        <f>INDEX(CostProjections!$Y$11:$AH$93,MATCH($B83,CostProjections!$L$11:$L$93,0),MATCH(V$15,CostProjections!$Y$10:$AH$10,0))*0.001</f>
        <v>17.783211834609318</v>
      </c>
      <c r="W83" s="982">
        <f>INDEX(CostProjections!$Y$11:$AH$93,MATCH($B83,CostProjections!$L$11:$L$93,0),MATCH(W$15,CostProjections!$Y$10:$AH$10,0))*0.001</f>
        <v>18.142094181210322</v>
      </c>
      <c r="X83" s="982">
        <f>INDEX(CostProjections!$Y$11:$AH$93,MATCH($B83,CostProjections!$L$11:$L$93,0),MATCH(X$15,CostProjections!$Y$10:$AH$10,0))*0.001</f>
        <v>18.50821911930154</v>
      </c>
      <c r="Y83" s="689">
        <f t="shared" si="13"/>
        <v>20</v>
      </c>
      <c r="Z83" s="689">
        <f t="shared" si="16"/>
        <v>20</v>
      </c>
      <c r="AA83" s="919">
        <v>2080</v>
      </c>
      <c r="AB83" s="1">
        <f t="shared" ca="1" si="17"/>
        <v>66</v>
      </c>
      <c r="AC83" s="1">
        <v>1</v>
      </c>
    </row>
    <row r="84" spans="1:29" x14ac:dyDescent="0.2">
      <c r="A84" s="190" t="str">
        <f>ITEMS_nTech!C75</f>
        <v>Transport Freight - HCV3 Gas-N</v>
      </c>
      <c r="B84" s="190" t="str">
        <f t="shared" si="12"/>
        <v>TFHCV3GAS-N</v>
      </c>
      <c r="C84" s="611" t="str">
        <f t="shared" si="15"/>
        <v>TRAGAS</v>
      </c>
      <c r="D84" s="611" t="str">
        <f>TRP!B34</f>
        <v>TFHCV3</v>
      </c>
      <c r="E84" s="692">
        <f t="array" ref="E84">IFERROR(INDEX(Analytica!$F$59:$AY$138,MATCH($B84,Analytica!$B$59:$B$168,0),MATCH(E$15&amp;E$10,Analytica!$F$58:$AY$58&amp;Analytica!$F$51:'Analytica'!$AY$51,0)),"")</f>
        <v>0.10403507009351054</v>
      </c>
      <c r="F84" s="692">
        <f t="array" ref="F84">IFERROR(INDEX(Analytica!$F$59:$AY$138,MATCH($B84,Analytica!$B$59:$B$168,0),MATCH(F$15&amp;F$10,Analytica!$F$58:$AY$58&amp;Analytica!$F$51:'Analytica'!$AY$51,0)),"")</f>
        <v>0.10993396436999574</v>
      </c>
      <c r="G84" s="692">
        <f t="array" ref="G84">IFERROR(INDEX(Analytica!$F$59:$AY$138,MATCH($B84,Analytica!$B$59:$B$168,0),MATCH(G$15&amp;G$10,Analytica!$F$58:$AY$58&amp;Analytica!$F$51:'Analytica'!$AY$51,0)),"")</f>
        <v>0.12155699168288527</v>
      </c>
      <c r="H84" s="692">
        <f t="array" ref="H84">IFERROR(INDEX(Analytica!$F$59:$AY$138,MATCH($B84,Analytica!$B$59:$B$168,0),MATCH(H$15&amp;H$10,Analytica!$F$58:$AY$58&amp;Analytica!$F$51:'Analytica'!$AY$51,0)),"")</f>
        <v>0.13440889093440059</v>
      </c>
      <c r="I84" s="914">
        <v>1</v>
      </c>
      <c r="J84" s="914">
        <v>1</v>
      </c>
      <c r="K84" s="914">
        <v>1</v>
      </c>
      <c r="L84" s="914">
        <v>1</v>
      </c>
      <c r="M84" s="914">
        <v>1</v>
      </c>
      <c r="N84" s="692">
        <f t="array" ref="N84">IFERROR(INDEX(Analytica!$F$59:$AY$138,MATCH($B84,Analytica!$B$59:$B$168,0),MATCH(N$15&amp;N$10,Analytica!$F$58:$AY$58&amp;Analytica!$F$51:'Analytica'!$AY$51,0)),"")</f>
        <v>8.4999999999999992E-2</v>
      </c>
      <c r="O84" s="981">
        <f>INDEX(CostProjections!$N$11:$W$93,MATCH($B84,CostProjections!$L$11:$L$93,0),MATCH(O$15,CostProjections!$N$10:$W$10,0))*0.001</f>
        <v>645.6084743842323</v>
      </c>
      <c r="P84" s="981">
        <f>INDEX(CostProjections!$N$11:$W$93,MATCH($B84,CostProjections!$L$11:$L$93,0),MATCH(P$15,CostProjections!$N$10:$W$10,0))*0.001</f>
        <v>652.09043516739712</v>
      </c>
      <c r="Q84" s="981">
        <f>INDEX(CostProjections!$N$11:$W$93,MATCH($B84,CostProjections!$L$11:$L$93,0),MATCH(Q$15,CostProjections!$N$10:$W$10,0))*0.001</f>
        <v>658.63747535590073</v>
      </c>
      <c r="R84" s="981">
        <f>INDEX(CostProjections!$N$11:$W$93,MATCH($B84,CostProjections!$L$11:$L$93,0),MATCH(R$15,CostProjections!$N$10:$W$10,0))*0.001</f>
        <v>665.25024835218414</v>
      </c>
      <c r="S84" s="981">
        <f>INDEX(CostProjections!$N$11:$W$93,MATCH($B84,CostProjections!$L$11:$L$93,0),MATCH(S$15,CostProjections!$N$10:$W$10,0))*0.001</f>
        <v>671.92941411890092</v>
      </c>
      <c r="T84" s="981">
        <f>INDEX(CostProjections!$N$11:$W$93,MATCH($B84,CostProjections!$L$11:$L$93,0),MATCH(T$15,CostProjections!$N$10:$W$10,0))*0.001</f>
        <v>685.48959701116814</v>
      </c>
      <c r="U84" s="982">
        <f>INDEX(CostProjections!$Y$11:$AH$93,MATCH($B84,CostProjections!$L$11:$L$93,0),MATCH(U$15,CostProjections!$Y$10:$AH$10,0))*0.001</f>
        <v>17.431428808374271</v>
      </c>
      <c r="V84" s="982">
        <f>INDEX(CostProjections!$Y$11:$AH$93,MATCH($B84,CostProjections!$L$11:$L$93,0),MATCH(V$15,CostProjections!$Y$10:$AH$10,0))*0.001</f>
        <v>17.783211834609318</v>
      </c>
      <c r="W84" s="982">
        <f>INDEX(CostProjections!$Y$11:$AH$93,MATCH($B84,CostProjections!$L$11:$L$93,0),MATCH(W$15,CostProjections!$Y$10:$AH$10,0))*0.001</f>
        <v>18.142094181210322</v>
      </c>
      <c r="X84" s="982">
        <f>INDEX(CostProjections!$Y$11:$AH$93,MATCH($B84,CostProjections!$L$11:$L$93,0),MATCH(X$15,CostProjections!$Y$10:$AH$10,0))*0.001</f>
        <v>18.50821911930154</v>
      </c>
      <c r="Y84" s="689">
        <f t="shared" si="13"/>
        <v>20</v>
      </c>
      <c r="Z84" s="689">
        <f t="shared" si="16"/>
        <v>20</v>
      </c>
      <c r="AA84" s="919">
        <v>2080</v>
      </c>
      <c r="AB84" s="1">
        <f t="shared" ca="1" si="17"/>
        <v>67</v>
      </c>
      <c r="AC84" s="1">
        <v>1</v>
      </c>
    </row>
    <row r="85" spans="1:29" x14ac:dyDescent="0.2">
      <c r="A85" s="190" t="str">
        <f>ITEMS_nTech!C76</f>
        <v>Transport Freight - HCV4 Gas-N</v>
      </c>
      <c r="B85" s="190" t="str">
        <f t="shared" si="12"/>
        <v>TFHCV4GAS-N</v>
      </c>
      <c r="C85" s="611" t="str">
        <f t="shared" si="15"/>
        <v>TRAGAS</v>
      </c>
      <c r="D85" s="611" t="str">
        <f>TRP!B35</f>
        <v>TFHCV4</v>
      </c>
      <c r="E85" s="692">
        <f t="array" ref="E85">IFERROR(INDEX(Analytica!$F$59:$AY$138,MATCH($B85,Analytica!$B$59:$B$168,0),MATCH(E$15&amp;E$10,Analytica!$F$58:$AY$58&amp;Analytica!$F$51:'Analytica'!$AY$51,0)),"")</f>
        <v>8.9408379456216935E-2</v>
      </c>
      <c r="F85" s="692">
        <f t="array" ref="F85">IFERROR(INDEX(Analytica!$F$59:$AY$138,MATCH($B85,Analytica!$B$59:$B$168,0),MATCH(F$15&amp;F$10,Analytica!$F$58:$AY$58&amp;Analytica!$F$51:'Analytica'!$AY$51,0)),"")</f>
        <v>9.4477925498431731E-2</v>
      </c>
      <c r="G85" s="692">
        <f t="array" ref="G85">IFERROR(INDEX(Analytica!$F$59:$AY$138,MATCH($B85,Analytica!$B$59:$B$168,0),MATCH(G$15&amp;G$10,Analytica!$F$58:$AY$58&amp;Analytica!$F$51:'Analytica'!$AY$51,0)),"")</f>
        <v>0.10446682669767859</v>
      </c>
      <c r="H85" s="692">
        <f t="array" ref="H85">IFERROR(INDEX(Analytica!$F$59:$AY$138,MATCH($B85,Analytica!$B$59:$B$168,0),MATCH(H$15&amp;H$10,Analytica!$F$58:$AY$58&amp;Analytica!$F$51:'Analytica'!$AY$51,0)),"")</f>
        <v>0.11551182800329342</v>
      </c>
      <c r="I85" s="914">
        <v>1</v>
      </c>
      <c r="J85" s="914">
        <v>1</v>
      </c>
      <c r="K85" s="914">
        <v>1</v>
      </c>
      <c r="L85" s="914">
        <v>1</v>
      </c>
      <c r="M85" s="914">
        <v>1</v>
      </c>
      <c r="N85" s="692">
        <f t="array" ref="N85">IFERROR(INDEX(Analytica!$F$59:$AY$138,MATCH($B85,Analytica!$B$59:$B$168,0),MATCH(N$15&amp;N$10,Analytica!$F$58:$AY$58&amp;Analytica!$F$51:'Analytica'!$AY$51,0)),"")</f>
        <v>8.4999999999999992E-2</v>
      </c>
      <c r="O85" s="981">
        <f>INDEX(CostProjections!$N$11:$W$93,MATCH($B85,CostProjections!$L$11:$L$93,0),MATCH(O$15,CostProjections!$N$10:$W$10,0))*0.001</f>
        <v>1086.2358398404897</v>
      </c>
      <c r="P85" s="981">
        <f>INDEX(CostProjections!$N$11:$W$93,MATCH($B85,CostProjections!$L$11:$L$93,0),MATCH(P$15,CostProjections!$N$10:$W$10,0))*0.001</f>
        <v>1097.1417346582889</v>
      </c>
      <c r="Q85" s="981">
        <f>INDEX(CostProjections!$N$11:$W$93,MATCH($B85,CostProjections!$L$11:$L$93,0),MATCH(Q$15,CostProjections!$N$10:$W$10,0))*0.001</f>
        <v>1108.1571255334031</v>
      </c>
      <c r="R85" s="981">
        <f>INDEX(CostProjections!$N$11:$W$93,MATCH($B85,CostProjections!$L$11:$L$93,0),MATCH(R$15,CostProjections!$N$10:$W$10,0))*0.001</f>
        <v>1119.2831118150168</v>
      </c>
      <c r="S85" s="981">
        <f>INDEX(CostProjections!$N$11:$W$93,MATCH($B85,CostProjections!$L$11:$L$93,0),MATCH(S$15,CostProjections!$N$10:$W$10,0))*0.001</f>
        <v>1130.5208038898666</v>
      </c>
      <c r="T85" s="981">
        <f>INDEX(CostProjections!$N$11:$W$93,MATCH($B85,CostProjections!$L$11:$L$93,0),MATCH(T$15,CostProjections!$N$10:$W$10,0))*0.001</f>
        <v>1153.3358028200171</v>
      </c>
      <c r="U85" s="982">
        <f>INDEX(CostProjections!$Y$11:$AH$93,MATCH($B85,CostProjections!$L$11:$L$93,0),MATCH(U$15,CostProjections!$Y$10:$AH$10,0))*0.001</f>
        <v>29.328367675693222</v>
      </c>
      <c r="V85" s="982">
        <f>INDEX(CostProjections!$Y$11:$AH$93,MATCH($B85,CostProjections!$L$11:$L$93,0),MATCH(V$15,CostProjections!$Y$10:$AH$10,0))*0.001</f>
        <v>29.920242389401885</v>
      </c>
      <c r="W85" s="982">
        <f>INDEX(CostProjections!$Y$11:$AH$93,MATCH($B85,CostProjections!$L$11:$L$93,0),MATCH(W$15,CostProjections!$Y$10:$AH$10,0))*0.001</f>
        <v>30.524061705026394</v>
      </c>
      <c r="X85" s="982">
        <f>INDEX(CostProjections!$Y$11:$AH$93,MATCH($B85,CostProjections!$L$11:$L$93,0),MATCH(X$15,CostProjections!$Y$10:$AH$10,0))*0.001</f>
        <v>31.14006667614046</v>
      </c>
      <c r="Y85" s="689">
        <f t="shared" si="13"/>
        <v>20</v>
      </c>
      <c r="Z85" s="689">
        <f t="shared" si="16"/>
        <v>20</v>
      </c>
      <c r="AA85" s="919">
        <v>2080</v>
      </c>
      <c r="AB85" s="1">
        <f t="shared" ca="1" si="17"/>
        <v>68</v>
      </c>
      <c r="AC85" s="1">
        <v>1</v>
      </c>
    </row>
    <row r="86" spans="1:29" x14ac:dyDescent="0.2">
      <c r="A86" s="190" t="str">
        <f>ITEMS_nTech!C77</f>
        <v>Transport Freight - HCV5 Gas-N</v>
      </c>
      <c r="B86" s="190" t="str">
        <f t="shared" si="12"/>
        <v>TFHCV5GAS-N</v>
      </c>
      <c r="C86" s="611" t="str">
        <f t="shared" si="15"/>
        <v>TRAGAS</v>
      </c>
      <c r="D86" s="611" t="str">
        <f>TRP!B36</f>
        <v>TFHCV5</v>
      </c>
      <c r="E86" s="692">
        <f t="array" ref="E86">IFERROR(INDEX(Analytica!$F$59:$AY$138,MATCH($B86,Analytica!$B$59:$B$168,0),MATCH(E$15&amp;E$10,Analytica!$F$58:$AY$58&amp;Analytica!$F$51:'Analytica'!$AY$51,0)),"")</f>
        <v>8.2368228829309525E-2</v>
      </c>
      <c r="F86" s="692">
        <f t="array" ref="F86">IFERROR(INDEX(Analytica!$F$59:$AY$138,MATCH($B86,Analytica!$B$59:$B$168,0),MATCH(F$15&amp;F$10,Analytica!$F$58:$AY$58&amp;Analytica!$F$51:'Analytica'!$AY$51,0)),"")</f>
        <v>8.7038591171245835E-2</v>
      </c>
      <c r="G86" s="692">
        <f t="array" ref="G86">IFERROR(INDEX(Analytica!$F$59:$AY$138,MATCH($B86,Analytica!$B$59:$B$168,0),MATCH(G$15&amp;G$10,Analytica!$F$58:$AY$58&amp;Analytica!$F$51:'Analytica'!$AY$51,0)),"")</f>
        <v>9.6240951226724075E-2</v>
      </c>
      <c r="H86" s="692">
        <f t="array" ref="H86">IFERROR(INDEX(Analytica!$F$59:$AY$138,MATCH($B86,Analytica!$B$59:$B$168,0),MATCH(H$15&amp;H$10,Analytica!$F$58:$AY$58&amp;Analytica!$F$51:'Analytica'!$AY$51,0)),"")</f>
        <v>0.10641625247358774</v>
      </c>
      <c r="I86" s="914">
        <v>1</v>
      </c>
      <c r="J86" s="914">
        <v>1</v>
      </c>
      <c r="K86" s="914">
        <v>1</v>
      </c>
      <c r="L86" s="914">
        <v>1</v>
      </c>
      <c r="M86" s="914">
        <v>1</v>
      </c>
      <c r="N86" s="692">
        <f t="array" ref="N86">IFERROR(INDEX(Analytica!$F$59:$AY$138,MATCH($B86,Analytica!$B$59:$B$168,0),MATCH(N$15&amp;N$10,Analytica!$F$58:$AY$58&amp;Analytica!$F$51:'Analytica'!$AY$51,0)),"")</f>
        <v>0.11</v>
      </c>
      <c r="O86" s="981">
        <f>INDEX(CostProjections!$N$11:$W$93,MATCH($B86,CostProjections!$L$11:$L$93,0),MATCH(O$15,CostProjections!$N$10:$W$10,0))*0.001</f>
        <v>991.12866157757253</v>
      </c>
      <c r="P86" s="981">
        <f>INDEX(CostProjections!$N$11:$W$93,MATCH($B86,CostProjections!$L$11:$L$93,0),MATCH(P$15,CostProjections!$N$10:$W$10,0))*0.001</f>
        <v>1001.0796727094262</v>
      </c>
      <c r="Q86" s="981">
        <f>INDEX(CostProjections!$N$11:$W$93,MATCH($B86,CostProjections!$L$11:$L$93,0),MATCH(Q$15,CostProjections!$N$10:$W$10,0))*0.001</f>
        <v>1011.130592789921</v>
      </c>
      <c r="R86" s="981">
        <f>INDEX(CostProjections!$N$11:$W$93,MATCH($B86,CostProjections!$L$11:$L$93,0),MATCH(R$15,CostProjections!$N$10:$W$10,0))*0.001</f>
        <v>1021.282424912902</v>
      </c>
      <c r="S86" s="981">
        <f>INDEX(CostProjections!$N$11:$W$93,MATCH($B86,CostProjections!$L$11:$L$93,0),MATCH(S$15,CostProjections!$N$10:$W$10,0))*0.001</f>
        <v>1031.5361822433565</v>
      </c>
      <c r="T86" s="981">
        <f>INDEX(CostProjections!$N$11:$W$93,MATCH($B86,CostProjections!$L$11:$L$93,0),MATCH(T$15,CostProjections!$N$10:$W$10,0))*0.001</f>
        <v>1052.3535761500559</v>
      </c>
      <c r="U86" s="982">
        <f>INDEX(CostProjections!$Y$11:$AH$93,MATCH($B86,CostProjections!$L$11:$L$93,0),MATCH(U$15,CostProjections!$Y$10:$AH$10,0))*0.001</f>
        <v>26.760473862594456</v>
      </c>
      <c r="V86" s="982">
        <f>INDEX(CostProjections!$Y$11:$AH$93,MATCH($B86,CostProjections!$L$11:$L$93,0),MATCH(V$15,CostProjections!$Y$10:$AH$10,0))*0.001</f>
        <v>27.300526005327868</v>
      </c>
      <c r="W86" s="982">
        <f>INDEX(CostProjections!$Y$11:$AH$93,MATCH($B86,CostProjections!$L$11:$L$93,0),MATCH(W$15,CostProjections!$Y$10:$AH$10,0))*0.001</f>
        <v>27.851476920570626</v>
      </c>
      <c r="X86" s="982">
        <f>INDEX(CostProjections!$Y$11:$AH$93,MATCH($B86,CostProjections!$L$11:$L$93,0),MATCH(X$15,CostProjections!$Y$10:$AH$10,0))*0.001</f>
        <v>28.413546556051511</v>
      </c>
      <c r="Y86" s="689">
        <f t="shared" si="13"/>
        <v>20</v>
      </c>
      <c r="Z86" s="689">
        <f t="shared" si="16"/>
        <v>20</v>
      </c>
      <c r="AA86" s="919">
        <v>2080</v>
      </c>
      <c r="AB86" s="1">
        <f t="shared" ca="1" si="17"/>
        <v>69</v>
      </c>
      <c r="AC86" s="1">
        <v>1</v>
      </c>
    </row>
    <row r="87" spans="1:29" x14ac:dyDescent="0.2">
      <c r="A87" s="190" t="str">
        <f>ITEMS_nTech!C78</f>
        <v>Transport Freight - HCV6 Gas-N</v>
      </c>
      <c r="B87" s="190" t="str">
        <f t="shared" si="12"/>
        <v>TFHCV6GAS-N</v>
      </c>
      <c r="C87" s="611" t="str">
        <f t="shared" si="15"/>
        <v>TRAGAS</v>
      </c>
      <c r="D87" s="611" t="str">
        <f>TRP!B37</f>
        <v>TFHCV6</v>
      </c>
      <c r="E87" s="692">
        <f t="array" ref="E87">IFERROR(INDEX(Analytica!$F$59:$AY$138,MATCH($B87,Analytica!$B$59:$B$168,0),MATCH(E$15&amp;E$10,Analytica!$F$58:$AY$58&amp;Analytica!$F$51:'Analytica'!$AY$51,0)),"")</f>
        <v>5.6813813797851109E-2</v>
      </c>
      <c r="F87" s="692">
        <f t="array" ref="F87">IFERROR(INDEX(Analytica!$F$59:$AY$138,MATCH($B87,Analytica!$B$59:$B$168,0),MATCH(F$15&amp;F$10,Analytica!$F$58:$AY$58&amp;Analytica!$F$51:'Analytica'!$AY$51,0)),"")</f>
        <v>6.0035214819027953E-2</v>
      </c>
      <c r="G87" s="692">
        <f t="array" ref="G87">IFERROR(INDEX(Analytica!$F$59:$AY$138,MATCH($B87,Analytica!$B$59:$B$168,0),MATCH(G$15&amp;G$10,Analytica!$F$58:$AY$58&amp;Analytica!$F$51:'Analytica'!$AY$51,0)),"")</f>
        <v>6.6382579308024769E-2</v>
      </c>
      <c r="H87" s="692">
        <f t="array" ref="H87">IFERROR(INDEX(Analytica!$F$59:$AY$138,MATCH($B87,Analytica!$B$59:$B$168,0),MATCH(H$15&amp;H$10,Analytica!$F$58:$AY$58&amp;Analytica!$F$51:'Analytica'!$AY$51,0)),"")</f>
        <v>7.3401033857707229E-2</v>
      </c>
      <c r="I87" s="914">
        <v>1</v>
      </c>
      <c r="J87" s="914">
        <v>1</v>
      </c>
      <c r="K87" s="914">
        <v>1</v>
      </c>
      <c r="L87" s="914">
        <v>1</v>
      </c>
      <c r="M87" s="914">
        <v>1</v>
      </c>
      <c r="N87" s="692">
        <f t="array" ref="N87">IFERROR(INDEX(Analytica!$F$59:$AY$138,MATCH($B87,Analytica!$B$59:$B$168,0),MATCH(N$15&amp;N$10,Analytica!$F$58:$AY$58&amp;Analytica!$F$51:'Analytica'!$AY$51,0)),"")</f>
        <v>0.11</v>
      </c>
      <c r="O87" s="981">
        <f>INDEX(CostProjections!$N$11:$W$93,MATCH($B87,CostProjections!$L$11:$L$93,0),MATCH(O$15,CostProjections!$N$10:$W$10,0))*0.001</f>
        <v>991.12866157757253</v>
      </c>
      <c r="P87" s="981">
        <f>INDEX(CostProjections!$N$11:$W$93,MATCH($B87,CostProjections!$L$11:$L$93,0),MATCH(P$15,CostProjections!$N$10:$W$10,0))*0.001</f>
        <v>1001.0796727094262</v>
      </c>
      <c r="Q87" s="981">
        <f>INDEX(CostProjections!$N$11:$W$93,MATCH($B87,CostProjections!$L$11:$L$93,0),MATCH(Q$15,CostProjections!$N$10:$W$10,0))*0.001</f>
        <v>1011.130592789921</v>
      </c>
      <c r="R87" s="981">
        <f>INDEX(CostProjections!$N$11:$W$93,MATCH($B87,CostProjections!$L$11:$L$93,0),MATCH(R$15,CostProjections!$N$10:$W$10,0))*0.001</f>
        <v>1021.282424912902</v>
      </c>
      <c r="S87" s="981">
        <f>INDEX(CostProjections!$N$11:$W$93,MATCH($B87,CostProjections!$L$11:$L$93,0),MATCH(S$15,CostProjections!$N$10:$W$10,0))*0.001</f>
        <v>1031.5361822433565</v>
      </c>
      <c r="T87" s="981">
        <f>INDEX(CostProjections!$N$11:$W$93,MATCH($B87,CostProjections!$L$11:$L$93,0),MATCH(T$15,CostProjections!$N$10:$W$10,0))*0.001</f>
        <v>1052.3535761500559</v>
      </c>
      <c r="U87" s="982">
        <f>INDEX(CostProjections!$Y$11:$AH$93,MATCH($B87,CostProjections!$L$11:$L$93,0),MATCH(U$15,CostProjections!$Y$10:$AH$10,0))*0.001</f>
        <v>26.760473862594456</v>
      </c>
      <c r="V87" s="982">
        <f>INDEX(CostProjections!$Y$11:$AH$93,MATCH($B87,CostProjections!$L$11:$L$93,0),MATCH(V$15,CostProjections!$Y$10:$AH$10,0))*0.001</f>
        <v>27.300526005327868</v>
      </c>
      <c r="W87" s="982">
        <f>INDEX(CostProjections!$Y$11:$AH$93,MATCH($B87,CostProjections!$L$11:$L$93,0),MATCH(W$15,CostProjections!$Y$10:$AH$10,0))*0.001</f>
        <v>27.851476920570626</v>
      </c>
      <c r="X87" s="982">
        <f>INDEX(CostProjections!$Y$11:$AH$93,MATCH($B87,CostProjections!$L$11:$L$93,0),MATCH(X$15,CostProjections!$Y$10:$AH$10,0))*0.001</f>
        <v>28.413546556051511</v>
      </c>
      <c r="Y87" s="689">
        <f t="shared" si="13"/>
        <v>20</v>
      </c>
      <c r="Z87" s="689">
        <f t="shared" si="16"/>
        <v>20</v>
      </c>
      <c r="AA87" s="919">
        <v>2080</v>
      </c>
      <c r="AB87" s="1">
        <f t="shared" ca="1" si="17"/>
        <v>70</v>
      </c>
      <c r="AC87" s="1">
        <v>1</v>
      </c>
    </row>
    <row r="88" spans="1:29" x14ac:dyDescent="0.2">
      <c r="A88" s="190" t="str">
        <f>ITEMS_nTech!C79</f>
        <v>Transport Freight - HCV7 Gas-N</v>
      </c>
      <c r="B88" s="190" t="str">
        <f t="shared" si="12"/>
        <v>TFHCV7GAS-N</v>
      </c>
      <c r="C88" s="611" t="str">
        <f t="shared" si="15"/>
        <v>TRAGAS</v>
      </c>
      <c r="D88" s="611" t="str">
        <f>TRP!B38</f>
        <v>TFHCV7</v>
      </c>
      <c r="E88" s="692">
        <f t="array" ref="E88">IFERROR(INDEX(Analytica!$F$59:$AY$138,MATCH($B88,Analytica!$B$59:$B$168,0),MATCH(E$15&amp;E$10,Analytica!$F$58:$AY$58&amp;Analytica!$F$51:'Analytica'!$AY$51,0)),"")</f>
        <v>6.1329754491183934E-2</v>
      </c>
      <c r="F88" s="692">
        <f t="array" ref="F88">IFERROR(INDEX(Analytica!$F$59:$AY$138,MATCH($B88,Analytica!$B$59:$B$168,0),MATCH(F$15&amp;F$10,Analytica!$F$58:$AY$58&amp;Analytica!$F$51:'Analytica'!$AY$51,0)),"")</f>
        <v>6.4807213942320058E-2</v>
      </c>
      <c r="G88" s="692">
        <f t="array" ref="G88">IFERROR(INDEX(Analytica!$F$59:$AY$138,MATCH($B88,Analytica!$B$59:$B$168,0),MATCH(G$15&amp;G$10,Analytica!$F$58:$AY$58&amp;Analytica!$F$51:'Analytica'!$AY$51,0)),"")</f>
        <v>7.1659109278220876E-2</v>
      </c>
      <c r="H88" s="692">
        <f t="array" ref="H88">IFERROR(INDEX(Analytica!$F$59:$AY$138,MATCH($B88,Analytica!$B$59:$B$168,0),MATCH(H$15&amp;H$10,Analytica!$F$58:$AY$58&amp;Analytica!$F$51:'Analytica'!$AY$51,0)),"")</f>
        <v>7.9235437386928814E-2</v>
      </c>
      <c r="I88" s="914">
        <v>1</v>
      </c>
      <c r="J88" s="914">
        <v>1</v>
      </c>
      <c r="K88" s="914">
        <v>1</v>
      </c>
      <c r="L88" s="914">
        <v>1</v>
      </c>
      <c r="M88" s="914">
        <v>1</v>
      </c>
      <c r="N88" s="692">
        <f t="array" ref="N88">IFERROR(INDEX(Analytica!$F$59:$AY$138,MATCH($B88,Analytica!$B$59:$B$168,0),MATCH(N$15&amp;N$10,Analytica!$F$58:$AY$58&amp;Analytica!$F$51:'Analytica'!$AY$51,0)),"")</f>
        <v>0.16</v>
      </c>
      <c r="O88" s="981">
        <f>INDEX(CostProjections!$N$11:$W$93,MATCH($B88,CostProjections!$L$11:$L$93,0),MATCH(O$15,CostProjections!$N$10:$W$10,0))*0.001</f>
        <v>1308.7827191732849</v>
      </c>
      <c r="P88" s="981">
        <f>INDEX(CostProjections!$N$11:$W$93,MATCH($B88,CostProjections!$L$11:$L$93,0),MATCH(P$15,CostProjections!$N$10:$W$10,0))*0.001</f>
        <v>1321.9230024811466</v>
      </c>
      <c r="Q88" s="981">
        <f>INDEX(CostProjections!$N$11:$W$93,MATCH($B88,CostProjections!$L$11:$L$93,0),MATCH(Q$15,CostProjections!$N$10:$W$10,0))*0.001</f>
        <v>1335.1952152856936</v>
      </c>
      <c r="R88" s="981">
        <f>INDEX(CostProjections!$N$11:$W$93,MATCH($B88,CostProjections!$L$11:$L$93,0),MATCH(R$15,CostProjections!$N$10:$W$10,0))*0.001</f>
        <v>1348.6006821696374</v>
      </c>
      <c r="S88" s="981">
        <f>INDEX(CostProjections!$N$11:$W$93,MATCH($B88,CostProjections!$L$11:$L$93,0),MATCH(S$15,CostProjections!$N$10:$W$10,0))*0.001</f>
        <v>1362.1407410146062</v>
      </c>
      <c r="T88" s="981">
        <f>INDEX(CostProjections!$N$11:$W$93,MATCH($B88,CostProjections!$L$11:$L$93,0),MATCH(T$15,CostProjections!$N$10:$W$10,0))*0.001</f>
        <v>1389.6300534111874</v>
      </c>
      <c r="U88" s="982">
        <f>INDEX(CostProjections!$Y$11:$AH$93,MATCH($B88,CostProjections!$L$11:$L$93,0),MATCH(U$15,CostProjections!$Y$10:$AH$10,0))*0.001</f>
        <v>35.337133417678693</v>
      </c>
      <c r="V88" s="982">
        <f>INDEX(CostProjections!$Y$11:$AH$93,MATCH($B88,CostProjections!$L$11:$L$93,0),MATCH(V$15,CostProjections!$Y$10:$AH$10,0))*0.001</f>
        <v>36.050270812713727</v>
      </c>
      <c r="W88" s="982">
        <f>INDEX(CostProjections!$Y$11:$AH$93,MATCH($B88,CostProjections!$L$11:$L$93,0),MATCH(W$15,CostProjections!$Y$10:$AH$10,0))*0.001</f>
        <v>36.777800007394362</v>
      </c>
      <c r="X88" s="982">
        <f>INDEX(CostProjections!$Y$11:$AH$93,MATCH($B88,CostProjections!$L$11:$L$93,0),MATCH(X$15,CostProjections!$Y$10:$AH$10,0))*0.001</f>
        <v>37.520011442102053</v>
      </c>
      <c r="Y88" s="689">
        <f t="shared" si="13"/>
        <v>20</v>
      </c>
      <c r="Z88" s="689">
        <f t="shared" si="16"/>
        <v>20</v>
      </c>
      <c r="AA88" s="919">
        <v>2080</v>
      </c>
      <c r="AB88" s="1">
        <f t="shared" ca="1" si="17"/>
        <v>71</v>
      </c>
      <c r="AC88" s="1">
        <v>1</v>
      </c>
    </row>
    <row r="89" spans="1:29" x14ac:dyDescent="0.2">
      <c r="A89" s="190" t="str">
        <f>ITEMS_nTech!C80</f>
        <v>Transport Freight - HCV8 Gas-N</v>
      </c>
      <c r="B89" s="190" t="str">
        <f t="shared" si="12"/>
        <v>TFHCV8GAS-N</v>
      </c>
      <c r="C89" s="611" t="str">
        <f t="shared" si="15"/>
        <v>TRAGAS</v>
      </c>
      <c r="D89" s="611" t="str">
        <f>TRP!B39</f>
        <v>TFHCV8</v>
      </c>
      <c r="E89" s="692">
        <f t="array" ref="E89">IFERROR(INDEX(Analytica!$F$59:$AY$138,MATCH($B89,Analytica!$B$59:$B$168,0),MATCH(E$15&amp;E$10,Analytica!$F$58:$AY$58&amp;Analytica!$F$51:'Analytica'!$AY$51,0)),"")</f>
        <v>6.0349221408511837E-2</v>
      </c>
      <c r="F89" s="692">
        <f t="array" ref="F89">IFERROR(INDEX(Analytica!$F$59:$AY$138,MATCH($B89,Analytica!$B$59:$B$168,0),MATCH(F$15&amp;F$10,Analytica!$F$58:$AY$58&amp;Analytica!$F$51:'Analytica'!$AY$51,0)),"")</f>
        <v>6.3771083636672277E-2</v>
      </c>
      <c r="G89" s="692">
        <f t="array" ref="G89">IFERROR(INDEX(Analytica!$F$59:$AY$138,MATCH($B89,Analytica!$B$59:$B$168,0),MATCH(G$15&amp;G$10,Analytica!$F$58:$AY$58&amp;Analytica!$F$51:'Analytica'!$AY$51,0)),"")</f>
        <v>7.0513431655588113E-2</v>
      </c>
      <c r="H89" s="692">
        <f t="array" ref="H89">IFERROR(INDEX(Analytica!$F$59:$AY$138,MATCH($B89,Analytica!$B$59:$B$168,0),MATCH(H$15&amp;H$10,Analytica!$F$58:$AY$58&amp;Analytica!$F$51:'Analytica'!$AY$51,0)),"")</f>
        <v>7.7968630299203631E-2</v>
      </c>
      <c r="I89" s="914">
        <v>1</v>
      </c>
      <c r="J89" s="914">
        <v>1</v>
      </c>
      <c r="K89" s="914">
        <v>1</v>
      </c>
      <c r="L89" s="914">
        <v>1</v>
      </c>
      <c r="M89" s="914">
        <v>1</v>
      </c>
      <c r="N89" s="692">
        <f t="array" ref="N89">IFERROR(INDEX(Analytica!$F$59:$AY$138,MATCH($B89,Analytica!$B$59:$B$168,0),MATCH(N$15&amp;N$10,Analytica!$F$58:$AY$58&amp;Analytica!$F$51:'Analytica'!$AY$51,0)),"")</f>
        <v>0.16</v>
      </c>
      <c r="O89" s="981">
        <f>INDEX(CostProjections!$N$11:$W$93,MATCH($B89,CostProjections!$L$11:$L$93,0),MATCH(O$15,CostProjections!$N$10:$W$10,0))*0.001</f>
        <v>1308.7827191732849</v>
      </c>
      <c r="P89" s="981">
        <f>INDEX(CostProjections!$N$11:$W$93,MATCH($B89,CostProjections!$L$11:$L$93,0),MATCH(P$15,CostProjections!$N$10:$W$10,0))*0.001</f>
        <v>1321.9230024811466</v>
      </c>
      <c r="Q89" s="981">
        <f>INDEX(CostProjections!$N$11:$W$93,MATCH($B89,CostProjections!$L$11:$L$93,0),MATCH(Q$15,CostProjections!$N$10:$W$10,0))*0.001</f>
        <v>1335.1952152856936</v>
      </c>
      <c r="R89" s="981">
        <f>INDEX(CostProjections!$N$11:$W$93,MATCH($B89,CostProjections!$L$11:$L$93,0),MATCH(R$15,CostProjections!$N$10:$W$10,0))*0.001</f>
        <v>1348.6006821696374</v>
      </c>
      <c r="S89" s="981">
        <f>INDEX(CostProjections!$N$11:$W$93,MATCH($B89,CostProjections!$L$11:$L$93,0),MATCH(S$15,CostProjections!$N$10:$W$10,0))*0.001</f>
        <v>1362.1407410146062</v>
      </c>
      <c r="T89" s="981">
        <f>INDEX(CostProjections!$N$11:$W$93,MATCH($B89,CostProjections!$L$11:$L$93,0),MATCH(T$15,CostProjections!$N$10:$W$10,0))*0.001</f>
        <v>1389.6300534111874</v>
      </c>
      <c r="U89" s="982">
        <f>INDEX(CostProjections!$Y$11:$AH$93,MATCH($B89,CostProjections!$L$11:$L$93,0),MATCH(U$15,CostProjections!$Y$10:$AH$10,0))*0.001</f>
        <v>35.337133417678693</v>
      </c>
      <c r="V89" s="982">
        <f>INDEX(CostProjections!$Y$11:$AH$93,MATCH($B89,CostProjections!$L$11:$L$93,0),MATCH(V$15,CostProjections!$Y$10:$AH$10,0))*0.001</f>
        <v>36.050270812713727</v>
      </c>
      <c r="W89" s="982">
        <f>INDEX(CostProjections!$Y$11:$AH$93,MATCH($B89,CostProjections!$L$11:$L$93,0),MATCH(W$15,CostProjections!$Y$10:$AH$10,0))*0.001</f>
        <v>36.777800007394362</v>
      </c>
      <c r="X89" s="982">
        <f>INDEX(CostProjections!$Y$11:$AH$93,MATCH($B89,CostProjections!$L$11:$L$93,0),MATCH(X$15,CostProjections!$Y$10:$AH$10,0))*0.001</f>
        <v>37.520011442102053</v>
      </c>
      <c r="Y89" s="689">
        <f t="shared" si="13"/>
        <v>20</v>
      </c>
      <c r="Z89" s="689">
        <f t="shared" si="16"/>
        <v>20</v>
      </c>
      <c r="AA89" s="919">
        <v>2080</v>
      </c>
      <c r="AB89" s="1">
        <f t="shared" ca="1" si="17"/>
        <v>72</v>
      </c>
      <c r="AC89" s="1">
        <v>1</v>
      </c>
    </row>
    <row r="90" spans="1:29" x14ac:dyDescent="0.2">
      <c r="A90" s="190" t="str">
        <f>ITEMS_nTech!C81</f>
        <v>Transport Freight - HCV9 Gas-N</v>
      </c>
      <c r="B90" s="190" t="str">
        <f t="shared" si="12"/>
        <v>TFHCV9GAS-N</v>
      </c>
      <c r="C90" s="611" t="str">
        <f t="shared" si="15"/>
        <v>TRAGAS</v>
      </c>
      <c r="D90" s="611" t="str">
        <f>TRP!B40</f>
        <v>TFHCV9</v>
      </c>
      <c r="E90" s="692">
        <f t="array" ref="E90">IFERROR(INDEX(Analytica!$F$59:$AY$138,MATCH($B90,Analytica!$B$59:$B$168,0),MATCH(E$15&amp;E$10,Analytica!$F$58:$AY$58&amp;Analytica!$F$51:'Analytica'!$AY$51,0)),"")</f>
        <v>4.7421569536459478E-2</v>
      </c>
      <c r="F90" s="692">
        <f t="array" ref="F90">IFERROR(INDEX(Analytica!$F$59:$AY$138,MATCH($B90,Analytica!$B$59:$B$168,0),MATCH(F$15&amp;F$10,Analytica!$F$58:$AY$58&amp;Analytica!$F$51:'Analytica'!$AY$51,0)),"")</f>
        <v>5.0110420756236902E-2</v>
      </c>
      <c r="G90" s="692">
        <f t="array" ref="G90">IFERROR(INDEX(Analytica!$F$59:$AY$138,MATCH($B90,Analytica!$B$59:$B$168,0),MATCH(G$15&amp;G$10,Analytica!$F$58:$AY$58&amp;Analytica!$F$51:'Analytica'!$AY$51,0)),"")</f>
        <v>5.5408463016860511E-2</v>
      </c>
      <c r="H90" s="692">
        <f t="array" ref="H90">IFERROR(INDEX(Analytica!$F$59:$AY$138,MATCH($B90,Analytica!$B$59:$B$168,0),MATCH(H$15&amp;H$10,Analytica!$F$58:$AY$58&amp;Analytica!$F$51:'Analytica'!$AY$51,0)),"")</f>
        <v>6.1266653274083406E-2</v>
      </c>
      <c r="I90" s="914">
        <v>1</v>
      </c>
      <c r="J90" s="914">
        <v>1</v>
      </c>
      <c r="K90" s="914">
        <v>1</v>
      </c>
      <c r="L90" s="914">
        <v>1</v>
      </c>
      <c r="M90" s="914">
        <v>1</v>
      </c>
      <c r="N90" s="692">
        <f t="array" ref="N90">IFERROR(INDEX(Analytica!$F$59:$AY$138,MATCH($B90,Analytica!$B$59:$B$168,0),MATCH(N$15&amp;N$10,Analytica!$F$58:$AY$58&amp;Analytica!$F$51:'Analytica'!$AY$51,0)),"")</f>
        <v>0.18</v>
      </c>
      <c r="O90" s="981">
        <f>INDEX(CostProjections!$N$11:$W$93,MATCH($B90,CostProjections!$L$11:$L$93,0),MATCH(O$15,CostProjections!$N$10:$W$10,0))*0.001</f>
        <v>1308.7827191732849</v>
      </c>
      <c r="P90" s="981">
        <f>INDEX(CostProjections!$N$11:$W$93,MATCH($B90,CostProjections!$L$11:$L$93,0),MATCH(P$15,CostProjections!$N$10:$W$10,0))*0.001</f>
        <v>1321.9230024811466</v>
      </c>
      <c r="Q90" s="981">
        <f>INDEX(CostProjections!$N$11:$W$93,MATCH($B90,CostProjections!$L$11:$L$93,0),MATCH(Q$15,CostProjections!$N$10:$W$10,0))*0.001</f>
        <v>1335.1952152856936</v>
      </c>
      <c r="R90" s="981">
        <f>INDEX(CostProjections!$N$11:$W$93,MATCH($B90,CostProjections!$L$11:$L$93,0),MATCH(R$15,CostProjections!$N$10:$W$10,0))*0.001</f>
        <v>1348.6006821696374</v>
      </c>
      <c r="S90" s="981">
        <f>INDEX(CostProjections!$N$11:$W$93,MATCH($B90,CostProjections!$L$11:$L$93,0),MATCH(S$15,CostProjections!$N$10:$W$10,0))*0.001</f>
        <v>1362.1407410146062</v>
      </c>
      <c r="T90" s="981">
        <f>INDEX(CostProjections!$N$11:$W$93,MATCH($B90,CostProjections!$L$11:$L$93,0),MATCH(T$15,CostProjections!$N$10:$W$10,0))*0.001</f>
        <v>1389.6300534111874</v>
      </c>
      <c r="U90" s="982">
        <f>INDEX(CostProjections!$Y$11:$AH$93,MATCH($B90,CostProjections!$L$11:$L$93,0),MATCH(U$15,CostProjections!$Y$10:$AH$10,0))*0.001</f>
        <v>35.337133417678693</v>
      </c>
      <c r="V90" s="982">
        <f>INDEX(CostProjections!$Y$11:$AH$93,MATCH($B90,CostProjections!$L$11:$L$93,0),MATCH(V$15,CostProjections!$Y$10:$AH$10,0))*0.001</f>
        <v>36.050270812713727</v>
      </c>
      <c r="W90" s="982">
        <f>INDEX(CostProjections!$Y$11:$AH$93,MATCH($B90,CostProjections!$L$11:$L$93,0),MATCH(W$15,CostProjections!$Y$10:$AH$10,0))*0.001</f>
        <v>36.777800007394362</v>
      </c>
      <c r="X90" s="982">
        <f>INDEX(CostProjections!$Y$11:$AH$93,MATCH($B90,CostProjections!$L$11:$L$93,0),MATCH(X$15,CostProjections!$Y$10:$AH$10,0))*0.001</f>
        <v>37.520011442102053</v>
      </c>
      <c r="Y90" s="689">
        <f t="shared" si="13"/>
        <v>20</v>
      </c>
      <c r="Z90" s="689">
        <f t="shared" si="16"/>
        <v>20</v>
      </c>
      <c r="AA90" s="919">
        <v>2080</v>
      </c>
      <c r="AB90" s="1">
        <f t="shared" ca="1" si="17"/>
        <v>73</v>
      </c>
      <c r="AC90" s="1">
        <v>1</v>
      </c>
    </row>
    <row r="91" spans="1:29" x14ac:dyDescent="0.2">
      <c r="A91" s="190" t="str">
        <f>ITEMS_nTech!C82</f>
        <v>Transport Freight - HCV1 Electricity-N</v>
      </c>
      <c r="B91" s="190" t="str">
        <f t="shared" si="12"/>
        <v>TFHCV1ELC-N</v>
      </c>
      <c r="C91" s="611" t="str">
        <f>C70</f>
        <v>TRAELC</v>
      </c>
      <c r="D91" s="611" t="str">
        <f>TRP!B32</f>
        <v>TFHCV1</v>
      </c>
      <c r="E91" s="692">
        <f t="array" ref="E91">IFERROR(INDEX(Analytica!$F$59:$AY$138,MATCH($B91,Analytica!$B$59:$B$168,0),MATCH(E$15&amp;E$10,Analytica!$F$58:$AY$58&amp;Analytica!$F$51:'Analytica'!$AY$51,0)),"")</f>
        <v>0.55936204398784217</v>
      </c>
      <c r="F91" s="692">
        <f t="array" ref="F91">IFERROR(INDEX(Analytica!$F$59:$AY$138,MATCH($B91,Analytica!$B$59:$B$168,0),MATCH(F$15&amp;F$10,Analytica!$F$58:$AY$58&amp;Analytica!$F$51:'Analytica'!$AY$51,0)),"")</f>
        <v>0.59107844074517712</v>
      </c>
      <c r="G91" s="692">
        <f t="array" ref="G91">IFERROR(INDEX(Analytica!$F$59:$AY$138,MATCH($B91,Analytica!$B$59:$B$168,0),MATCH(G$15&amp;G$10,Analytica!$F$58:$AY$58&amp;Analytica!$F$51:'Analytica'!$AY$51,0)),"")</f>
        <v>0.65357160107294576</v>
      </c>
      <c r="H91" s="692">
        <f t="array" ref="H91">IFERROR(INDEX(Analytica!$F$59:$AY$138,MATCH($B91,Analytica!$B$59:$B$168,0),MATCH(H$15&amp;H$10,Analytica!$F$58:$AY$58&amp;Analytica!$F$51:'Analytica'!$AY$51,0)),"")</f>
        <v>0.72267199796787562</v>
      </c>
      <c r="I91" s="914">
        <v>1</v>
      </c>
      <c r="J91" s="914">
        <v>1</v>
      </c>
      <c r="K91" s="914">
        <v>1</v>
      </c>
      <c r="L91" s="914">
        <v>1</v>
      </c>
      <c r="M91" s="914">
        <v>1</v>
      </c>
      <c r="N91" s="692">
        <f t="array" ref="N91">IFERROR(INDEX(Analytica!$F$59:$AY$138,MATCH($B91,Analytica!$B$59:$B$168,0),MATCH(N$15&amp;N$10,Analytica!$F$58:$AY$58&amp;Analytica!$F$51:'Analytica'!$AY$51,0)),"")</f>
        <v>4.8000000000000001E-2</v>
      </c>
      <c r="O91" s="981">
        <f>INDEX(CostProjections!$N$11:$W$93,MATCH($B91,CostProjections!$L$11:$L$93,0),MATCH(O$15,CostProjections!$N$10:$W$10,0))*0.001</f>
        <v>987.6296228010151</v>
      </c>
      <c r="P91" s="981">
        <f>INDEX(CostProjections!$N$11:$W$93,MATCH($B91,CostProjections!$L$11:$L$93,0),MATCH(P$15,CostProjections!$N$10:$W$10,0))*0.001</f>
        <v>642.79366536585428</v>
      </c>
      <c r="Q91" s="981">
        <f>INDEX(CostProjections!$N$11:$W$93,MATCH($B91,CostProjections!$L$11:$L$93,0),MATCH(Q$15,CostProjections!$N$10:$W$10,0))*0.001</f>
        <v>560.49244097561143</v>
      </c>
      <c r="R91" s="981">
        <f>INDEX(CostProjections!$N$11:$W$93,MATCH($B91,CostProjections!$L$11:$L$93,0),MATCH(R$15,CostProjections!$N$10:$W$10,0))*0.001</f>
        <v>544.45425365853691</v>
      </c>
      <c r="S91" s="981">
        <f>INDEX(CostProjections!$N$11:$W$93,MATCH($B91,CostProjections!$L$11:$L$93,0),MATCH(S$15,CostProjections!$N$10:$W$10,0))*0.001</f>
        <v>528.41606634146365</v>
      </c>
      <c r="T91" s="981">
        <f>INDEX(CostProjections!$N$11:$W$93,MATCH($B91,CostProjections!$L$11:$L$93,0),MATCH(T$15,CostProjections!$N$10:$W$10,0))*0.001</f>
        <v>496.33969170731689</v>
      </c>
      <c r="U91" s="982">
        <f>INDEX(CostProjections!$Y$11:$AH$93,MATCH($B91,CostProjections!$L$11:$L$93,0),MATCH(U$15,CostProjections!$Y$10:$AH$10,0))*0.001</f>
        <v>19.999499861720558</v>
      </c>
      <c r="V91" s="982">
        <f>INDEX(CostProjections!$Y$11:$AH$93,MATCH($B91,CostProjections!$L$11:$L$93,0),MATCH(V$15,CostProjections!$Y$10:$AH$10,0))*0.001</f>
        <v>11.349971929756132</v>
      </c>
      <c r="W91" s="982">
        <f>INDEX(CostProjections!$Y$11:$AH$93,MATCH($B91,CostProjections!$L$11:$L$93,0),MATCH(W$15,CostProjections!$Y$10:$AH$10,0))*0.001</f>
        <v>10.700425343414638</v>
      </c>
      <c r="X91" s="982">
        <f>INDEX(CostProjections!$Y$11:$AH$93,MATCH($B91,CostProjections!$L$11:$L$93,0),MATCH(X$15,CostProjections!$Y$10:$AH$10,0))*0.001</f>
        <v>10.050878757073168</v>
      </c>
      <c r="Y91" s="689">
        <f t="shared" si="13"/>
        <v>20</v>
      </c>
      <c r="Z91" s="689">
        <f t="shared" si="16"/>
        <v>20</v>
      </c>
      <c r="AA91" s="919">
        <v>2040</v>
      </c>
      <c r="AB91" s="1">
        <f t="shared" ca="1" si="17"/>
        <v>74</v>
      </c>
      <c r="AC91" s="1">
        <v>1</v>
      </c>
    </row>
    <row r="92" spans="1:29" x14ac:dyDescent="0.2">
      <c r="A92" s="190" t="str">
        <f>ITEMS_nTech!C83</f>
        <v>Transport Freight - HCV2 Electricity-N</v>
      </c>
      <c r="B92" s="190" t="str">
        <f t="shared" si="12"/>
        <v>TFHCV2ELC-N</v>
      </c>
      <c r="C92" s="611" t="str">
        <f>C91</f>
        <v>TRAELC</v>
      </c>
      <c r="D92" s="611" t="str">
        <f>D83</f>
        <v>TFHCV2</v>
      </c>
      <c r="E92" s="692">
        <f t="array" ref="E92">IFERROR(INDEX(Analytica!$F$59:$AY$138,MATCH($B92,Analytica!$B$59:$B$168,0),MATCH(E$15&amp;E$10,Analytica!$F$58:$AY$58&amp;Analytica!$F$51:'Analytica'!$AY$51,0)),"")</f>
        <v>0.44805610178719285</v>
      </c>
      <c r="F92" s="692">
        <f t="array" ref="F92">IFERROR(INDEX(Analytica!$F$59:$AY$138,MATCH($B92,Analytica!$B$59:$B$168,0),MATCH(F$15&amp;F$10,Analytica!$F$58:$AY$58&amp;Analytica!$F$51:'Analytica'!$AY$51,0)),"")</f>
        <v>0.47346133842519467</v>
      </c>
      <c r="G92" s="692">
        <f t="array" ref="G92">IFERROR(INDEX(Analytica!$F$59:$AY$138,MATCH($B92,Analytica!$B$59:$B$168,0),MATCH(G$15&amp;G$10,Analytica!$F$58:$AY$58&amp;Analytica!$F$51:'Analytica'!$AY$51,0)),"")</f>
        <v>0.52351915358404844</v>
      </c>
      <c r="H92" s="692">
        <f t="array" ref="H92">IFERROR(INDEX(Analytica!$F$59:$AY$138,MATCH($B92,Analytica!$B$59:$B$168,0),MATCH(H$15&amp;H$10,Analytica!$F$58:$AY$58&amp;Analytica!$F$51:'Analytica'!$AY$51,0)),"")</f>
        <v>0.57886944915283944</v>
      </c>
      <c r="I92" s="914">
        <v>1</v>
      </c>
      <c r="J92" s="914">
        <v>1</v>
      </c>
      <c r="K92" s="914">
        <v>1</v>
      </c>
      <c r="L92" s="914">
        <v>1</v>
      </c>
      <c r="M92" s="914">
        <v>1</v>
      </c>
      <c r="N92" s="692">
        <f t="array" ref="N92">IFERROR(INDEX(Analytica!$F$59:$AY$138,MATCH($B92,Analytica!$B$59:$B$168,0),MATCH(N$15&amp;N$10,Analytica!$F$58:$AY$58&amp;Analytica!$F$51:'Analytica'!$AY$51,0)),"")</f>
        <v>4.8000000000000001E-2</v>
      </c>
      <c r="O92" s="981">
        <f>INDEX(CostProjections!$N$11:$W$93,MATCH($B92,CostProjections!$L$11:$L$93,0),MATCH(O$15,CostProjections!$N$10:$W$10,0))*0.001</f>
        <v>987.6296228010151</v>
      </c>
      <c r="P92" s="981">
        <f>INDEX(CostProjections!$N$11:$W$93,MATCH($B92,CostProjections!$L$11:$L$93,0),MATCH(P$15,CostProjections!$N$10:$W$10,0))*0.001</f>
        <v>642.79366536585428</v>
      </c>
      <c r="Q92" s="981">
        <f>INDEX(CostProjections!$N$11:$W$93,MATCH($B92,CostProjections!$L$11:$L$93,0),MATCH(Q$15,CostProjections!$N$10:$W$10,0))*0.001</f>
        <v>560.49244097561143</v>
      </c>
      <c r="R92" s="981">
        <f>INDEX(CostProjections!$N$11:$W$93,MATCH($B92,CostProjections!$L$11:$L$93,0),MATCH(R$15,CostProjections!$N$10:$W$10,0))*0.001</f>
        <v>544.45425365853691</v>
      </c>
      <c r="S92" s="981">
        <f>INDEX(CostProjections!$N$11:$W$93,MATCH($B92,CostProjections!$L$11:$L$93,0),MATCH(S$15,CostProjections!$N$10:$W$10,0))*0.001</f>
        <v>528.41606634146365</v>
      </c>
      <c r="T92" s="981">
        <f>INDEX(CostProjections!$N$11:$W$93,MATCH($B92,CostProjections!$L$11:$L$93,0),MATCH(T$15,CostProjections!$N$10:$W$10,0))*0.001</f>
        <v>496.33969170731689</v>
      </c>
      <c r="U92" s="982">
        <f>INDEX(CostProjections!$Y$11:$AH$93,MATCH($B92,CostProjections!$L$11:$L$93,0),MATCH(U$15,CostProjections!$Y$10:$AH$10,0))*0.001</f>
        <v>19.999499861720558</v>
      </c>
      <c r="V92" s="982">
        <f>INDEX(CostProjections!$Y$11:$AH$93,MATCH($B92,CostProjections!$L$11:$L$93,0),MATCH(V$15,CostProjections!$Y$10:$AH$10,0))*0.001</f>
        <v>11.349971929756132</v>
      </c>
      <c r="W92" s="982">
        <f>INDEX(CostProjections!$Y$11:$AH$93,MATCH($B92,CostProjections!$L$11:$L$93,0),MATCH(W$15,CostProjections!$Y$10:$AH$10,0))*0.001</f>
        <v>10.700425343414638</v>
      </c>
      <c r="X92" s="982">
        <f>INDEX(CostProjections!$Y$11:$AH$93,MATCH($B92,CostProjections!$L$11:$L$93,0),MATCH(X$15,CostProjections!$Y$10:$AH$10,0))*0.001</f>
        <v>10.050878757073168</v>
      </c>
      <c r="Y92" s="689">
        <f t="shared" si="13"/>
        <v>20</v>
      </c>
      <c r="Z92" s="689">
        <f t="shared" si="16"/>
        <v>20</v>
      </c>
      <c r="AA92" s="919">
        <v>2040</v>
      </c>
      <c r="AB92" s="1">
        <f t="shared" ca="1" si="17"/>
        <v>75</v>
      </c>
      <c r="AC92" s="1">
        <v>1</v>
      </c>
    </row>
    <row r="93" spans="1:29" x14ac:dyDescent="0.2">
      <c r="A93" s="190" t="str">
        <f>ITEMS_nTech!C84</f>
        <v>Transport Freight - HCV3 Electricity-N</v>
      </c>
      <c r="B93" s="190" t="str">
        <f t="shared" si="12"/>
        <v>TFHCV3ELC-N</v>
      </c>
      <c r="C93" s="611" t="str">
        <f>C92</f>
        <v>TRAELC</v>
      </c>
      <c r="D93" s="611" t="str">
        <f>D84</f>
        <v>TFHCV3</v>
      </c>
      <c r="E93" s="692">
        <f t="array" ref="E93">IFERROR(INDEX(Analytica!$F$59:$AY$138,MATCH($B93,Analytica!$B$59:$B$168,0),MATCH(E$15&amp;E$10,Analytica!$F$58:$AY$58&amp;Analytica!$F$51:'Analytica'!$AY$51,0)),"")</f>
        <v>0.39173354795142884</v>
      </c>
      <c r="F93" s="692">
        <f t="array" ref="F93">IFERROR(INDEX(Analytica!$F$59:$AY$138,MATCH($B93,Analytica!$B$59:$B$168,0),MATCH(F$15&amp;F$10,Analytica!$F$58:$AY$58&amp;Analytica!$F$51:'Analytica'!$AY$51,0)),"")</f>
        <v>0.41394523850770848</v>
      </c>
      <c r="G93" s="692">
        <f t="array" ref="G93">IFERROR(INDEX(Analytica!$F$59:$AY$138,MATCH($B93,Analytica!$B$59:$B$168,0),MATCH(G$15&amp;G$10,Analytica!$F$58:$AY$58&amp;Analytica!$F$51:'Analytica'!$AY$51,0)),"")</f>
        <v>0.45771057382321367</v>
      </c>
      <c r="H93" s="692">
        <f t="array" ref="H93">IFERROR(INDEX(Analytica!$F$59:$AY$138,MATCH($B93,Analytica!$B$59:$B$168,0),MATCH(H$15&amp;H$10,Analytica!$F$58:$AY$58&amp;Analytica!$F$51:'Analytica'!$AY$51,0)),"")</f>
        <v>0.50610310229640254</v>
      </c>
      <c r="I93" s="914">
        <v>1</v>
      </c>
      <c r="J93" s="914">
        <v>1</v>
      </c>
      <c r="K93" s="914">
        <v>1</v>
      </c>
      <c r="L93" s="914">
        <v>1</v>
      </c>
      <c r="M93" s="914">
        <v>1</v>
      </c>
      <c r="N93" s="692">
        <f t="array" ref="N93">IFERROR(INDEX(Analytica!$F$59:$AY$138,MATCH($B93,Analytica!$B$59:$B$168,0),MATCH(N$15&amp;N$10,Analytica!$F$58:$AY$58&amp;Analytica!$F$51:'Analytica'!$AY$51,0)),"")</f>
        <v>8.4999999999999992E-2</v>
      </c>
      <c r="O93" s="981">
        <f>INDEX(CostProjections!$N$11:$W$93,MATCH($B93,CostProjections!$L$11:$L$93,0),MATCH(O$15,CostProjections!$N$10:$W$10,0))*0.001</f>
        <v>987.6296228010151</v>
      </c>
      <c r="P93" s="981">
        <f>INDEX(CostProjections!$N$11:$W$93,MATCH($B93,CostProjections!$L$11:$L$93,0),MATCH(P$15,CostProjections!$N$10:$W$10,0))*0.001</f>
        <v>642.79366536585428</v>
      </c>
      <c r="Q93" s="981">
        <f>INDEX(CostProjections!$N$11:$W$93,MATCH($B93,CostProjections!$L$11:$L$93,0),MATCH(Q$15,CostProjections!$N$10:$W$10,0))*0.001</f>
        <v>560.49244097561143</v>
      </c>
      <c r="R93" s="981">
        <f>INDEX(CostProjections!$N$11:$W$93,MATCH($B93,CostProjections!$L$11:$L$93,0),MATCH(R$15,CostProjections!$N$10:$W$10,0))*0.001</f>
        <v>544.45425365853691</v>
      </c>
      <c r="S93" s="981">
        <f>INDEX(CostProjections!$N$11:$W$93,MATCH($B93,CostProjections!$L$11:$L$93,0),MATCH(S$15,CostProjections!$N$10:$W$10,0))*0.001</f>
        <v>528.41606634146365</v>
      </c>
      <c r="T93" s="981">
        <f>INDEX(CostProjections!$N$11:$W$93,MATCH($B93,CostProjections!$L$11:$L$93,0),MATCH(T$15,CostProjections!$N$10:$W$10,0))*0.001</f>
        <v>496.33969170731689</v>
      </c>
      <c r="U93" s="982">
        <f>INDEX(CostProjections!$Y$11:$AH$93,MATCH($B93,CostProjections!$L$11:$L$93,0),MATCH(U$15,CostProjections!$Y$10:$AH$10,0))*0.001</f>
        <v>19.999499861720558</v>
      </c>
      <c r="V93" s="982">
        <f>INDEX(CostProjections!$Y$11:$AH$93,MATCH($B93,CostProjections!$L$11:$L$93,0),MATCH(V$15,CostProjections!$Y$10:$AH$10,0))*0.001</f>
        <v>11.349971929756132</v>
      </c>
      <c r="W93" s="982">
        <f>INDEX(CostProjections!$Y$11:$AH$93,MATCH($B93,CostProjections!$L$11:$L$93,0),MATCH(W$15,CostProjections!$Y$10:$AH$10,0))*0.001</f>
        <v>10.700425343414638</v>
      </c>
      <c r="X93" s="982">
        <f>INDEX(CostProjections!$Y$11:$AH$93,MATCH($B93,CostProjections!$L$11:$L$93,0),MATCH(X$15,CostProjections!$Y$10:$AH$10,0))*0.001</f>
        <v>10.050878757073168</v>
      </c>
      <c r="Y93" s="689">
        <f t="shared" si="13"/>
        <v>20</v>
      </c>
      <c r="Z93" s="689">
        <f t="shared" si="16"/>
        <v>20</v>
      </c>
      <c r="AA93" s="919">
        <v>2040</v>
      </c>
      <c r="AB93" s="1">
        <f t="shared" ca="1" si="17"/>
        <v>76</v>
      </c>
      <c r="AC93" s="1">
        <v>1</v>
      </c>
    </row>
    <row r="94" spans="1:29" x14ac:dyDescent="0.2">
      <c r="A94" s="190" t="str">
        <f>ITEMS_nTech!C85</f>
        <v>Transport Freight - HCV4 Electricity-N</v>
      </c>
      <c r="B94" s="190" t="str">
        <f t="shared" si="12"/>
        <v>TFHCV4ELC-N</v>
      </c>
      <c r="C94" s="611" t="str">
        <f t="shared" ref="C94:C99" si="18">C93</f>
        <v>TRAELC</v>
      </c>
      <c r="D94" s="611" t="str">
        <f t="shared" ref="D94:D99" si="19">D85</f>
        <v>TFHCV4</v>
      </c>
      <c r="E94" s="692" cm="1">
        <f t="array" ref="E94">IFERROR(INDEX(Analytica!$F$59:$AY$138,MATCH($B94,Analytica!$B$59:$B$168,0),MATCH(E$15&amp;E$10,Analytica!$F$58:$AY$58&amp;Analytica!$F$51:'Analytica'!$AY$51,0)),"")</f>
        <v>0.33665822178511923</v>
      </c>
      <c r="F94" s="692" cm="1">
        <f t="array" ref="F94">IFERROR(INDEX(Analytica!$F$59:$AY$138,MATCH($B94,Analytica!$B$59:$B$168,0),MATCH(F$15&amp;F$10,Analytica!$F$58:$AY$58&amp;Analytica!$F$51:'Analytica'!$AY$51,0)),"")</f>
        <v>0.35574708533694765</v>
      </c>
      <c r="G94" s="692" cm="1">
        <f t="array" ref="G94">IFERROR(INDEX(Analytica!$F$59:$AY$138,MATCH($B94,Analytica!$B$59:$B$168,0),MATCH(G$15&amp;G$10,Analytica!$F$58:$AY$58&amp;Analytica!$F$51:'Analytica'!$AY$51,0)),"")</f>
        <v>0.39335928383309055</v>
      </c>
      <c r="H94" s="692" cm="1">
        <f t="array" ref="H94">IFERROR(INDEX(Analytica!$F$59:$AY$138,MATCH($B94,Analytica!$B$59:$B$168,0),MATCH(H$15&amp;H$10,Analytica!$F$58:$AY$58&amp;Analytica!$F$51:'Analytica'!$AY$51,0)),"")</f>
        <v>0.43494812060407229</v>
      </c>
      <c r="I94" s="914">
        <v>1</v>
      </c>
      <c r="J94" s="914">
        <v>1</v>
      </c>
      <c r="K94" s="914">
        <v>1</v>
      </c>
      <c r="L94" s="914">
        <v>1</v>
      </c>
      <c r="M94" s="914">
        <v>1</v>
      </c>
      <c r="N94" s="692">
        <f t="array" ref="N94">IFERROR(INDEX(Analytica!$F$59:$AY$138,MATCH($B94,Analytica!$B$59:$B$168,0),MATCH(N$15&amp;N$10,Analytica!$F$58:$AY$58&amp;Analytica!$F$51:'Analytica'!$AY$51,0)),"")</f>
        <v>8.4999999999999992E-2</v>
      </c>
      <c r="O94" s="981">
        <f>INDEX(CostProjections!$N$11:$W$93,MATCH($B94,CostProjections!$L$11:$L$93,0),MATCH(O$15,CostProjections!$N$10:$W$10,0))*0.001</f>
        <v>1706.1029512638254</v>
      </c>
      <c r="P94" s="981">
        <f>INDEX(CostProjections!$N$11:$W$93,MATCH($B94,CostProjections!$L$11:$L$93,0),MATCH(P$15,CostProjections!$N$10:$W$10,0))*0.001</f>
        <v>1110.4083395393766</v>
      </c>
      <c r="Q94" s="981">
        <f>INDEX(CostProjections!$N$11:$W$93,MATCH($B94,CostProjections!$L$11:$L$93,0),MATCH(Q$15,CostProjections!$N$10:$W$10,0))*0.001</f>
        <v>968.23524288134945</v>
      </c>
      <c r="R94" s="981">
        <f>INDEX(CostProjections!$N$11:$W$93,MATCH($B94,CostProjections!$L$11:$L$93,0),MATCH(R$15,CostProjections!$N$10:$W$10,0))*0.001</f>
        <v>940.52971635311565</v>
      </c>
      <c r="S94" s="981">
        <f>INDEX(CostProjections!$N$11:$W$93,MATCH($B94,CostProjections!$L$11:$L$93,0),MATCH(S$15,CostProjections!$N$10:$W$10,0))*0.001</f>
        <v>912.82418982488412</v>
      </c>
      <c r="T94" s="981">
        <f>INDEX(CostProjections!$N$11:$W$93,MATCH($B94,CostProjections!$L$11:$L$93,0),MATCH(T$15,CostProjections!$N$10:$W$10,0))*0.001</f>
        <v>857.41313676842094</v>
      </c>
      <c r="U94" s="982">
        <f>INDEX(CostProjections!$Y$11:$AH$93,MATCH($B94,CostProjections!$L$11:$L$93,0),MATCH(U$15,CostProjections!$Y$10:$AH$10,0))*0.001</f>
        <v>34.548584763092471</v>
      </c>
      <c r="V94" s="982">
        <f>INDEX(CostProjections!$Y$11:$AH$93,MATCH($B94,CostProjections!$L$11:$L$93,0),MATCH(V$15,CostProjections!$Y$10:$AH$10,0))*0.001</f>
        <v>19.606763668347327</v>
      </c>
      <c r="W94" s="982">
        <f>INDEX(CostProjections!$Y$11:$AH$93,MATCH($B94,CostProjections!$L$11:$L$93,0),MATCH(W$15,CostProjections!$Y$10:$AH$10,0))*0.001</f>
        <v>18.484689843953905</v>
      </c>
      <c r="X94" s="982">
        <f>INDEX(CostProjections!$Y$11:$AH$93,MATCH($B94,CostProjections!$L$11:$L$93,0),MATCH(X$15,CostProjections!$Y$10:$AH$10,0))*0.001</f>
        <v>17.362616019560523</v>
      </c>
      <c r="Y94" s="689">
        <f t="shared" si="13"/>
        <v>20</v>
      </c>
      <c r="Z94" s="689">
        <f t="shared" ref="Z94:Z99" si="20">Y94</f>
        <v>20</v>
      </c>
      <c r="AA94" s="919">
        <v>2040</v>
      </c>
      <c r="AB94" s="1">
        <f t="shared" ca="1" si="17"/>
        <v>77</v>
      </c>
      <c r="AC94" s="1">
        <v>1</v>
      </c>
    </row>
    <row r="95" spans="1:29" x14ac:dyDescent="0.2">
      <c r="A95" s="190" t="str">
        <f>ITEMS_nTech!C86</f>
        <v>Transport Freight - HCV5 Electricity-N</v>
      </c>
      <c r="B95" s="190" t="str">
        <f t="shared" si="12"/>
        <v>TFHCV5ELC-N</v>
      </c>
      <c r="C95" s="611" t="str">
        <f t="shared" si="18"/>
        <v>TRAELC</v>
      </c>
      <c r="D95" s="611" t="str">
        <f t="shared" si="19"/>
        <v>TFHCV5</v>
      </c>
      <c r="E95" s="692" cm="1">
        <f t="array" ref="E95">IFERROR(INDEX(Analytica!$F$59:$AY$138,MATCH($B95,Analytica!$B$59:$B$168,0),MATCH(E$15&amp;E$10,Analytica!$F$58:$AY$58&amp;Analytica!$F$51:'Analytica'!$AY$51,0)),"")</f>
        <v>0.31014924571856733</v>
      </c>
      <c r="F95" s="692" cm="1">
        <f t="array" ref="F95">IFERROR(INDEX(Analytica!$F$59:$AY$138,MATCH($B95,Analytica!$B$59:$B$168,0),MATCH(F$15&amp;F$10,Analytica!$F$58:$AY$58&amp;Analytica!$F$51:'Analytica'!$AY$51,0)),"")</f>
        <v>0.32773502336817151</v>
      </c>
      <c r="G95" s="692" cm="1">
        <f t="array" ref="G95">IFERROR(INDEX(Analytica!$F$59:$AY$138,MATCH($B95,Analytica!$B$59:$B$168,0),MATCH(G$15&amp;G$10,Analytica!$F$58:$AY$58&amp;Analytica!$F$51:'Analytica'!$AY$51,0)),"")</f>
        <v>0.36238558063524307</v>
      </c>
      <c r="H95" s="692" cm="1">
        <f t="array" ref="H95">IFERROR(INDEX(Analytica!$F$59:$AY$138,MATCH($B95,Analytica!$B$59:$B$168,0),MATCH(H$15&amp;H$10,Analytica!$F$58:$AY$58&amp;Analytica!$F$51:'Analytica'!$AY$51,0)),"")</f>
        <v>0.40069964968259153</v>
      </c>
      <c r="I95" s="914">
        <v>1</v>
      </c>
      <c r="J95" s="914">
        <v>1</v>
      </c>
      <c r="K95" s="914">
        <v>1</v>
      </c>
      <c r="L95" s="914">
        <v>1</v>
      </c>
      <c r="M95" s="914">
        <v>1</v>
      </c>
      <c r="N95" s="692">
        <f t="array" ref="N95">IFERROR(INDEX(Analytica!$F$59:$AY$138,MATCH($B95,Analytica!$B$59:$B$168,0),MATCH(N$15&amp;N$10,Analytica!$F$58:$AY$58&amp;Analytica!$F$51:'Analytica'!$AY$51,0)),"")</f>
        <v>0.11</v>
      </c>
      <c r="O95" s="981">
        <f>INDEX(CostProjections!$N$11:$W$93,MATCH($B95,CostProjections!$L$11:$L$93,0),MATCH(O$15,CostProjections!$N$10:$W$10,0))*0.001</f>
        <v>1621.9790090164229</v>
      </c>
      <c r="P95" s="981">
        <f>INDEX(CostProjections!$N$11:$W$93,MATCH($B95,CostProjections!$L$11:$L$93,0),MATCH(P$15,CostProjections!$N$10:$W$10,0))*0.001</f>
        <v>1055.6567039729248</v>
      </c>
      <c r="Q95" s="981">
        <f>INDEX(CostProjections!$N$11:$W$93,MATCH($B95,CostProjections!$L$11:$L$93,0),MATCH(Q$15,CostProjections!$N$10:$W$10,0))*0.001</f>
        <v>920.49382985951854</v>
      </c>
      <c r="R95" s="981">
        <f>INDEX(CostProjections!$N$11:$W$93,MATCH($B95,CostProjections!$L$11:$L$93,0),MATCH(R$15,CostProjections!$N$10:$W$10,0))*0.001</f>
        <v>894.15439798100613</v>
      </c>
      <c r="S95" s="981">
        <f>INDEX(CostProjections!$N$11:$W$93,MATCH($B95,CostProjections!$L$11:$L$93,0),MATCH(S$15,CostProjections!$N$10:$W$10,0))*0.001</f>
        <v>867.81496610249553</v>
      </c>
      <c r="T95" s="981">
        <f>INDEX(CostProjections!$N$11:$W$93,MATCH($B95,CostProjections!$L$11:$L$93,0),MATCH(T$15,CostProjections!$N$10:$W$10,0))*0.001</f>
        <v>815.13610234547457</v>
      </c>
      <c r="U95" s="982">
        <f>INDEX(CostProjections!$Y$11:$AH$93,MATCH($B95,CostProjections!$L$11:$L$93,0),MATCH(U$15,CostProjections!$Y$10:$AH$10,0))*0.001</f>
        <v>32.845074932582563</v>
      </c>
      <c r="V95" s="982">
        <f>INDEX(CostProjections!$Y$11:$AH$93,MATCH($B95,CostProjections!$L$11:$L$93,0),MATCH(V$15,CostProjections!$Y$10:$AH$10,0))*0.001</f>
        <v>18.64000005465525</v>
      </c>
      <c r="W95" s="982">
        <f>INDEX(CostProjections!$Y$11:$AH$93,MATCH($B95,CostProjections!$L$11:$L$93,0),MATCH(W$15,CostProjections!$Y$10:$AH$10,0))*0.001</f>
        <v>17.573253063575535</v>
      </c>
      <c r="X95" s="982">
        <f>INDEX(CostProjections!$Y$11:$AH$93,MATCH($B95,CostProjections!$L$11:$L$93,0),MATCH(X$15,CostProjections!$Y$10:$AH$10,0))*0.001</f>
        <v>16.50650607249586</v>
      </c>
      <c r="Y95" s="689">
        <f t="shared" si="13"/>
        <v>20</v>
      </c>
      <c r="Z95" s="689">
        <f t="shared" si="20"/>
        <v>20</v>
      </c>
      <c r="AA95" s="919">
        <v>2040</v>
      </c>
      <c r="AB95" s="1">
        <f t="shared" ca="1" si="17"/>
        <v>78</v>
      </c>
      <c r="AC95" s="1">
        <v>1</v>
      </c>
    </row>
    <row r="96" spans="1:29" x14ac:dyDescent="0.2">
      <c r="A96" s="190" t="str">
        <f>ITEMS_nTech!C87</f>
        <v>Transport Freight - HCV6 Electricity-N</v>
      </c>
      <c r="B96" s="190" t="str">
        <f t="shared" si="12"/>
        <v>TFHCV6ELC-N</v>
      </c>
      <c r="C96" s="611" t="str">
        <f t="shared" si="18"/>
        <v>TRAELC</v>
      </c>
      <c r="D96" s="611" t="str">
        <f t="shared" si="19"/>
        <v>TFHCV6</v>
      </c>
      <c r="E96" s="692" cm="1">
        <f t="array" ref="E96">IFERROR(INDEX(Analytica!$F$59:$AY$138,MATCH($B96,Analytica!$B$59:$B$168,0),MATCH(E$15&amp;E$10,Analytica!$F$58:$AY$58&amp;Analytica!$F$51:'Analytica'!$AY$51,0)),"")</f>
        <v>0.21392667714530933</v>
      </c>
      <c r="F96" s="692" cm="1">
        <f t="array" ref="F96">IFERROR(INDEX(Analytica!$F$59:$AY$138,MATCH($B96,Analytica!$B$59:$B$168,0),MATCH(F$15&amp;F$10,Analytica!$F$58:$AY$58&amp;Analytica!$F$51:'Analytica'!$AY$51,0)),"")</f>
        <v>0.22605653729982925</v>
      </c>
      <c r="G96" s="692" cm="1">
        <f t="array" ref="G96">IFERROR(INDEX(Analytica!$F$59:$AY$138,MATCH($B96,Analytica!$B$59:$B$168,0),MATCH(G$15&amp;G$10,Analytica!$F$58:$AY$58&amp;Analytica!$F$51:'Analytica'!$AY$51,0)),"")</f>
        <v>0.24995689714176231</v>
      </c>
      <c r="H96" s="692" cm="1">
        <f t="array" ref="H96">IFERROR(INDEX(Analytica!$F$59:$AY$138,MATCH($B96,Analytica!$B$59:$B$168,0),MATCH(H$15&amp;H$10,Analytica!$F$58:$AY$58&amp;Analytica!$F$51:'Analytica'!$AY$51,0)),"")</f>
        <v>0.27638417882102423</v>
      </c>
      <c r="I96" s="914">
        <v>1</v>
      </c>
      <c r="J96" s="914">
        <v>1</v>
      </c>
      <c r="K96" s="914">
        <v>1</v>
      </c>
      <c r="L96" s="914">
        <v>1</v>
      </c>
      <c r="M96" s="914">
        <v>1</v>
      </c>
      <c r="N96" s="692">
        <f t="array" ref="N96">IFERROR(INDEX(Analytica!$F$59:$AY$138,MATCH($B96,Analytica!$B$59:$B$168,0),MATCH(N$15&amp;N$10,Analytica!$F$58:$AY$58&amp;Analytica!$F$51:'Analytica'!$AY$51,0)),"")</f>
        <v>0.11</v>
      </c>
      <c r="O96" s="981">
        <f>INDEX(CostProjections!$N$11:$W$93,MATCH($B96,CostProjections!$L$11:$L$93,0),MATCH(O$15,CostProjections!$N$10:$W$10,0))*0.001</f>
        <v>1621.9790090164229</v>
      </c>
      <c r="P96" s="981">
        <f>INDEX(CostProjections!$N$11:$W$93,MATCH($B96,CostProjections!$L$11:$L$93,0),MATCH(P$15,CostProjections!$N$10:$W$10,0))*0.001</f>
        <v>1055.6567039729248</v>
      </c>
      <c r="Q96" s="981">
        <f>INDEX(CostProjections!$N$11:$W$93,MATCH($B96,CostProjections!$L$11:$L$93,0),MATCH(Q$15,CostProjections!$N$10:$W$10,0))*0.001</f>
        <v>920.49382985951854</v>
      </c>
      <c r="R96" s="981">
        <f>INDEX(CostProjections!$N$11:$W$93,MATCH($B96,CostProjections!$L$11:$L$93,0),MATCH(R$15,CostProjections!$N$10:$W$10,0))*0.001</f>
        <v>894.15439798100613</v>
      </c>
      <c r="S96" s="981">
        <f>INDEX(CostProjections!$N$11:$W$93,MATCH($B96,CostProjections!$L$11:$L$93,0),MATCH(S$15,CostProjections!$N$10:$W$10,0))*0.001</f>
        <v>867.81496610249553</v>
      </c>
      <c r="T96" s="981">
        <f>INDEX(CostProjections!$N$11:$W$93,MATCH($B96,CostProjections!$L$11:$L$93,0),MATCH(T$15,CostProjections!$N$10:$W$10,0))*0.001</f>
        <v>815.13610234547457</v>
      </c>
      <c r="U96" s="982">
        <f>INDEX(CostProjections!$Y$11:$AH$93,MATCH($B96,CostProjections!$L$11:$L$93,0),MATCH(U$15,CostProjections!$Y$10:$AH$10,0))*0.001</f>
        <v>32.845074932582563</v>
      </c>
      <c r="V96" s="982">
        <f>INDEX(CostProjections!$Y$11:$AH$93,MATCH($B96,CostProjections!$L$11:$L$93,0),MATCH(V$15,CostProjections!$Y$10:$AH$10,0))*0.001</f>
        <v>18.64000005465525</v>
      </c>
      <c r="W96" s="982">
        <f>INDEX(CostProjections!$Y$11:$AH$93,MATCH($B96,CostProjections!$L$11:$L$93,0),MATCH(W$15,CostProjections!$Y$10:$AH$10,0))*0.001</f>
        <v>17.573253063575535</v>
      </c>
      <c r="X96" s="982">
        <f>INDEX(CostProjections!$Y$11:$AH$93,MATCH($B96,CostProjections!$L$11:$L$93,0),MATCH(X$15,CostProjections!$Y$10:$AH$10,0))*0.001</f>
        <v>16.50650607249586</v>
      </c>
      <c r="Y96" s="689">
        <f t="shared" si="13"/>
        <v>20</v>
      </c>
      <c r="Z96" s="689">
        <f t="shared" si="20"/>
        <v>20</v>
      </c>
      <c r="AA96" s="919">
        <v>2040</v>
      </c>
      <c r="AB96" s="1">
        <f t="shared" ca="1" si="17"/>
        <v>79</v>
      </c>
      <c r="AC96" s="1">
        <v>1</v>
      </c>
    </row>
    <row r="97" spans="1:29" x14ac:dyDescent="0.2">
      <c r="A97" s="190" t="str">
        <f>ITEMS_nTech!C88</f>
        <v>Transport Freight - HCV7 Electricity-N</v>
      </c>
      <c r="B97" s="190" t="str">
        <f t="shared" si="12"/>
        <v>TFHCV7ELC-N</v>
      </c>
      <c r="C97" s="611" t="str">
        <f t="shared" si="18"/>
        <v>TRAELC</v>
      </c>
      <c r="D97" s="611" t="str">
        <f t="shared" si="19"/>
        <v>TFHCV7</v>
      </c>
      <c r="E97" s="692" cm="1">
        <f t="array" ref="E97">IFERROR(INDEX(Analytica!$F$59:$AY$138,MATCH($B97,Analytica!$B$59:$B$168,0),MATCH(E$15&amp;E$10,Analytica!$F$58:$AY$58&amp;Analytica!$F$51:'Analytica'!$AY$51,0)),"")</f>
        <v>0.23093099567508416</v>
      </c>
      <c r="F97" s="692" cm="1">
        <f t="array" ref="F97">IFERROR(INDEX(Analytica!$F$59:$AY$138,MATCH($B97,Analytica!$B$59:$B$168,0),MATCH(F$15&amp;F$10,Analytica!$F$58:$AY$58&amp;Analytica!$F$51:'Analytica'!$AY$51,0)),"")</f>
        <v>0.24402501798339188</v>
      </c>
      <c r="G97" s="692" cm="1">
        <f t="array" ref="G97">IFERROR(INDEX(Analytica!$F$59:$AY$138,MATCH($B97,Analytica!$B$59:$B$168,0),MATCH(G$15&amp;G$10,Analytica!$F$58:$AY$58&amp;Analytica!$F$51:'Analytica'!$AY$51,0)),"")</f>
        <v>0.26982513776715028</v>
      </c>
      <c r="H97" s="692" cm="1">
        <f t="array" ref="H97">IFERROR(INDEX(Analytica!$F$59:$AY$138,MATCH($B97,Analytica!$B$59:$B$168,0),MATCH(H$15&amp;H$10,Analytica!$F$58:$AY$58&amp;Analytica!$F$51:'Analytica'!$AY$51,0)),"")</f>
        <v>0.29835303598263324</v>
      </c>
      <c r="I97" s="914">
        <v>1</v>
      </c>
      <c r="J97" s="914">
        <v>1</v>
      </c>
      <c r="K97" s="914">
        <v>1</v>
      </c>
      <c r="L97" s="914">
        <v>1</v>
      </c>
      <c r="M97" s="914">
        <v>1</v>
      </c>
      <c r="N97" s="692">
        <f t="array" ref="N97">IFERROR(INDEX(Analytica!$F$59:$AY$138,MATCH($B97,Analytica!$B$59:$B$168,0),MATCH(N$15&amp;N$10,Analytica!$F$58:$AY$58&amp;Analytica!$F$51:'Analytica'!$AY$51,0)),"")</f>
        <v>0.16</v>
      </c>
      <c r="O97" s="981">
        <f>INDEX(CostProjections!$N$11:$W$93,MATCH($B97,CostProjections!$L$11:$L$93,0),MATCH(O$15,CostProjections!$N$10:$W$10,0))*0.001</f>
        <v>2132.8370914313032</v>
      </c>
      <c r="P97" s="981">
        <f>INDEX(CostProjections!$N$11:$W$93,MATCH($B97,CostProjections!$L$11:$L$93,0),MATCH(P$15,CostProjections!$N$10:$W$10,0))*0.001</f>
        <v>1388.1460620238963</v>
      </c>
      <c r="Q97" s="981">
        <f>INDEX(CostProjections!$N$11:$W$93,MATCH($B97,CostProjections!$L$11:$L$93,0),MATCH(Q$15,CostProjections!$N$10:$W$10,0))*0.001</f>
        <v>1210.4123246012725</v>
      </c>
      <c r="R97" s="981">
        <f>INDEX(CostProjections!$N$11:$W$93,MATCH($B97,CostProjections!$L$11:$L$93,0),MATCH(R$15,CostProjections!$N$10:$W$10,0))*0.001</f>
        <v>1175.7770321804499</v>
      </c>
      <c r="S97" s="981">
        <f>INDEX(CostProjections!$N$11:$W$93,MATCH($B97,CostProjections!$L$11:$L$93,0),MATCH(S$15,CostProjections!$N$10:$W$10,0))*0.001</f>
        <v>1141.1417397596304</v>
      </c>
      <c r="T97" s="981">
        <f>INDEX(CostProjections!$N$11:$W$93,MATCH($B97,CostProjections!$L$11:$L$93,0),MATCH(T$15,CostProjections!$N$10:$W$10,0))*0.001</f>
        <v>1071.8711549179907</v>
      </c>
      <c r="U97" s="982">
        <f>INDEX(CostProjections!$Y$11:$AH$93,MATCH($B97,CostProjections!$L$11:$L$93,0),MATCH(U$15,CostProjections!$Y$10:$AH$10,0))*0.001</f>
        <v>43.189951101483885</v>
      </c>
      <c r="V97" s="982">
        <f>INDEX(CostProjections!$Y$11:$AH$93,MATCH($B97,CostProjections!$L$11:$L$93,0),MATCH(V$15,CostProjections!$Y$10:$AH$10,0))*0.001</f>
        <v>24.510849573175772</v>
      </c>
      <c r="W97" s="982">
        <f>INDEX(CostProjections!$Y$11:$AH$93,MATCH($B97,CostProjections!$L$11:$L$93,0),MATCH(W$15,CostProjections!$Y$10:$AH$10,0))*0.001</f>
        <v>23.108120230132513</v>
      </c>
      <c r="X97" s="982">
        <f>INDEX(CostProjections!$Y$11:$AH$93,MATCH($B97,CostProjections!$L$11:$L$93,0),MATCH(X$15,CostProjections!$Y$10:$AH$10,0))*0.001</f>
        <v>21.705390887089312</v>
      </c>
      <c r="Y97" s="689">
        <f t="shared" si="13"/>
        <v>20</v>
      </c>
      <c r="Z97" s="689">
        <f t="shared" si="20"/>
        <v>20</v>
      </c>
      <c r="AA97" s="919">
        <v>2040</v>
      </c>
      <c r="AB97" s="1">
        <f t="shared" ca="1" si="17"/>
        <v>80</v>
      </c>
      <c r="AC97" s="1">
        <v>1</v>
      </c>
    </row>
    <row r="98" spans="1:29" x14ac:dyDescent="0.2">
      <c r="A98" s="190" t="str">
        <f>ITEMS_nTech!C89</f>
        <v>Transport Freight - HCV8 Electricity-N</v>
      </c>
      <c r="B98" s="190" t="str">
        <f t="shared" si="12"/>
        <v>TFHCV8ELC-N</v>
      </c>
      <c r="C98" s="611" t="str">
        <f t="shared" si="18"/>
        <v>TRAELC</v>
      </c>
      <c r="D98" s="611" t="str">
        <f t="shared" si="19"/>
        <v>TFHCV8</v>
      </c>
      <c r="E98" s="692" cm="1">
        <f t="array" ref="E98">IFERROR(INDEX(Analytica!$F$59:$AY$138,MATCH($B98,Analytica!$B$59:$B$168,0),MATCH(E$15&amp;E$10,Analytica!$F$58:$AY$58&amp;Analytica!$F$51:'Analytica'!$AY$51,0)),"")</f>
        <v>0.22723889739501718</v>
      </c>
      <c r="F98" s="692" cm="1">
        <f t="array" ref="F98">IFERROR(INDEX(Analytica!$F$59:$AY$138,MATCH($B98,Analytica!$B$59:$B$168,0),MATCH(F$15&amp;F$10,Analytica!$F$58:$AY$58&amp;Analytica!$F$51:'Analytica'!$AY$51,0)),"")</f>
        <v>0.24012357397603376</v>
      </c>
      <c r="G98" s="692" cm="1">
        <f t="array" ref="G98">IFERROR(INDEX(Analytica!$F$59:$AY$138,MATCH($B98,Analytica!$B$59:$B$168,0),MATCH(G$15&amp;G$10,Analytica!$F$58:$AY$58&amp;Analytica!$F$51:'Analytica'!$AY$51,0)),"")</f>
        <v>0.26551120440295778</v>
      </c>
      <c r="H98" s="692" cm="1">
        <f t="array" ref="H98">IFERROR(INDEX(Analytica!$F$59:$AY$138,MATCH($B98,Analytica!$B$59:$B$168,0),MATCH(H$15&amp;H$10,Analytica!$F$58:$AY$58&amp;Analytica!$F$51:'Analytica'!$AY$51,0)),"")</f>
        <v>0.29358300185280983</v>
      </c>
      <c r="I98" s="914">
        <v>1</v>
      </c>
      <c r="J98" s="914">
        <v>1</v>
      </c>
      <c r="K98" s="914">
        <v>1</v>
      </c>
      <c r="L98" s="914">
        <v>1</v>
      </c>
      <c r="M98" s="914">
        <v>1</v>
      </c>
      <c r="N98" s="692">
        <f t="array" ref="N98">IFERROR(INDEX(Analytica!$F$59:$AY$138,MATCH($B98,Analytica!$B$59:$B$168,0),MATCH(N$15&amp;N$10,Analytica!$F$58:$AY$58&amp;Analytica!$F$51:'Analytica'!$AY$51,0)),"")</f>
        <v>0.16</v>
      </c>
      <c r="O98" s="981">
        <f>INDEX(CostProjections!$N$11:$W$93,MATCH($B98,CostProjections!$L$11:$L$93,0),MATCH(O$15,CostProjections!$N$10:$W$10,0))*0.001</f>
        <v>2132.8370914313032</v>
      </c>
      <c r="P98" s="981">
        <f>INDEX(CostProjections!$N$11:$W$93,MATCH($B98,CostProjections!$L$11:$L$93,0),MATCH(P$15,CostProjections!$N$10:$W$10,0))*0.001</f>
        <v>1388.1460620238963</v>
      </c>
      <c r="Q98" s="981">
        <f>INDEX(CostProjections!$N$11:$W$93,MATCH($B98,CostProjections!$L$11:$L$93,0),MATCH(Q$15,CostProjections!$N$10:$W$10,0))*0.001</f>
        <v>1210.4123246012725</v>
      </c>
      <c r="R98" s="981">
        <f>INDEX(CostProjections!$N$11:$W$93,MATCH($B98,CostProjections!$L$11:$L$93,0),MATCH(R$15,CostProjections!$N$10:$W$10,0))*0.001</f>
        <v>1175.7770321804499</v>
      </c>
      <c r="S98" s="981">
        <f>INDEX(CostProjections!$N$11:$W$93,MATCH($B98,CostProjections!$L$11:$L$93,0),MATCH(S$15,CostProjections!$N$10:$W$10,0))*0.001</f>
        <v>1141.1417397596304</v>
      </c>
      <c r="T98" s="981">
        <f>INDEX(CostProjections!$N$11:$W$93,MATCH($B98,CostProjections!$L$11:$L$93,0),MATCH(T$15,CostProjections!$N$10:$W$10,0))*0.001</f>
        <v>1071.8711549179907</v>
      </c>
      <c r="U98" s="982">
        <f>INDEX(CostProjections!$Y$11:$AH$93,MATCH($B98,CostProjections!$L$11:$L$93,0),MATCH(U$15,CostProjections!$Y$10:$AH$10,0))*0.001</f>
        <v>43.189951101483885</v>
      </c>
      <c r="V98" s="982">
        <f>INDEX(CostProjections!$Y$11:$AH$93,MATCH($B98,CostProjections!$L$11:$L$93,0),MATCH(V$15,CostProjections!$Y$10:$AH$10,0))*0.001</f>
        <v>24.510849573175772</v>
      </c>
      <c r="W98" s="982">
        <f>INDEX(CostProjections!$Y$11:$AH$93,MATCH($B98,CostProjections!$L$11:$L$93,0),MATCH(W$15,CostProjections!$Y$10:$AH$10,0))*0.001</f>
        <v>23.108120230132513</v>
      </c>
      <c r="X98" s="982">
        <f>INDEX(CostProjections!$Y$11:$AH$93,MATCH($B98,CostProjections!$L$11:$L$93,0),MATCH(X$15,CostProjections!$Y$10:$AH$10,0))*0.001</f>
        <v>21.705390887089312</v>
      </c>
      <c r="Y98" s="689">
        <f t="shared" si="13"/>
        <v>20</v>
      </c>
      <c r="Z98" s="689">
        <f t="shared" si="20"/>
        <v>20</v>
      </c>
      <c r="AA98" s="919">
        <v>2040</v>
      </c>
      <c r="AB98" s="1">
        <f t="shared" ca="1" si="17"/>
        <v>81</v>
      </c>
      <c r="AC98" s="1">
        <v>1</v>
      </c>
    </row>
    <row r="99" spans="1:29" x14ac:dyDescent="0.2">
      <c r="A99" s="190" t="str">
        <f>ITEMS_nTech!C90</f>
        <v>Transport Freight - HCV9 Electricity-N</v>
      </c>
      <c r="B99" s="190" t="str">
        <f t="shared" si="12"/>
        <v>TFHCV9ELC-N</v>
      </c>
      <c r="C99" s="611" t="str">
        <f t="shared" si="18"/>
        <v>TRAELC</v>
      </c>
      <c r="D99" s="611" t="str">
        <f t="shared" si="19"/>
        <v>TFHCV9</v>
      </c>
      <c r="E99" s="692" cm="1">
        <f t="array" ref="E99">IFERROR(INDEX(Analytica!$F$59:$AY$138,MATCH($B99,Analytica!$B$59:$B$168,0),MATCH(E$15&amp;E$10,Analytica!$F$58:$AY$58&amp;Analytica!$F$51:'Analytica'!$AY$51,0)),"")</f>
        <v>0.17856113008089788</v>
      </c>
      <c r="F99" s="692" cm="1">
        <f t="array" ref="F99">IFERROR(INDEX(Analytica!$F$59:$AY$138,MATCH($B99,Analytica!$B$59:$B$168,0),MATCH(F$15&amp;F$10,Analytica!$F$58:$AY$58&amp;Analytica!$F$51:'Analytica'!$AY$51,0)),"")</f>
        <v>0.18868572775060849</v>
      </c>
      <c r="G99" s="692" cm="1">
        <f t="array" ref="G99">IFERROR(INDEX(Analytica!$F$59:$AY$138,MATCH($B99,Analytica!$B$59:$B$168,0),MATCH(G$15&amp;G$10,Analytica!$F$58:$AY$58&amp;Analytica!$F$51:'Analytica'!$AY$51,0)),"")</f>
        <v>0.20863497073266474</v>
      </c>
      <c r="H99" s="692" cm="1">
        <f t="array" ref="H99">IFERROR(INDEX(Analytica!$F$59:$AY$138,MATCH($B99,Analytica!$B$59:$B$168,0),MATCH(H$15&amp;H$10,Analytica!$F$58:$AY$58&amp;Analytica!$F$51:'Analytica'!$AY$51,0)),"")</f>
        <v>0.23069339441588738</v>
      </c>
      <c r="I99" s="914">
        <v>1</v>
      </c>
      <c r="J99" s="914">
        <v>1</v>
      </c>
      <c r="K99" s="914">
        <v>1</v>
      </c>
      <c r="L99" s="914">
        <v>1</v>
      </c>
      <c r="M99" s="914">
        <v>1</v>
      </c>
      <c r="N99" s="692">
        <f t="array" ref="N99">IFERROR(INDEX(Analytica!$F$59:$AY$138,MATCH($B99,Analytica!$B$59:$B$168,0),MATCH(N$15&amp;N$10,Analytica!$F$58:$AY$58&amp;Analytica!$F$51:'Analytica'!$AY$51,0)),"")</f>
        <v>0.18</v>
      </c>
      <c r="O99" s="981">
        <f>INDEX(CostProjections!$N$11:$W$93,MATCH($B99,CostProjections!$L$11:$L$93,0),MATCH(O$15,CostProjections!$N$10:$W$10,0))*0.001</f>
        <v>2132.8370914313032</v>
      </c>
      <c r="P99" s="981">
        <f>INDEX(CostProjections!$N$11:$W$93,MATCH($B99,CostProjections!$L$11:$L$93,0),MATCH(P$15,CostProjections!$N$10:$W$10,0))*0.001</f>
        <v>1388.1460620238963</v>
      </c>
      <c r="Q99" s="981">
        <f>INDEX(CostProjections!$N$11:$W$93,MATCH($B99,CostProjections!$L$11:$L$93,0),MATCH(Q$15,CostProjections!$N$10:$W$10,0))*0.001</f>
        <v>1210.4123246012725</v>
      </c>
      <c r="R99" s="981">
        <f>INDEX(CostProjections!$N$11:$W$93,MATCH($B99,CostProjections!$L$11:$L$93,0),MATCH(R$15,CostProjections!$N$10:$W$10,0))*0.001</f>
        <v>1175.7770321804499</v>
      </c>
      <c r="S99" s="981">
        <f>INDEX(CostProjections!$N$11:$W$93,MATCH($B99,CostProjections!$L$11:$L$93,0),MATCH(S$15,CostProjections!$N$10:$W$10,0))*0.001</f>
        <v>1141.1417397596304</v>
      </c>
      <c r="T99" s="981">
        <f>INDEX(CostProjections!$N$11:$W$93,MATCH($B99,CostProjections!$L$11:$L$93,0),MATCH(T$15,CostProjections!$N$10:$W$10,0))*0.001</f>
        <v>1071.8711549179907</v>
      </c>
      <c r="U99" s="982">
        <f>INDEX(CostProjections!$Y$11:$AH$93,MATCH($B99,CostProjections!$L$11:$L$93,0),MATCH(U$15,CostProjections!$Y$10:$AH$10,0))*0.001</f>
        <v>43.189951101483885</v>
      </c>
      <c r="V99" s="982">
        <f>INDEX(CostProjections!$Y$11:$AH$93,MATCH($B99,CostProjections!$L$11:$L$93,0),MATCH(V$15,CostProjections!$Y$10:$AH$10,0))*0.001</f>
        <v>24.510849573175772</v>
      </c>
      <c r="W99" s="982">
        <f>INDEX(CostProjections!$Y$11:$AH$93,MATCH($B99,CostProjections!$L$11:$L$93,0),MATCH(W$15,CostProjections!$Y$10:$AH$10,0))*0.001</f>
        <v>23.108120230132513</v>
      </c>
      <c r="X99" s="982">
        <f>INDEX(CostProjections!$Y$11:$AH$93,MATCH($B99,CostProjections!$L$11:$L$93,0),MATCH(X$15,CostProjections!$Y$10:$AH$10,0))*0.001</f>
        <v>21.705390887089312</v>
      </c>
      <c r="Y99" s="689">
        <f t="shared" si="13"/>
        <v>20</v>
      </c>
      <c r="Z99" s="689">
        <f t="shared" si="20"/>
        <v>20</v>
      </c>
      <c r="AA99" s="919">
        <v>2040</v>
      </c>
      <c r="AB99" s="1">
        <f t="shared" ca="1" si="17"/>
        <v>82</v>
      </c>
      <c r="AC99" s="1">
        <v>1</v>
      </c>
    </row>
    <row r="100" spans="1:29" s="61" customFormat="1" ht="15" x14ac:dyDescent="0.25">
      <c r="A100" s="190" t="str">
        <f>ITEMS_nTech!C91</f>
        <v>Transport Freight - HCV2 Hydrogen-N</v>
      </c>
      <c r="B100" s="190" t="str">
        <f t="shared" si="12"/>
        <v>TFHCV2HGN-N</v>
      </c>
      <c r="C100" s="611" t="s">
        <v>1130</v>
      </c>
      <c r="D100" s="611" t="str">
        <f>TRP!B33</f>
        <v>TFHCV2</v>
      </c>
      <c r="E100" s="692">
        <f t="array" ref="E100">IFERROR(INDEX(Analytica!$F$59:$AY$138,MATCH($B100,Analytica!$B$59:$B$168,0),MATCH(E$15&amp;E$10,Analytica!$F$58:$AY$58&amp;Analytica!$F$51:'Analytica'!$AY$51,0)),"")</f>
        <v>0.29021815683943175</v>
      </c>
      <c r="F100" s="692">
        <f t="array" ref="F100">IFERROR(INDEX(Analytica!$F$59:$AY$138,MATCH($B100,Analytica!$B$59:$B$168,0),MATCH(F$15&amp;F$10,Analytica!$F$58:$AY$58&amp;Analytica!$F$51:'Analytica'!$AY$51,0)),"")</f>
        <v>0.3066738214799557</v>
      </c>
      <c r="G100" s="692">
        <f t="array" ref="G100">IFERROR(INDEX(Analytica!$F$59:$AY$138,MATCH($B100,Analytica!$B$59:$B$168,0),MATCH(G$15&amp;G$10,Analytica!$F$58:$AY$58&amp;Analytica!$F$51:'Analytica'!$AY$51,0)),"")</f>
        <v>0.33909763357148603</v>
      </c>
      <c r="H100" s="692">
        <f t="array" ref="H100">IFERROR(INDEX(Analytica!$F$59:$AY$138,MATCH($B100,Analytica!$B$59:$B$168,0),MATCH(H$15&amp;H$10,Analytica!$F$58:$AY$58&amp;Analytica!$F$51:'Analytica'!$AY$51,0)),"")</f>
        <v>0.37494952956490746</v>
      </c>
      <c r="I100" s="914">
        <v>1</v>
      </c>
      <c r="J100" s="914">
        <v>1</v>
      </c>
      <c r="K100" s="914">
        <v>1</v>
      </c>
      <c r="L100" s="914">
        <v>1</v>
      </c>
      <c r="M100" s="914">
        <v>1</v>
      </c>
      <c r="N100" s="692">
        <f t="array" ref="N100">IFERROR(INDEX(Analytica!$F$59:$AY$138,MATCH($B100,Analytica!$B$59:$B$168,0),MATCH(N$15&amp;N$10,Analytica!$F$58:$AY$58&amp;Analytica!$F$51:'Analytica'!$AY$51,0)),"")</f>
        <v>4.8000000000000001E-2</v>
      </c>
      <c r="O100" s="981">
        <f>INDEX(CostProjections!$N$11:$W$93,MATCH($B100,CostProjections!$L$11:$L$93,0),MATCH(O$15,CostProjections!$N$10:$W$10,0))*0.001</f>
        <v>1697.4360739182023</v>
      </c>
      <c r="P100" s="981">
        <f>INDEX(CostProjections!$N$11:$W$93,MATCH($B100,CostProjections!$L$11:$L$93,0),MATCH(P$15,CostProjections!$N$10:$W$10,0))*0.001</f>
        <v>1104.7675469510887</v>
      </c>
      <c r="Q100" s="981">
        <f>INDEX(CostProjections!$N$11:$W$93,MATCH($B100,CostProjections!$L$11:$L$93,0),MATCH(Q$15,CostProjections!$N$10:$W$10,0))*0.001</f>
        <v>963.3166791536762</v>
      </c>
      <c r="R100" s="981">
        <f>INDEX(CostProjections!$N$11:$W$93,MATCH($B100,CostProjections!$L$11:$L$93,0),MATCH(R$15,CostProjections!$N$10:$W$10,0))*0.001</f>
        <v>935.75189465981862</v>
      </c>
      <c r="S100" s="981">
        <f>INDEX(CostProjections!$N$11:$W$93,MATCH($B100,CostProjections!$L$11:$L$93,0),MATCH(S$15,CostProjections!$N$10:$W$10,0))*0.001</f>
        <v>908.18711016596319</v>
      </c>
      <c r="T100" s="981">
        <f>INDEX(CostProjections!$N$11:$W$93,MATCH($B100,CostProjections!$L$11:$L$93,0),MATCH(T$15,CostProjections!$N$10:$W$10,0))*0.001</f>
        <v>853.05754117825245</v>
      </c>
      <c r="U100" s="982">
        <f>INDEX(CostProjections!$Y$11:$AH$93,MATCH($B100,CostProjections!$L$11:$L$93,0),MATCH(U$15,CostProjections!$Y$10:$AH$10,0))*0.001</f>
        <v>34.373080496843599</v>
      </c>
      <c r="V100" s="982">
        <f>INDEX(CostProjections!$Y$11:$AH$93,MATCH($B100,CostProjections!$L$11:$L$93,0),MATCH(V$15,CostProjections!$Y$10:$AH$10,0))*0.001</f>
        <v>19.507162752861944</v>
      </c>
      <c r="W100" s="982">
        <f>INDEX(CostProjections!$Y$11:$AH$93,MATCH($B100,CostProjections!$L$11:$L$93,0),MATCH(W$15,CostProjections!$Y$10:$AH$10,0))*0.001</f>
        <v>18.390788980860755</v>
      </c>
      <c r="X100" s="982">
        <f>INDEX(CostProjections!$Y$11:$AH$93,MATCH($B100,CostProjections!$L$11:$L$93,0),MATCH(X$15,CostProjections!$Y$10:$AH$10,0))*0.001</f>
        <v>17.274415208859612</v>
      </c>
      <c r="Y100" s="689">
        <f>Y93</f>
        <v>20</v>
      </c>
      <c r="Z100" s="689">
        <f t="shared" si="16"/>
        <v>20</v>
      </c>
      <c r="AA100" s="919">
        <v>2040</v>
      </c>
      <c r="AB100" s="61">
        <f t="shared" ca="1" si="17"/>
        <v>83</v>
      </c>
      <c r="AC100" s="1">
        <v>1</v>
      </c>
    </row>
    <row r="101" spans="1:29" s="61" customFormat="1" ht="15" x14ac:dyDescent="0.25">
      <c r="A101" s="190" t="str">
        <f>ITEMS_nTech!C92</f>
        <v>Transport Freight - HCV3 Hydrogen-N</v>
      </c>
      <c r="B101" s="190" t="str">
        <f t="shared" si="12"/>
        <v>TFHCV3HGN-N</v>
      </c>
      <c r="C101" s="611" t="s">
        <v>1130</v>
      </c>
      <c r="D101" s="611" t="str">
        <f>TRP!B34</f>
        <v>TFHCV3</v>
      </c>
      <c r="E101" s="692">
        <f t="array" ref="E101">IFERROR(INDEX(Analytica!$F$59:$AY$138,MATCH($B101,Analytica!$B$59:$B$168,0),MATCH(E$15&amp;E$10,Analytica!$F$58:$AY$58&amp;Analytica!$F$51:'Analytica'!$AY$51,0)),"")</f>
        <v>0.25373650265035735</v>
      </c>
      <c r="F101" s="692">
        <f t="array" ref="F101">IFERROR(INDEX(Analytica!$F$59:$AY$138,MATCH($B101,Analytica!$B$59:$B$168,0),MATCH(F$15&amp;F$10,Analytica!$F$58:$AY$58&amp;Analytica!$F$51:'Analytica'!$AY$51,0)),"")</f>
        <v>0.26812362039703852</v>
      </c>
      <c r="G101" s="692">
        <f t="array" ref="G101">IFERROR(INDEX(Analytica!$F$59:$AY$138,MATCH($B101,Analytica!$B$59:$B$168,0),MATCH(G$15&amp;G$10,Analytica!$F$58:$AY$58&amp;Analytica!$F$51:'Analytica'!$AY$51,0)),"")</f>
        <v>0.29647162168094532</v>
      </c>
      <c r="H101" s="692">
        <f t="array" ref="H101">IFERROR(INDEX(Analytica!$F$59:$AY$138,MATCH($B101,Analytica!$B$59:$B$168,0),MATCH(H$15&amp;H$10,Analytica!$F$58:$AY$58&amp;Analytica!$F$51:'Analytica'!$AY$51,0)),"")</f>
        <v>0.32781678216926086</v>
      </c>
      <c r="I101" s="914">
        <v>1</v>
      </c>
      <c r="J101" s="914">
        <v>1</v>
      </c>
      <c r="K101" s="914">
        <v>1</v>
      </c>
      <c r="L101" s="914">
        <v>1</v>
      </c>
      <c r="M101" s="914">
        <v>1</v>
      </c>
      <c r="N101" s="692">
        <f t="array" ref="N101">IFERROR(INDEX(Analytica!$F$59:$AY$138,MATCH($B101,Analytica!$B$59:$B$168,0),MATCH(N$15&amp;N$10,Analytica!$F$58:$AY$58&amp;Analytica!$F$51:'Analytica'!$AY$51,0)),"")</f>
        <v>8.4999999999999992E-2</v>
      </c>
      <c r="O101" s="981">
        <f>INDEX(CostProjections!$N$11:$W$93,MATCH($B101,CostProjections!$L$11:$L$93,0),MATCH(O$15,CostProjections!$N$10:$W$10,0))*0.001</f>
        <v>1697.4360739182023</v>
      </c>
      <c r="P101" s="981">
        <f>INDEX(CostProjections!$N$11:$W$93,MATCH($B101,CostProjections!$L$11:$L$93,0),MATCH(P$15,CostProjections!$N$10:$W$10,0))*0.001</f>
        <v>1104.7675469510887</v>
      </c>
      <c r="Q101" s="981">
        <f>INDEX(CostProjections!$N$11:$W$93,MATCH($B101,CostProjections!$L$11:$L$93,0),MATCH(Q$15,CostProjections!$N$10:$W$10,0))*0.001</f>
        <v>963.3166791536762</v>
      </c>
      <c r="R101" s="981">
        <f>INDEX(CostProjections!$N$11:$W$93,MATCH($B101,CostProjections!$L$11:$L$93,0),MATCH(R$15,CostProjections!$N$10:$W$10,0))*0.001</f>
        <v>935.75189465981862</v>
      </c>
      <c r="S101" s="981">
        <f>INDEX(CostProjections!$N$11:$W$93,MATCH($B101,CostProjections!$L$11:$L$93,0),MATCH(S$15,CostProjections!$N$10:$W$10,0))*0.001</f>
        <v>908.18711016596319</v>
      </c>
      <c r="T101" s="981">
        <f>INDEX(CostProjections!$N$11:$W$93,MATCH($B101,CostProjections!$L$11:$L$93,0),MATCH(T$15,CostProjections!$N$10:$W$10,0))*0.001</f>
        <v>853.05754117825245</v>
      </c>
      <c r="U101" s="982">
        <f>INDEX(CostProjections!$Y$11:$AH$93,MATCH($B101,CostProjections!$L$11:$L$93,0),MATCH(U$15,CostProjections!$Y$10:$AH$10,0))*0.001</f>
        <v>34.373080496843599</v>
      </c>
      <c r="V101" s="982">
        <f>INDEX(CostProjections!$Y$11:$AH$93,MATCH($B101,CostProjections!$L$11:$L$93,0),MATCH(V$15,CostProjections!$Y$10:$AH$10,0))*0.001</f>
        <v>19.507162752861944</v>
      </c>
      <c r="W101" s="982">
        <f>INDEX(CostProjections!$Y$11:$AH$93,MATCH($B101,CostProjections!$L$11:$L$93,0),MATCH(W$15,CostProjections!$Y$10:$AH$10,0))*0.001</f>
        <v>18.390788980860755</v>
      </c>
      <c r="X101" s="982">
        <f>INDEX(CostProjections!$Y$11:$AH$93,MATCH($B101,CostProjections!$L$11:$L$93,0),MATCH(X$15,CostProjections!$Y$10:$AH$10,0))*0.001</f>
        <v>17.274415208859612</v>
      </c>
      <c r="Y101" s="689">
        <f t="shared" si="13"/>
        <v>20</v>
      </c>
      <c r="Z101" s="689">
        <f t="shared" si="16"/>
        <v>20</v>
      </c>
      <c r="AA101" s="919">
        <v>2040</v>
      </c>
      <c r="AB101" s="61">
        <f t="shared" ca="1" si="17"/>
        <v>84</v>
      </c>
      <c r="AC101" s="1">
        <v>1</v>
      </c>
    </row>
    <row r="102" spans="1:29" s="61" customFormat="1" ht="15" x14ac:dyDescent="0.25">
      <c r="A102" s="190" t="str">
        <f>ITEMS_nTech!C93</f>
        <v>Transport Freight - HCV4 Hydrogen-N</v>
      </c>
      <c r="B102" s="190" t="str">
        <f t="shared" si="12"/>
        <v>TFHCV4HGN-N</v>
      </c>
      <c r="C102" s="611" t="s">
        <v>1130</v>
      </c>
      <c r="D102" s="611" t="str">
        <f>TRP!B35</f>
        <v>TFHCV4</v>
      </c>
      <c r="E102" s="692">
        <f t="array" ref="E102">IFERROR(INDEX(Analytica!$F$59:$AY$138,MATCH($B102,Analytica!$B$59:$B$168,0),MATCH(E$15&amp;E$10,Analytica!$F$58:$AY$58&amp;Analytica!$F$51:'Analytica'!$AY$51,0)),"")</f>
        <v>0.21692148210446247</v>
      </c>
      <c r="F102" s="692">
        <f t="array" ref="F102">IFERROR(INDEX(Analytica!$F$59:$AY$138,MATCH($B102,Analytica!$B$59:$B$168,0),MATCH(F$15&amp;F$10,Analytica!$F$58:$AY$58&amp;Analytica!$F$51:'Analytica'!$AY$51,0)),"")</f>
        <v>0.22922115074584032</v>
      </c>
      <c r="G102" s="692">
        <f t="array" ref="G102">IFERROR(INDEX(Analytica!$F$59:$AY$138,MATCH($B102,Analytica!$B$59:$B$168,0),MATCH(G$15&amp;G$10,Analytica!$F$58:$AY$58&amp;Analytica!$F$51:'Analytica'!$AY$51,0)),"")</f>
        <v>0.25345609679803616</v>
      </c>
      <c r="H102" s="692">
        <f t="array" ref="H102">IFERROR(INDEX(Analytica!$F$59:$AY$138,MATCH($B102,Analytica!$B$59:$B$168,0),MATCH(H$15&amp;H$10,Analytica!$F$58:$AY$58&amp;Analytica!$F$51:'Analytica'!$AY$51,0)),"")</f>
        <v>0.28025333960269916</v>
      </c>
      <c r="I102" s="914">
        <v>1</v>
      </c>
      <c r="J102" s="914">
        <v>1</v>
      </c>
      <c r="K102" s="914">
        <v>1</v>
      </c>
      <c r="L102" s="914">
        <v>1</v>
      </c>
      <c r="M102" s="914">
        <v>1</v>
      </c>
      <c r="N102" s="692">
        <f t="array" ref="N102">IFERROR(INDEX(Analytica!$F$59:$AY$138,MATCH($B102,Analytica!$B$59:$B$168,0),MATCH(N$15&amp;N$10,Analytica!$F$58:$AY$58&amp;Analytica!$F$51:'Analytica'!$AY$51,0)),"")</f>
        <v>8.4999999999999992E-2</v>
      </c>
      <c r="O102" s="981">
        <f>INDEX(CostProjections!$N$11:$W$93,MATCH($B102,CostProjections!$L$11:$L$93,0),MATCH(O$15,CostProjections!$N$10:$W$10,0))*0.001</f>
        <v>2645.9522057126255</v>
      </c>
      <c r="P102" s="981">
        <f>INDEX(CostProjections!$N$11:$W$93,MATCH($B102,CostProjections!$L$11:$L$93,0),MATCH(P$15,CostProjections!$N$10:$W$10,0))*0.001</f>
        <v>1722.1043976680703</v>
      </c>
      <c r="Q102" s="981">
        <f>INDEX(CostProjections!$N$11:$W$93,MATCH($B102,CostProjections!$L$11:$L$93,0),MATCH(Q$15,CostProjections!$N$10:$W$10,0))*0.001</f>
        <v>1501.6117137906776</v>
      </c>
      <c r="R102" s="981">
        <f>INDEX(CostProjections!$N$11:$W$93,MATCH($B102,CostProjections!$L$11:$L$93,0),MATCH(R$15,CostProjections!$N$10:$W$10,0))*0.001</f>
        <v>1458.6439087273866</v>
      </c>
      <c r="S102" s="981">
        <f>INDEX(CostProjections!$N$11:$W$93,MATCH($B102,CostProjections!$L$11:$L$93,0),MATCH(S$15,CostProjections!$N$10:$W$10,0))*0.001</f>
        <v>1415.6761036640987</v>
      </c>
      <c r="T102" s="981">
        <f>INDEX(CostProjections!$N$11:$W$93,MATCH($B102,CostProjections!$L$11:$L$93,0),MATCH(T$15,CostProjections!$N$10:$W$10,0))*0.001</f>
        <v>1329.7404935375234</v>
      </c>
      <c r="U102" s="982">
        <f>INDEX(CostProjections!$Y$11:$AH$93,MATCH($B102,CostProjections!$L$11:$L$93,0),MATCH(U$15,CostProjections!$Y$10:$AH$10,0))*0.001</f>
        <v>53.580532165680665</v>
      </c>
      <c r="V102" s="982">
        <f>INDEX(CostProjections!$Y$11:$AH$93,MATCH($B102,CostProjections!$L$11:$L$93,0),MATCH(V$15,CostProjections!$Y$10:$AH$10,0))*0.001</f>
        <v>30.407637204261224</v>
      </c>
      <c r="W102" s="982">
        <f>INDEX(CostProjections!$Y$11:$AH$93,MATCH($B102,CostProjections!$L$11:$L$93,0),MATCH(W$15,CostProjections!$Y$10:$AH$10,0))*0.001</f>
        <v>28.667441099198001</v>
      </c>
      <c r="X102" s="982">
        <f>INDEX(CostProjections!$Y$11:$AH$93,MATCH($B102,CostProjections!$L$11:$L$93,0),MATCH(X$15,CostProjections!$Y$10:$AH$10,0))*0.001</f>
        <v>26.927244994134849</v>
      </c>
      <c r="Y102" s="689">
        <f t="shared" si="13"/>
        <v>20</v>
      </c>
      <c r="Z102" s="689">
        <f t="shared" si="16"/>
        <v>20</v>
      </c>
      <c r="AA102" s="919">
        <v>2040</v>
      </c>
      <c r="AB102" s="61">
        <f t="shared" ca="1" si="17"/>
        <v>85</v>
      </c>
      <c r="AC102" s="1">
        <v>1</v>
      </c>
    </row>
    <row r="103" spans="1:29" s="61" customFormat="1" ht="15" x14ac:dyDescent="0.25">
      <c r="A103" s="190" t="str">
        <f>ITEMS_nTech!C94</f>
        <v>Transport Freight - HCV5 Hydrogen-N</v>
      </c>
      <c r="B103" s="190" t="str">
        <f t="shared" si="12"/>
        <v>TFHCV5HGN-N</v>
      </c>
      <c r="C103" s="611" t="s">
        <v>1130</v>
      </c>
      <c r="D103" s="611" t="str">
        <f>TRP!B36</f>
        <v>TFHCV5</v>
      </c>
      <c r="E103" s="692">
        <f t="array" ref="E103">IFERROR(INDEX(Analytica!$F$59:$AY$138,MATCH($B103,Analytica!$B$59:$B$168,0),MATCH(E$15&amp;E$10,Analytica!$F$58:$AY$58&amp;Analytica!$F$51:'Analytica'!$AY$51,0)),"")</f>
        <v>0.19984075748429125</v>
      </c>
      <c r="F103" s="692">
        <f t="array" ref="F103">IFERROR(INDEX(Analytica!$F$59:$AY$138,MATCH($B103,Analytica!$B$59:$B$168,0),MATCH(F$15&amp;F$10,Analytica!$F$58:$AY$58&amp;Analytica!$F$51:'Analytica'!$AY$51,0)),"")</f>
        <v>0.21117193166885198</v>
      </c>
      <c r="G103" s="692">
        <f t="array" ref="G103">IFERROR(INDEX(Analytica!$F$59:$AY$138,MATCH($B103,Analytica!$B$59:$B$168,0),MATCH(G$15&amp;G$10,Analytica!$F$58:$AY$58&amp;Analytica!$F$51:'Analytica'!$AY$51,0)),"")</f>
        <v>0.23349858152241262</v>
      </c>
      <c r="H103" s="692">
        <f t="array" ref="H103">IFERROR(INDEX(Analytica!$F$59:$AY$138,MATCH($B103,Analytica!$B$59:$B$168,0),MATCH(H$15&amp;H$10,Analytica!$F$58:$AY$58&amp;Analytica!$F$51:'Analytica'!$AY$51,0)),"")</f>
        <v>0.25818576901818791</v>
      </c>
      <c r="I103" s="914">
        <v>1</v>
      </c>
      <c r="J103" s="914">
        <v>1</v>
      </c>
      <c r="K103" s="914">
        <v>1</v>
      </c>
      <c r="L103" s="914">
        <v>1</v>
      </c>
      <c r="M103" s="914">
        <v>1</v>
      </c>
      <c r="N103" s="692">
        <f t="array" ref="N103">IFERROR(INDEX(Analytica!$F$59:$AY$138,MATCH($B103,Analytica!$B$59:$B$168,0),MATCH(N$15&amp;N$10,Analytica!$F$58:$AY$58&amp;Analytica!$F$51:'Analytica'!$AY$51,0)),"")</f>
        <v>0.11</v>
      </c>
      <c r="O103" s="981">
        <f>INDEX(CostProjections!$N$11:$W$93,MATCH($B103,CostProjections!$L$11:$L$93,0),MATCH(O$15,CostProjections!$N$10:$W$10,0))*0.001</f>
        <v>2693.0881275829665</v>
      </c>
      <c r="P103" s="981">
        <f>INDEX(CostProjections!$N$11:$W$93,MATCH($B103,CostProjections!$L$11:$L$93,0),MATCH(P$15,CostProjections!$N$10:$W$10,0))*0.001</f>
        <v>1752.7825702237953</v>
      </c>
      <c r="Q103" s="981">
        <f>INDEX(CostProjections!$N$11:$W$93,MATCH($B103,CostProjections!$L$11:$L$93,0),MATCH(Q$15,CostProjections!$N$10:$W$10,0))*0.001</f>
        <v>1528.3619522371666</v>
      </c>
      <c r="R103" s="981">
        <f>INDEX(CostProjections!$N$11:$W$93,MATCH($B103,CostProjections!$L$11:$L$93,0),MATCH(R$15,CostProjections!$N$10:$W$10,0))*0.001</f>
        <v>1484.6287036038705</v>
      </c>
      <c r="S103" s="981">
        <f>INDEX(CostProjections!$N$11:$W$93,MATCH($B103,CostProjections!$L$11:$L$93,0),MATCH(S$15,CostProjections!$N$10:$W$10,0))*0.001</f>
        <v>1440.8954549705777</v>
      </c>
      <c r="T103" s="981">
        <f>INDEX(CostProjections!$N$11:$W$93,MATCH($B103,CostProjections!$L$11:$L$93,0),MATCH(T$15,CostProjections!$N$10:$W$10,0))*0.001</f>
        <v>1353.4289577039922</v>
      </c>
      <c r="U103" s="982">
        <f>INDEX(CostProjections!$Y$11:$AH$93,MATCH($B103,CostProjections!$L$11:$L$93,0),MATCH(U$15,CostProjections!$Y$10:$AH$10,0))*0.001</f>
        <v>54.535034583555067</v>
      </c>
      <c r="V103" s="982">
        <f>INDEX(CostProjections!$Y$11:$AH$93,MATCH($B103,CostProjections!$L$11:$L$93,0),MATCH(V$15,CostProjections!$Y$10:$AH$10,0))*0.001</f>
        <v>30.949329532802626</v>
      </c>
      <c r="W103" s="982">
        <f>INDEX(CostProjections!$Y$11:$AH$93,MATCH($B103,CostProjections!$L$11:$L$93,0),MATCH(W$15,CostProjections!$Y$10:$AH$10,0))*0.001</f>
        <v>29.178132963154201</v>
      </c>
      <c r="X103" s="982">
        <f>INDEX(CostProjections!$Y$11:$AH$93,MATCH($B103,CostProjections!$L$11:$L$93,0),MATCH(X$15,CostProjections!$Y$10:$AH$10,0))*0.001</f>
        <v>27.406936393505845</v>
      </c>
      <c r="Y103" s="689">
        <f t="shared" si="13"/>
        <v>20</v>
      </c>
      <c r="Z103" s="689">
        <f t="shared" si="16"/>
        <v>20</v>
      </c>
      <c r="AA103" s="919">
        <v>2040</v>
      </c>
      <c r="AB103" s="61">
        <f t="shared" ca="1" si="17"/>
        <v>86</v>
      </c>
      <c r="AC103" s="1">
        <v>1</v>
      </c>
    </row>
    <row r="104" spans="1:29" s="61" customFormat="1" ht="15" x14ac:dyDescent="0.25">
      <c r="A104" s="190" t="str">
        <f>ITEMS_nTech!C95</f>
        <v>Transport Freight - HCV6 Hydrogen-N</v>
      </c>
      <c r="B104" s="190" t="str">
        <f t="shared" si="12"/>
        <v>TFHCV6HGN-N</v>
      </c>
      <c r="C104" s="611" t="s">
        <v>1130</v>
      </c>
      <c r="D104" s="611" t="str">
        <f>TRP!B37</f>
        <v>TFHCV6</v>
      </c>
      <c r="E104" s="692">
        <f t="array" ref="E104">IFERROR(INDEX(Analytica!$F$59:$AY$138,MATCH($B104,Analytica!$B$59:$B$168,0),MATCH(E$15&amp;E$10,Analytica!$F$58:$AY$58&amp;Analytica!$F$51:'Analytica'!$AY$51,0)),"")</f>
        <v>0.13784095817408171</v>
      </c>
      <c r="F104" s="692">
        <f t="array" ref="F104">IFERROR(INDEX(Analytica!$F$59:$AY$138,MATCH($B104,Analytica!$B$59:$B$168,0),MATCH(F$15&amp;F$10,Analytica!$F$58:$AY$58&amp;Analytica!$F$51:'Analytica'!$AY$51,0)),"")</f>
        <v>0.1456566806848415</v>
      </c>
      <c r="G104" s="692">
        <f t="array" ref="G104">IFERROR(INDEX(Analytica!$F$59:$AY$138,MATCH($B104,Analytica!$B$59:$B$168,0),MATCH(G$15&amp;G$10,Analytica!$F$58:$AY$58&amp;Analytica!$F$51:'Analytica'!$AY$51,0)),"")</f>
        <v>0.16105657631861348</v>
      </c>
      <c r="H104" s="692">
        <f t="array" ref="H104">IFERROR(INDEX(Analytica!$F$59:$AY$138,MATCH($B104,Analytica!$B$59:$B$168,0),MATCH(H$15&amp;H$10,Analytica!$F$58:$AY$58&amp;Analytica!$F$51:'Analytica'!$AY$51,0)),"")</f>
        <v>0.17808466218997712</v>
      </c>
      <c r="I104" s="914">
        <v>1</v>
      </c>
      <c r="J104" s="914">
        <v>1</v>
      </c>
      <c r="K104" s="914">
        <v>1</v>
      </c>
      <c r="L104" s="914">
        <v>1</v>
      </c>
      <c r="M104" s="914">
        <v>1</v>
      </c>
      <c r="N104" s="692">
        <f t="array" ref="N104">IFERROR(INDEX(Analytica!$F$59:$AY$138,MATCH($B104,Analytica!$B$59:$B$168,0),MATCH(N$15&amp;N$10,Analytica!$F$58:$AY$58&amp;Analytica!$F$51:'Analytica'!$AY$51,0)),"")</f>
        <v>0.11</v>
      </c>
      <c r="O104" s="981">
        <f>INDEX(CostProjections!$N$11:$W$93,MATCH($B104,CostProjections!$L$11:$L$93,0),MATCH(O$15,CostProjections!$N$10:$W$10,0))*0.001</f>
        <v>2693.0881275829665</v>
      </c>
      <c r="P104" s="981">
        <f>INDEX(CostProjections!$N$11:$W$93,MATCH($B104,CostProjections!$L$11:$L$93,0),MATCH(P$15,CostProjections!$N$10:$W$10,0))*0.001</f>
        <v>1752.7825702237953</v>
      </c>
      <c r="Q104" s="981">
        <f>INDEX(CostProjections!$N$11:$W$93,MATCH($B104,CostProjections!$L$11:$L$93,0),MATCH(Q$15,CostProjections!$N$10:$W$10,0))*0.001</f>
        <v>1528.3619522371666</v>
      </c>
      <c r="R104" s="981">
        <f>INDEX(CostProjections!$N$11:$W$93,MATCH($B104,CostProjections!$L$11:$L$93,0),MATCH(R$15,CostProjections!$N$10:$W$10,0))*0.001</f>
        <v>1484.6287036038705</v>
      </c>
      <c r="S104" s="981">
        <f>INDEX(CostProjections!$N$11:$W$93,MATCH($B104,CostProjections!$L$11:$L$93,0),MATCH(S$15,CostProjections!$N$10:$W$10,0))*0.001</f>
        <v>1440.8954549705777</v>
      </c>
      <c r="T104" s="981">
        <f>INDEX(CostProjections!$N$11:$W$93,MATCH($B104,CostProjections!$L$11:$L$93,0),MATCH(T$15,CostProjections!$N$10:$W$10,0))*0.001</f>
        <v>1353.4289577039922</v>
      </c>
      <c r="U104" s="982">
        <f>INDEX(CostProjections!$Y$11:$AH$93,MATCH($B104,CostProjections!$L$11:$L$93,0),MATCH(U$15,CostProjections!$Y$10:$AH$10,0))*0.001</f>
        <v>54.535034583555067</v>
      </c>
      <c r="V104" s="982">
        <f>INDEX(CostProjections!$Y$11:$AH$93,MATCH($B104,CostProjections!$L$11:$L$93,0),MATCH(V$15,CostProjections!$Y$10:$AH$10,0))*0.001</f>
        <v>30.949329532802626</v>
      </c>
      <c r="W104" s="982">
        <f>INDEX(CostProjections!$Y$11:$AH$93,MATCH($B104,CostProjections!$L$11:$L$93,0),MATCH(W$15,CostProjections!$Y$10:$AH$10,0))*0.001</f>
        <v>29.178132963154201</v>
      </c>
      <c r="X104" s="982">
        <f>INDEX(CostProjections!$Y$11:$AH$93,MATCH($B104,CostProjections!$L$11:$L$93,0),MATCH(X$15,CostProjections!$Y$10:$AH$10,0))*0.001</f>
        <v>27.406936393505845</v>
      </c>
      <c r="Y104" s="689">
        <f t="shared" si="13"/>
        <v>20</v>
      </c>
      <c r="Z104" s="689">
        <f t="shared" si="16"/>
        <v>20</v>
      </c>
      <c r="AA104" s="919">
        <v>2040</v>
      </c>
      <c r="AB104" s="61">
        <f t="shared" ca="1" si="17"/>
        <v>87</v>
      </c>
      <c r="AC104" s="1">
        <v>1</v>
      </c>
    </row>
    <row r="105" spans="1:29" s="61" customFormat="1" ht="15" x14ac:dyDescent="0.25">
      <c r="A105" s="190" t="str">
        <f>ITEMS_nTech!C96</f>
        <v>Transport Freight - HCV7 Hydrogen-N</v>
      </c>
      <c r="B105" s="190" t="str">
        <f t="shared" si="12"/>
        <v>TFHCV7HGN-N</v>
      </c>
      <c r="C105" s="611" t="s">
        <v>1130</v>
      </c>
      <c r="D105" s="611" t="str">
        <f>TRP!B38</f>
        <v>TFHCV7</v>
      </c>
      <c r="E105" s="692">
        <f t="array" ref="E105">IFERROR(INDEX(Analytica!$F$59:$AY$138,MATCH($B105,Analytica!$B$59:$B$168,0),MATCH(E$15&amp;E$10,Analytica!$F$58:$AY$58&amp;Analytica!$F$51:'Analytica'!$AY$51,0)),"")</f>
        <v>0.14849243557825104</v>
      </c>
      <c r="F105" s="692">
        <f t="array" ref="F105">IFERROR(INDEX(Analytica!$F$59:$AY$138,MATCH($B105,Analytica!$B$59:$B$168,0),MATCH(F$15&amp;F$10,Analytica!$F$58:$AY$58&amp;Analytica!$F$51:'Analytica'!$AY$51,0)),"")</f>
        <v>0.15691210769022793</v>
      </c>
      <c r="G105" s="692">
        <f t="array" ref="G105">IFERROR(INDEX(Analytica!$F$59:$AY$138,MATCH($B105,Analytica!$B$59:$B$168,0),MATCH(G$15&amp;G$10,Analytica!$F$58:$AY$58&amp;Analytica!$F$51:'Analytica'!$AY$51,0)),"")</f>
        <v>0.17350200985429787</v>
      </c>
      <c r="H105" s="692">
        <f t="array" ref="H105">IFERROR(INDEX(Analytica!$F$59:$AY$138,MATCH($B105,Analytica!$B$59:$B$168,0),MATCH(H$15&amp;H$10,Analytica!$F$58:$AY$58&amp;Analytica!$F$51:'Analytica'!$AY$51,0)),"")</f>
        <v>0.19184591849922369</v>
      </c>
      <c r="I105" s="914">
        <v>1</v>
      </c>
      <c r="J105" s="914">
        <v>1</v>
      </c>
      <c r="K105" s="914">
        <v>1</v>
      </c>
      <c r="L105" s="914">
        <v>1</v>
      </c>
      <c r="M105" s="914">
        <v>1</v>
      </c>
      <c r="N105" s="692">
        <f t="array" ref="N105">IFERROR(INDEX(Analytica!$F$59:$AY$138,MATCH($B105,Analytica!$B$59:$B$168,0),MATCH(N$15&amp;N$10,Analytica!$F$58:$AY$58&amp;Analytica!$F$51:'Analytica'!$AY$51,0)),"")</f>
        <v>0.16</v>
      </c>
      <c r="O105" s="981">
        <f>INDEX(CostProjections!$N$11:$W$93,MATCH($B105,CostProjections!$L$11:$L$93,0),MATCH(O$15,CostProjections!$N$10:$W$10,0))*0.001</f>
        <v>3660.6104342648114</v>
      </c>
      <c r="P105" s="981">
        <f>INDEX(CostProjections!$N$11:$W$93,MATCH($B105,CostProjections!$L$11:$L$93,0),MATCH(P$15,CostProjections!$N$10:$W$10,0))*0.001</f>
        <v>2382.489492208811</v>
      </c>
      <c r="Q105" s="981">
        <f>INDEX(CostProjections!$N$11:$W$93,MATCH($B105,CostProjections!$L$11:$L$93,0),MATCH(Q$15,CostProjections!$N$10:$W$10,0))*0.001</f>
        <v>2077.4432341781403</v>
      </c>
      <c r="R105" s="981">
        <f>INDEX(CostProjections!$N$11:$W$93,MATCH($B105,CostProjections!$L$11:$L$93,0),MATCH(R$15,CostProjections!$N$10:$W$10,0))*0.001</f>
        <v>2017.9983223567726</v>
      </c>
      <c r="S105" s="981">
        <f>INDEX(CostProjections!$N$11:$W$93,MATCH($B105,CostProjections!$L$11:$L$93,0),MATCH(S$15,CostProjections!$N$10:$W$10,0))*0.001</f>
        <v>1958.55341053541</v>
      </c>
      <c r="T105" s="981">
        <f>INDEX(CostProjections!$N$11:$W$93,MATCH($B105,CostProjections!$L$11:$L$93,0),MATCH(T$15,CostProjections!$N$10:$W$10,0))*0.001</f>
        <v>1839.663586892684</v>
      </c>
      <c r="U105" s="982">
        <f>INDEX(CostProjections!$Y$11:$AH$93,MATCH($B105,CostProjections!$L$11:$L$93,0),MATCH(U$15,CostProjections!$Y$10:$AH$10,0))*0.001</f>
        <v>74.127361293862435</v>
      </c>
      <c r="V105" s="982">
        <f>INDEX(CostProjections!$Y$11:$AH$93,MATCH($B105,CostProjections!$L$11:$L$93,0),MATCH(V$15,CostProjections!$Y$10:$AH$10,0))*0.001</f>
        <v>42.068225492107338</v>
      </c>
      <c r="W105" s="982">
        <f>INDEX(CostProjections!$Y$11:$AH$93,MATCH($B105,CostProjections!$L$11:$L$93,0),MATCH(W$15,CostProjections!$Y$10:$AH$10,0))*0.001</f>
        <v>39.660706563342053</v>
      </c>
      <c r="X105" s="982">
        <f>INDEX(CostProjections!$Y$11:$AH$93,MATCH($B105,CostProjections!$L$11:$L$93,0),MATCH(X$15,CostProjections!$Y$10:$AH$10,0))*0.001</f>
        <v>37.253187634576854</v>
      </c>
      <c r="Y105" s="689">
        <f t="shared" si="13"/>
        <v>20</v>
      </c>
      <c r="Z105" s="689">
        <f t="shared" si="16"/>
        <v>20</v>
      </c>
      <c r="AA105" s="919">
        <v>2040</v>
      </c>
      <c r="AB105" s="61">
        <f t="shared" ca="1" si="17"/>
        <v>88</v>
      </c>
      <c r="AC105" s="1">
        <v>1</v>
      </c>
    </row>
    <row r="106" spans="1:29" s="61" customFormat="1" ht="15" x14ac:dyDescent="0.25">
      <c r="A106" s="190" t="str">
        <f>ITEMS_nTech!C97</f>
        <v>Transport Freight - HCV8 Hydrogen-N</v>
      </c>
      <c r="B106" s="190" t="str">
        <f t="shared" si="12"/>
        <v>TFHCV8HGN-N</v>
      </c>
      <c r="C106" s="611" t="s">
        <v>1130</v>
      </c>
      <c r="D106" s="611" t="str">
        <f>TRP!B39</f>
        <v>TFHCV8</v>
      </c>
      <c r="E106" s="692">
        <f t="array" ref="E106">IFERROR(INDEX(Analytica!$F$59:$AY$138,MATCH($B106,Analytica!$B$59:$B$168,0),MATCH(E$15&amp;E$10,Analytica!$F$58:$AY$58&amp;Analytica!$F$51:'Analytica'!$AY$51,0)),"")</f>
        <v>0.14611835554452188</v>
      </c>
      <c r="F106" s="692">
        <f t="array" ref="F106">IFERROR(INDEX(Analytica!$F$59:$AY$138,MATCH($B106,Analytica!$B$59:$B$168,0),MATCH(F$15&amp;F$10,Analytica!$F$58:$AY$58&amp;Analytica!$F$51:'Analytica'!$AY$51,0)),"")</f>
        <v>0.15440341490418077</v>
      </c>
      <c r="G106" s="692">
        <f t="array" ref="G106">IFERROR(INDEX(Analytica!$F$59:$AY$138,MATCH($B106,Analytica!$B$59:$B$168,0),MATCH(G$15&amp;G$10,Analytica!$F$58:$AY$58&amp;Analytica!$F$51:'Analytica'!$AY$51,0)),"")</f>
        <v>0.17072807961466688</v>
      </c>
      <c r="H106" s="692">
        <f t="array" ref="H106">IFERROR(INDEX(Analytica!$F$59:$AY$138,MATCH($B106,Analytica!$B$59:$B$168,0),MATCH(H$15&amp;H$10,Analytica!$F$58:$AY$58&amp;Analytica!$F$51:'Analytica'!$AY$51,0)),"")</f>
        <v>0.18877870795150914</v>
      </c>
      <c r="I106" s="914">
        <v>1</v>
      </c>
      <c r="J106" s="914">
        <v>1</v>
      </c>
      <c r="K106" s="914">
        <v>1</v>
      </c>
      <c r="L106" s="914">
        <v>1</v>
      </c>
      <c r="M106" s="914">
        <v>1</v>
      </c>
      <c r="N106" s="692">
        <f t="array" ref="N106">IFERROR(INDEX(Analytica!$F$59:$AY$138,MATCH($B106,Analytica!$B$59:$B$168,0),MATCH(N$15&amp;N$10,Analytica!$F$58:$AY$58&amp;Analytica!$F$51:'Analytica'!$AY$51,0)),"")</f>
        <v>0.16</v>
      </c>
      <c r="O106" s="981">
        <f>INDEX(CostProjections!$N$11:$W$93,MATCH($B106,CostProjections!$L$11:$L$93,0),MATCH(O$15,CostProjections!$N$10:$W$10,0))*0.001</f>
        <v>3660.6104342648114</v>
      </c>
      <c r="P106" s="981">
        <f>INDEX(CostProjections!$N$11:$W$93,MATCH($B106,CostProjections!$L$11:$L$93,0),MATCH(P$15,CostProjections!$N$10:$W$10,0))*0.001</f>
        <v>2382.489492208811</v>
      </c>
      <c r="Q106" s="981">
        <f>INDEX(CostProjections!$N$11:$W$93,MATCH($B106,CostProjections!$L$11:$L$93,0),MATCH(Q$15,CostProjections!$N$10:$W$10,0))*0.001</f>
        <v>2077.4432341781403</v>
      </c>
      <c r="R106" s="981">
        <f>INDEX(CostProjections!$N$11:$W$93,MATCH($B106,CostProjections!$L$11:$L$93,0),MATCH(R$15,CostProjections!$N$10:$W$10,0))*0.001</f>
        <v>2017.9983223567726</v>
      </c>
      <c r="S106" s="981">
        <f>INDEX(CostProjections!$N$11:$W$93,MATCH($B106,CostProjections!$L$11:$L$93,0),MATCH(S$15,CostProjections!$N$10:$W$10,0))*0.001</f>
        <v>1958.55341053541</v>
      </c>
      <c r="T106" s="981">
        <f>INDEX(CostProjections!$N$11:$W$93,MATCH($B106,CostProjections!$L$11:$L$93,0),MATCH(T$15,CostProjections!$N$10:$W$10,0))*0.001</f>
        <v>1839.663586892684</v>
      </c>
      <c r="U106" s="982">
        <f>INDEX(CostProjections!$Y$11:$AH$93,MATCH($B106,CostProjections!$L$11:$L$93,0),MATCH(U$15,CostProjections!$Y$10:$AH$10,0))*0.001</f>
        <v>74.127361293862435</v>
      </c>
      <c r="V106" s="982">
        <f>INDEX(CostProjections!$Y$11:$AH$93,MATCH($B106,CostProjections!$L$11:$L$93,0),MATCH(V$15,CostProjections!$Y$10:$AH$10,0))*0.001</f>
        <v>42.068225492107338</v>
      </c>
      <c r="W106" s="982">
        <f>INDEX(CostProjections!$Y$11:$AH$93,MATCH($B106,CostProjections!$L$11:$L$93,0),MATCH(W$15,CostProjections!$Y$10:$AH$10,0))*0.001</f>
        <v>39.660706563342053</v>
      </c>
      <c r="X106" s="982">
        <f>INDEX(CostProjections!$Y$11:$AH$93,MATCH($B106,CostProjections!$L$11:$L$93,0),MATCH(X$15,CostProjections!$Y$10:$AH$10,0))*0.001</f>
        <v>37.253187634576854</v>
      </c>
      <c r="Y106" s="689">
        <f t="shared" si="13"/>
        <v>20</v>
      </c>
      <c r="Z106" s="689">
        <f t="shared" si="16"/>
        <v>20</v>
      </c>
      <c r="AA106" s="919">
        <v>2040</v>
      </c>
      <c r="AB106" s="61">
        <f t="shared" ca="1" si="17"/>
        <v>89</v>
      </c>
      <c r="AC106" s="1">
        <v>1</v>
      </c>
    </row>
    <row r="107" spans="1:29" s="61" customFormat="1" ht="15" x14ac:dyDescent="0.25">
      <c r="A107" s="190" t="str">
        <f>ITEMS_nTech!C98</f>
        <v>Transport Freight - HCV9 Hydrogen-N</v>
      </c>
      <c r="B107" s="190" t="str">
        <f t="shared" si="12"/>
        <v>TFHCV9HGN-N</v>
      </c>
      <c r="C107" s="611" t="s">
        <v>1130</v>
      </c>
      <c r="D107" s="611" t="str">
        <f>TRP!B40</f>
        <v>TFHCV9</v>
      </c>
      <c r="E107" s="692">
        <f t="array" ref="E107">IFERROR(INDEX(Analytica!$F$59:$AY$138,MATCH($B107,Analytica!$B$59:$B$168,0),MATCH(E$15&amp;E$10,Analytica!$F$58:$AY$58&amp;Analytica!$F$51:'Analytica'!$AY$51,0)),"")</f>
        <v>0.11481774903280431</v>
      </c>
      <c r="F107" s="692">
        <f t="array" ref="F107">IFERROR(INDEX(Analytica!$F$59:$AY$138,MATCH($B107,Analytica!$B$59:$B$168,0),MATCH(F$15&amp;F$10,Analytica!$F$58:$AY$58&amp;Analytica!$F$51:'Analytica'!$AY$51,0)),"")</f>
        <v>0.12132803217097823</v>
      </c>
      <c r="G107" s="692">
        <f t="array" ref="G107">IFERROR(INDEX(Analytica!$F$59:$AY$138,MATCH($B107,Analytica!$B$59:$B$168,0),MATCH(G$15&amp;G$10,Analytica!$F$58:$AY$58&amp;Analytica!$F$51:'Analytica'!$AY$51,0)),"")</f>
        <v>0.13415572413882385</v>
      </c>
      <c r="H107" s="692">
        <f t="array" ref="H107">IFERROR(INDEX(Analytica!$F$59:$AY$138,MATCH($B107,Analytica!$B$59:$B$168,0),MATCH(H$15&amp;H$10,Analytica!$F$58:$AY$58&amp;Analytica!$F$51:'Analytica'!$AY$51,0)),"")</f>
        <v>0.14833965405331348</v>
      </c>
      <c r="I107" s="914">
        <v>1</v>
      </c>
      <c r="J107" s="914">
        <v>1</v>
      </c>
      <c r="K107" s="914">
        <v>1</v>
      </c>
      <c r="L107" s="914">
        <v>1</v>
      </c>
      <c r="M107" s="914">
        <v>1</v>
      </c>
      <c r="N107" s="692">
        <f t="array" ref="N107">IFERROR(INDEX(Analytica!$F$59:$AY$138,MATCH($B107,Analytica!$B$59:$B$168,0),MATCH(N$15&amp;N$10,Analytica!$F$58:$AY$58&amp;Analytica!$F$51:'Analytica'!$AY$51,0)),"")</f>
        <v>0.18</v>
      </c>
      <c r="O107" s="981">
        <f>INDEX(CostProjections!$N$11:$W$93,MATCH($B107,CostProjections!$L$11:$L$93,0),MATCH(O$15,CostProjections!$N$10:$W$10,0))*0.001</f>
        <v>3660.6104342648114</v>
      </c>
      <c r="P107" s="981">
        <f>INDEX(CostProjections!$N$11:$W$93,MATCH($B107,CostProjections!$L$11:$L$93,0),MATCH(P$15,CostProjections!$N$10:$W$10,0))*0.001</f>
        <v>2382.489492208811</v>
      </c>
      <c r="Q107" s="981">
        <f>INDEX(CostProjections!$N$11:$W$93,MATCH($B107,CostProjections!$L$11:$L$93,0),MATCH(Q$15,CostProjections!$N$10:$W$10,0))*0.001</f>
        <v>2077.4432341781403</v>
      </c>
      <c r="R107" s="981">
        <f>INDEX(CostProjections!$N$11:$W$93,MATCH($B107,CostProjections!$L$11:$L$93,0),MATCH(R$15,CostProjections!$N$10:$W$10,0))*0.001</f>
        <v>2017.9983223567726</v>
      </c>
      <c r="S107" s="981">
        <f>INDEX(CostProjections!$N$11:$W$93,MATCH($B107,CostProjections!$L$11:$L$93,0),MATCH(S$15,CostProjections!$N$10:$W$10,0))*0.001</f>
        <v>1958.55341053541</v>
      </c>
      <c r="T107" s="981">
        <f>INDEX(CostProjections!$N$11:$W$93,MATCH($B107,CostProjections!$L$11:$L$93,0),MATCH(T$15,CostProjections!$N$10:$W$10,0))*0.001</f>
        <v>1839.663586892684</v>
      </c>
      <c r="U107" s="982">
        <f>INDEX(CostProjections!$Y$11:$AH$93,MATCH($B107,CostProjections!$L$11:$L$93,0),MATCH(U$15,CostProjections!$Y$10:$AH$10,0))*0.001</f>
        <v>74.127361293862435</v>
      </c>
      <c r="V107" s="982">
        <f>INDEX(CostProjections!$Y$11:$AH$93,MATCH($B107,CostProjections!$L$11:$L$93,0),MATCH(V$15,CostProjections!$Y$10:$AH$10,0))*0.001</f>
        <v>42.068225492107338</v>
      </c>
      <c r="W107" s="982">
        <f>INDEX(CostProjections!$Y$11:$AH$93,MATCH($B107,CostProjections!$L$11:$L$93,0),MATCH(W$15,CostProjections!$Y$10:$AH$10,0))*0.001</f>
        <v>39.660706563342053</v>
      </c>
      <c r="X107" s="982">
        <f>INDEX(CostProjections!$Y$11:$AH$93,MATCH($B107,CostProjections!$L$11:$L$93,0),MATCH(X$15,CostProjections!$Y$10:$AH$10,0))*0.001</f>
        <v>37.253187634576854</v>
      </c>
      <c r="Y107" s="689">
        <f t="shared" si="13"/>
        <v>20</v>
      </c>
      <c r="Z107" s="689">
        <f t="shared" si="16"/>
        <v>20</v>
      </c>
      <c r="AA107" s="919">
        <v>2040</v>
      </c>
      <c r="AB107" s="61">
        <f t="shared" ca="1" si="17"/>
        <v>90</v>
      </c>
      <c r="AC107" s="1">
        <v>1</v>
      </c>
    </row>
    <row r="108" spans="1:29" s="617" customFormat="1" x14ac:dyDescent="0.2">
      <c r="A108" s="190" t="s">
        <v>1124</v>
      </c>
      <c r="I108" s="916"/>
      <c r="J108" s="916"/>
      <c r="K108" s="916"/>
      <c r="L108" s="916"/>
      <c r="M108" s="916"/>
      <c r="U108" s="619" t="str">
        <f t="array" ref="U108">IFERROR(INDEX(Analytica!$F$59:$AY$138,MATCH($B108,Analytica!$B$59:$B$168,0),MATCH(U$15&amp;U$10,Analytica!$F$58:$AY$58&amp;Analytica!$F$51:'Analytica'!$AY$51,0)),"")</f>
        <v/>
      </c>
      <c r="V108" s="619" t="str">
        <f t="array" ref="V108">IFERROR(INDEX(Analytica!$F$59:$AY$138,MATCH($B108,Analytica!$B$59:$B$168,0),MATCH(V$15&amp;V$10,Analytica!$F$58:$AY$58&amp;Analytica!$F$51:'Analytica'!$AY$51,0)),"")</f>
        <v/>
      </c>
      <c r="W108" s="619" t="str">
        <f t="array" ref="W108">IFERROR(INDEX(Analytica!$F$59:$AY$138,MATCH($B108,Analytica!$B$59:$B$168,0),MATCH(W$15&amp;W$10,Analytica!$F$58:$AY$58&amp;Analytica!$F$51:'Analytica'!$AY$51,0)),"")</f>
        <v/>
      </c>
      <c r="X108" s="619" t="str">
        <f t="array" ref="X108">IFERROR(INDEX(Analytica!$F$59:$AY$138,MATCH($B108,Analytica!$B$59:$B$168,0),MATCH(X$15&amp;X$10,Analytica!$F$58:$AY$58&amp;Analytica!$F$51:'Analytica'!$AY$51,0)),"")</f>
        <v/>
      </c>
      <c r="AB108" s="695">
        <f t="shared" ca="1" si="17"/>
        <v>91</v>
      </c>
    </row>
    <row r="109" spans="1:29" x14ac:dyDescent="0.2">
      <c r="A109" s="190" t="str">
        <f>ITEMS_nTech!C100</f>
        <v>Transport Freight - Rail Corridor Gas-N</v>
      </c>
      <c r="B109" s="190" t="str">
        <f>D109&amp;RIGHT(C109,3)&amp;"-N"</f>
        <v>TFRCOGAS-N</v>
      </c>
      <c r="C109" s="611" t="str">
        <f>$F$6</f>
        <v>TRAGAS</v>
      </c>
      <c r="D109" s="611" t="str">
        <f>TRP!$B$41</f>
        <v>TFRCO</v>
      </c>
      <c r="E109" s="692">
        <f>SUMIF(Analytica!$B$59:$B$137,$B109,Analytica!AB$59:AB$143)</f>
        <v>0</v>
      </c>
      <c r="F109" s="692">
        <f>SUMIF(Analytica!$B$59:$B$137,$B109,Analytica!AC$59:AC$148)</f>
        <v>0</v>
      </c>
      <c r="G109" s="692">
        <f>SUMIF(Analytica!$B$59:$B$137,$B109,Analytica!AD$59:AD$137)</f>
        <v>0</v>
      </c>
      <c r="H109" s="692">
        <f>SUMIF(Analytica!$B$59:$B$137,$B109,Analytica!AE$59:AE$148)</f>
        <v>0</v>
      </c>
      <c r="I109" s="914">
        <v>1</v>
      </c>
      <c r="J109" s="914">
        <v>1</v>
      </c>
      <c r="K109" s="914">
        <v>1</v>
      </c>
      <c r="L109" s="914">
        <v>1</v>
      </c>
      <c r="M109" s="914">
        <v>1</v>
      </c>
      <c r="N109" s="691">
        <v>1</v>
      </c>
      <c r="O109" s="619">
        <v>1</v>
      </c>
      <c r="P109" s="619">
        <f t="shared" ref="P109:T109" si="21">O109</f>
        <v>1</v>
      </c>
      <c r="Q109" s="619">
        <f t="shared" si="21"/>
        <v>1</v>
      </c>
      <c r="R109" s="619">
        <f t="shared" si="21"/>
        <v>1</v>
      </c>
      <c r="S109" s="619">
        <f t="shared" si="21"/>
        <v>1</v>
      </c>
      <c r="T109" s="619">
        <f t="shared" si="21"/>
        <v>1</v>
      </c>
      <c r="U109" s="619" t="str">
        <f t="array" ref="U109">IFERROR(INDEX(Analytica!$F$59:$AY$138,MATCH($B109,Analytica!$B$59:$B$168,0),MATCH(U$15&amp;U$10,Analytica!$F$58:$AY$58&amp;Analytica!$F$51:'Analytica'!$AY$51,0)),"")</f>
        <v/>
      </c>
      <c r="V109" s="619" t="str">
        <f t="array" ref="V109">IFERROR(INDEX(Analytica!$F$59:$AY$138,MATCH($B109,Analytica!$B$59:$B$168,0),MATCH(V$15&amp;V$10,Analytica!$F$58:$AY$58&amp;Analytica!$F$51:'Analytica'!$AY$51,0)),"")</f>
        <v/>
      </c>
      <c r="W109" s="619" t="str">
        <f t="array" ref="W109">IFERROR(INDEX(Analytica!$F$59:$AY$138,MATCH($B109,Analytica!$B$59:$B$168,0),MATCH(W$15&amp;W$10,Analytica!$F$58:$AY$58&amp;Analytica!$F$51:'Analytica'!$AY$51,0)),"")</f>
        <v/>
      </c>
      <c r="X109" s="619" t="str">
        <f t="array" ref="X109">IFERROR(INDEX(Analytica!$F$59:$AY$138,MATCH($B109,Analytica!$B$59:$B$168,0),MATCH(X$15&amp;X$10,Analytica!$F$58:$AY$58&amp;Analytica!$F$51:'Analytica'!$AY$51,0)),"")</f>
        <v/>
      </c>
      <c r="Y109" s="689">
        <v>50</v>
      </c>
      <c r="Z109" s="689">
        <f>Y109</f>
        <v>50</v>
      </c>
      <c r="AA109" s="689">
        <v>2080</v>
      </c>
      <c r="AB109" s="687">
        <f t="shared" ca="1" si="17"/>
        <v>92</v>
      </c>
      <c r="AC109" s="1">
        <v>1</v>
      </c>
    </row>
    <row r="110" spans="1:29" x14ac:dyDescent="0.2">
      <c r="A110" s="190" t="s">
        <v>1124</v>
      </c>
      <c r="B110" s="190"/>
      <c r="C110" s="611"/>
      <c r="D110" s="611"/>
      <c r="E110" s="692"/>
      <c r="F110" s="692"/>
      <c r="G110" s="692"/>
      <c r="H110" s="692"/>
      <c r="I110" s="914"/>
      <c r="J110" s="914"/>
      <c r="K110" s="914"/>
      <c r="L110" s="914"/>
      <c r="M110" s="914"/>
      <c r="N110" s="694"/>
      <c r="O110" s="619"/>
      <c r="P110" s="619"/>
      <c r="Q110" s="619"/>
      <c r="R110" s="619"/>
      <c r="S110" s="619"/>
      <c r="T110" s="619"/>
      <c r="U110" s="619" t="str">
        <f t="array" ref="U110">IFERROR(INDEX(Analytica!$F$59:$AY$138,MATCH($B110,Analytica!$B$59:$B$168,0),MATCH(U$15&amp;U$10,Analytica!$F$58:$AY$58&amp;Analytica!$F$51:'Analytica'!$AY$51,0)),"")</f>
        <v/>
      </c>
      <c r="V110" s="619" t="str">
        <f t="array" ref="V110">IFERROR(INDEX(Analytica!$F$59:$AY$138,MATCH($B110,Analytica!$B$59:$B$168,0),MATCH(V$15&amp;V$10,Analytica!$F$58:$AY$58&amp;Analytica!$F$51:'Analytica'!$AY$51,0)),"")</f>
        <v/>
      </c>
      <c r="W110" s="619" t="str">
        <f t="array" ref="W110">IFERROR(INDEX(Analytica!$F$59:$AY$138,MATCH($B110,Analytica!$B$59:$B$168,0),MATCH(W$15&amp;W$10,Analytica!$F$58:$AY$58&amp;Analytica!$F$51:'Analytica'!$AY$51,0)),"")</f>
        <v/>
      </c>
      <c r="X110" s="619" t="str">
        <f t="array" ref="X110">IFERROR(INDEX(Analytica!$F$59:$AY$138,MATCH($B110,Analytica!$B$59:$B$168,0),MATCH(X$15&amp;X$10,Analytica!$F$58:$AY$58&amp;Analytica!$F$51:'Analytica'!$AY$51,0)),"")</f>
        <v/>
      </c>
      <c r="Y110" s="619" t="str">
        <f t="array" ref="Y110">IFERROR(INDEX(Analytica!$F$59:$AY$138,MATCH($B110,Analytica!$B$59:$B$168,0),MATCH(Y$15&amp;Y$10,Analytica!$F$58:$AY$58&amp;Analytica!$F$51:'Analytica'!$AY$51,0)),"")</f>
        <v/>
      </c>
      <c r="Z110" s="619" t="str">
        <f t="array" ref="Z110">IFERROR(INDEX(Analytica!$F$59:$AY$138,MATCH($B110,Analytica!$B$59:$B$168,0),MATCH(Z$15&amp;Z$10,Analytica!$F$58:$AY$58&amp;Analytica!$F$51:'Analytica'!$AY$51,0)),"")</f>
        <v/>
      </c>
      <c r="AA110" s="619" t="str">
        <f t="array" ref="AA110">IFERROR(INDEX(Analytica!$F$59:$AY$138,MATCH($B110,Analytica!$B$59:$B$168,0),MATCH(AA$15&amp;AA$10,Analytica!$F$58:$AY$58&amp;Analytica!$F$51:'Analytica'!$AY$51,0)),"")</f>
        <v/>
      </c>
      <c r="AB110" s="687">
        <f t="shared" ca="1" si="17"/>
        <v>93</v>
      </c>
      <c r="AC110" s="1">
        <v>1</v>
      </c>
    </row>
    <row r="111" spans="1:29" ht="15" x14ac:dyDescent="0.25">
      <c r="A111" s="190" t="str">
        <f>ITEMS_nTech!C102</f>
        <v>Transport Freight - Rail Corridor Electricity-N</v>
      </c>
      <c r="B111" s="190" t="str">
        <f>D111&amp;RIGHT(C111,3)&amp;"-N"</f>
        <v>TFRCOELC-N</v>
      </c>
      <c r="C111" s="611" t="str">
        <f>$E$6</f>
        <v>TRAELC</v>
      </c>
      <c r="D111" s="611" t="str">
        <f>TRP!$B$41</f>
        <v>TFRCO</v>
      </c>
      <c r="E111" s="692">
        <f>Calib_2017!AG42</f>
        <v>4.0285422116338081</v>
      </c>
      <c r="F111" s="692">
        <f>E111</f>
        <v>4.0285422116338081</v>
      </c>
      <c r="G111" s="692">
        <f>F111</f>
        <v>4.0285422116338081</v>
      </c>
      <c r="H111" s="692">
        <f>G111</f>
        <v>4.0285422116338081</v>
      </c>
      <c r="I111" s="914">
        <v>1</v>
      </c>
      <c r="J111" s="914">
        <v>1</v>
      </c>
      <c r="K111" s="914">
        <v>1</v>
      </c>
      <c r="L111" s="914">
        <v>1</v>
      </c>
      <c r="M111" s="914">
        <v>1</v>
      </c>
      <c r="N111" s="691">
        <v>1</v>
      </c>
      <c r="O111" s="619">
        <v>10</v>
      </c>
      <c r="P111" s="619">
        <f>O111</f>
        <v>10</v>
      </c>
      <c r="Q111" s="619">
        <f>P111</f>
        <v>10</v>
      </c>
      <c r="R111" s="619">
        <f>Q111</f>
        <v>10</v>
      </c>
      <c r="S111" s="619">
        <f>Q111</f>
        <v>10</v>
      </c>
      <c r="T111" s="619">
        <f>S111</f>
        <v>10</v>
      </c>
      <c r="U111" s="619" t="str">
        <f t="array" ref="U111">IFERROR(INDEX(Analytica!$F$59:$AY$138,MATCH($B111,Analytica!$B$59:$B$168,0),MATCH(U$15&amp;U$10,Analytica!$F$58:$AY$58&amp;Analytica!$F$51:'Analytica'!$AY$51,0)),"")</f>
        <v/>
      </c>
      <c r="V111" s="619" t="str">
        <f t="array" ref="V111">IFERROR(INDEX(Analytica!$F$59:$AY$138,MATCH($B111,Analytica!$B$59:$B$168,0),MATCH(V$15&amp;V$10,Analytica!$F$58:$AY$58&amp;Analytica!$F$51:'Analytica'!$AY$51,0)),"")</f>
        <v/>
      </c>
      <c r="W111" s="619" t="str">
        <f t="array" ref="W111">IFERROR(INDEX(Analytica!$F$59:$AY$138,MATCH($B111,Analytica!$B$59:$B$168,0),MATCH(W$15&amp;W$10,Analytica!$F$58:$AY$58&amp;Analytica!$F$51:'Analytica'!$AY$51,0)),"")</f>
        <v/>
      </c>
      <c r="X111" s="619" t="str">
        <f t="array" ref="X111">IFERROR(INDEX(Analytica!$F$59:$AY$138,MATCH($B111,Analytica!$B$59:$B$168,0),MATCH(X$15&amp;X$10,Analytica!$F$58:$AY$58&amp;Analytica!$F$51:'Analytica'!$AY$51,0)),"")</f>
        <v/>
      </c>
      <c r="Y111" s="689">
        <v>50</v>
      </c>
      <c r="Z111" s="689">
        <f>Y111</f>
        <v>50</v>
      </c>
      <c r="AA111" s="693">
        <v>2025</v>
      </c>
      <c r="AB111" s="687">
        <f t="shared" ca="1" si="17"/>
        <v>94</v>
      </c>
      <c r="AC111" s="1">
        <v>1</v>
      </c>
    </row>
    <row r="112" spans="1:29" x14ac:dyDescent="0.2">
      <c r="A112" s="190" t="s">
        <v>1124</v>
      </c>
      <c r="B112" s="190"/>
      <c r="C112" s="611"/>
      <c r="D112" s="611"/>
      <c r="E112" s="619"/>
      <c r="F112" s="619"/>
      <c r="G112" s="619"/>
      <c r="H112" s="619"/>
      <c r="I112" s="915"/>
      <c r="J112" s="915"/>
      <c r="K112" s="915"/>
      <c r="L112" s="915"/>
      <c r="M112" s="915"/>
      <c r="N112" s="689"/>
      <c r="O112" s="619"/>
      <c r="P112" s="619"/>
      <c r="Q112" s="619"/>
      <c r="R112" s="619"/>
      <c r="S112" s="690"/>
      <c r="T112" s="690"/>
      <c r="U112" s="690"/>
      <c r="V112" s="690"/>
      <c r="W112" s="690"/>
      <c r="X112" s="690"/>
      <c r="Y112" s="690"/>
      <c r="Z112" s="690"/>
      <c r="AA112" s="690"/>
      <c r="AB112" s="687">
        <f t="shared" ca="1" si="17"/>
        <v>95</v>
      </c>
      <c r="AC112" s="1">
        <v>1</v>
      </c>
    </row>
    <row r="113" spans="1:29" ht="15" x14ac:dyDescent="0.25">
      <c r="A113" s="190" t="str">
        <f>ITEMS_nTech!C104</f>
        <v>Transport Freight - Rail Other Electricity-N</v>
      </c>
      <c r="B113" s="190" t="str">
        <f>D113&amp;RIGHT(C113,3)&amp;"-N"</f>
        <v>TFROTELC-N</v>
      </c>
      <c r="C113" s="611" t="str">
        <f>$E$6</f>
        <v>TRAELC</v>
      </c>
      <c r="D113" s="611" t="str">
        <f>TRP!B42</f>
        <v>TFROT</v>
      </c>
      <c r="E113" s="692">
        <f>Calib_2017!AG42</f>
        <v>4.0285422116338081</v>
      </c>
      <c r="F113" s="692">
        <f>E113</f>
        <v>4.0285422116338081</v>
      </c>
      <c r="G113" s="692">
        <f>F113</f>
        <v>4.0285422116338081</v>
      </c>
      <c r="H113" s="692">
        <f>G113</f>
        <v>4.0285422116338081</v>
      </c>
      <c r="I113" s="914">
        <v>1</v>
      </c>
      <c r="J113" s="914">
        <v>1</v>
      </c>
      <c r="K113" s="914">
        <v>1</v>
      </c>
      <c r="L113" s="914">
        <v>1</v>
      </c>
      <c r="M113" s="914">
        <v>1</v>
      </c>
      <c r="N113" s="691">
        <v>1</v>
      </c>
      <c r="O113" s="619">
        <v>10</v>
      </c>
      <c r="P113" s="619">
        <f>O113</f>
        <v>10</v>
      </c>
      <c r="Q113" s="619">
        <f>P113</f>
        <v>10</v>
      </c>
      <c r="R113" s="619">
        <f>Q113</f>
        <v>10</v>
      </c>
      <c r="S113" s="619">
        <f>Q113</f>
        <v>10</v>
      </c>
      <c r="T113" s="619">
        <f>S113</f>
        <v>10</v>
      </c>
      <c r="U113" s="619" t="str">
        <f t="array" ref="U113">IFERROR(INDEX(Analytica!$F$59:$AY$138,MATCH($B113,Analytica!$B$59:$B$168,0),MATCH(U$15&amp;U$10,Analytica!$F$58:$AY$58&amp;Analytica!$F$51:'Analytica'!$AY$51,0)),"")</f>
        <v/>
      </c>
      <c r="V113" s="619" t="str">
        <f t="array" ref="V113">IFERROR(INDEX(Analytica!$F$59:$AY$138,MATCH($B113,Analytica!$B$59:$B$168,0),MATCH(V$15&amp;V$10,Analytica!$F$58:$AY$58&amp;Analytica!$F$51:'Analytica'!$AY$51,0)),"")</f>
        <v/>
      </c>
      <c r="W113" s="619" t="str">
        <f t="array" ref="W113">IFERROR(INDEX(Analytica!$F$59:$AY$138,MATCH($B113,Analytica!$B$59:$B$168,0),MATCH(W$15&amp;W$10,Analytica!$F$58:$AY$58&amp;Analytica!$F$51:'Analytica'!$AY$51,0)),"")</f>
        <v/>
      </c>
      <c r="X113" s="619" t="str">
        <f t="array" ref="X113">IFERROR(INDEX(Analytica!$F$59:$AY$138,MATCH($B113,Analytica!$B$59:$B$168,0),MATCH(X$15&amp;X$10,Analytica!$F$58:$AY$58&amp;Analytica!$F$51:'Analytica'!$AY$51,0)),"")</f>
        <v/>
      </c>
      <c r="Y113" s="689">
        <v>50</v>
      </c>
      <c r="Z113" s="689">
        <f>Y113</f>
        <v>50</v>
      </c>
      <c r="AA113" s="693">
        <v>2025</v>
      </c>
      <c r="AB113" s="687">
        <f t="shared" ca="1" si="17"/>
        <v>96</v>
      </c>
      <c r="AC113" s="1">
        <v>1</v>
      </c>
    </row>
    <row r="114" spans="1:29" x14ac:dyDescent="0.2">
      <c r="A114" s="190" t="s">
        <v>1124</v>
      </c>
      <c r="B114" s="190"/>
      <c r="C114" s="611"/>
      <c r="D114" s="611"/>
      <c r="E114" s="619"/>
      <c r="F114" s="619"/>
      <c r="G114" s="619"/>
      <c r="H114" s="619"/>
      <c r="I114" s="915"/>
      <c r="J114" s="915"/>
      <c r="K114" s="915"/>
      <c r="L114" s="915"/>
      <c r="M114" s="915"/>
      <c r="N114" s="689"/>
      <c r="O114" s="619"/>
      <c r="P114" s="619"/>
      <c r="Q114" s="619"/>
      <c r="R114" s="619"/>
      <c r="S114" s="690"/>
      <c r="T114" s="690"/>
      <c r="U114" s="619" t="str">
        <f t="array" ref="U114">IFERROR(INDEX(Analytica!$F$59:$AY$138,MATCH($B114,Analytica!$B$59:$B$168,0),MATCH(U$15&amp;U$10,Analytica!$F$58:$AY$58&amp;Analytica!$F$51:'Analytica'!$AY$51,0)),"")</f>
        <v/>
      </c>
      <c r="V114" s="619" t="str">
        <f t="array" ref="V114">IFERROR(INDEX(Analytica!$F$59:$AY$138,MATCH($B114,Analytica!$B$59:$B$168,0),MATCH(V$15&amp;V$10,Analytica!$F$58:$AY$58&amp;Analytica!$F$51:'Analytica'!$AY$51,0)),"")</f>
        <v/>
      </c>
      <c r="W114" s="619" t="str">
        <f t="array" ref="W114">IFERROR(INDEX(Analytica!$F$59:$AY$138,MATCH($B114,Analytica!$B$59:$B$168,0),MATCH(W$15&amp;W$10,Analytica!$F$58:$AY$58&amp;Analytica!$F$51:'Analytica'!$AY$51,0)),"")</f>
        <v/>
      </c>
      <c r="X114" s="619" t="str">
        <f t="array" ref="X114">IFERROR(INDEX(Analytica!$F$59:$AY$138,MATCH($B114,Analytica!$B$59:$B$168,0),MATCH(X$15&amp;X$10,Analytica!$F$58:$AY$58&amp;Analytica!$F$51:'Analytica'!$AY$51,0)),"")</f>
        <v/>
      </c>
      <c r="Y114" s="689"/>
      <c r="Z114" s="689">
        <f>Y114</f>
        <v>0</v>
      </c>
      <c r="AA114" s="689">
        <f>IF(AC112,base.year+$AA$12,base.year+$AA$10)</f>
        <v>2025</v>
      </c>
      <c r="AB114" s="687">
        <f t="shared" ca="1" si="17"/>
        <v>97</v>
      </c>
      <c r="AC114" s="1">
        <v>1</v>
      </c>
    </row>
    <row r="115" spans="1:29" ht="15" x14ac:dyDescent="0.25">
      <c r="A115" s="190" t="str">
        <f>ITEMS_nTech!C106</f>
        <v>Transport Freight - Rail Export (bulk mining) Electricity-N</v>
      </c>
      <c r="B115" s="190" t="str">
        <f>D115&amp;RIGHT(C115,3)&amp;"-N"</f>
        <v>TFREXELC-N</v>
      </c>
      <c r="C115" s="611" t="str">
        <f>$E$6</f>
        <v>TRAELC</v>
      </c>
      <c r="D115" s="611" t="str">
        <f>TRP!B43</f>
        <v>TFREX</v>
      </c>
      <c r="E115" s="692">
        <f>Calib_2017!AG42</f>
        <v>4.0285422116338081</v>
      </c>
      <c r="F115" s="692">
        <f>E115</f>
        <v>4.0285422116338081</v>
      </c>
      <c r="G115" s="692">
        <f>F115</f>
        <v>4.0285422116338081</v>
      </c>
      <c r="H115" s="692">
        <f>G115</f>
        <v>4.0285422116338081</v>
      </c>
      <c r="I115" s="914">
        <v>1</v>
      </c>
      <c r="J115" s="914">
        <v>1</v>
      </c>
      <c r="K115" s="914">
        <v>1</v>
      </c>
      <c r="L115" s="914">
        <v>1</v>
      </c>
      <c r="M115" s="914">
        <v>1</v>
      </c>
      <c r="N115" s="691">
        <v>1</v>
      </c>
      <c r="O115" s="619">
        <v>10</v>
      </c>
      <c r="P115" s="619">
        <f>O115</f>
        <v>10</v>
      </c>
      <c r="Q115" s="619">
        <f>P115</f>
        <v>10</v>
      </c>
      <c r="R115" s="619">
        <f>Q115</f>
        <v>10</v>
      </c>
      <c r="S115" s="619">
        <f>Q115</f>
        <v>10</v>
      </c>
      <c r="T115" s="619">
        <f>S115</f>
        <v>10</v>
      </c>
      <c r="U115" s="619" t="str">
        <f t="array" ref="U115">IFERROR(INDEX(Analytica!$F$59:$AY$138,MATCH($B115,Analytica!$B$59:$B$168,0),MATCH(U$15&amp;U$10,Analytica!$F$58:$AY$58&amp;Analytica!$F$51:'Analytica'!$AY$51,0)),"")</f>
        <v/>
      </c>
      <c r="V115" s="619" t="str">
        <f t="array" ref="V115">IFERROR(INDEX(Analytica!$F$59:$AY$138,MATCH($B115,Analytica!$B$59:$B$168,0),MATCH(V$15&amp;V$10,Analytica!$F$58:$AY$58&amp;Analytica!$F$51:'Analytica'!$AY$51,0)),"")</f>
        <v/>
      </c>
      <c r="W115" s="619" t="str">
        <f t="array" ref="W115">IFERROR(INDEX(Analytica!$F$59:$AY$138,MATCH($B115,Analytica!$B$59:$B$168,0),MATCH(W$15&amp;W$10,Analytica!$F$58:$AY$58&amp;Analytica!$F$51:'Analytica'!$AY$51,0)),"")</f>
        <v/>
      </c>
      <c r="X115" s="619" t="str">
        <f t="array" ref="X115">IFERROR(INDEX(Analytica!$F$59:$AY$138,MATCH($B115,Analytica!$B$59:$B$168,0),MATCH(X$15&amp;X$10,Analytica!$F$58:$AY$58&amp;Analytica!$F$51:'Analytica'!$AY$51,0)),"")</f>
        <v/>
      </c>
      <c r="Y115" s="689">
        <v>50</v>
      </c>
      <c r="Z115" s="689">
        <f>Y115</f>
        <v>50</v>
      </c>
      <c r="AA115" s="693">
        <v>2023</v>
      </c>
      <c r="AB115" s="687">
        <f t="shared" ca="1" si="17"/>
        <v>98</v>
      </c>
      <c r="AC115" s="1">
        <v>1</v>
      </c>
    </row>
    <row r="116" spans="1:29" x14ac:dyDescent="0.2">
      <c r="A116" s="190" t="s">
        <v>1124</v>
      </c>
      <c r="B116" s="190"/>
      <c r="C116" s="611"/>
      <c r="D116" s="611"/>
      <c r="E116" s="619"/>
      <c r="F116" s="619"/>
      <c r="G116" s="619"/>
      <c r="H116" s="619"/>
      <c r="I116" s="915"/>
      <c r="J116" s="915"/>
      <c r="K116" s="915"/>
      <c r="L116" s="915"/>
      <c r="M116" s="915"/>
      <c r="N116" s="689"/>
      <c r="O116" s="619"/>
      <c r="P116" s="619"/>
      <c r="Q116" s="619"/>
      <c r="R116" s="619"/>
      <c r="S116" s="619"/>
      <c r="T116" s="619"/>
      <c r="U116" s="619"/>
      <c r="V116" s="619"/>
      <c r="W116" s="619"/>
      <c r="X116" s="619"/>
      <c r="Y116" s="619"/>
      <c r="Z116" s="619"/>
      <c r="AA116" s="619"/>
      <c r="AB116" s="687">
        <f t="shared" ca="1" si="17"/>
        <v>99</v>
      </c>
    </row>
    <row r="117" spans="1:29" x14ac:dyDescent="0.2">
      <c r="A117" s="190" t="s">
        <v>1124</v>
      </c>
      <c r="B117" s="190"/>
      <c r="C117" s="608"/>
      <c r="D117" s="608"/>
      <c r="E117" s="621"/>
      <c r="F117" s="621"/>
      <c r="G117" s="621"/>
      <c r="H117" s="621"/>
      <c r="I117" s="915"/>
      <c r="J117" s="915"/>
      <c r="K117" s="915"/>
      <c r="L117" s="915"/>
      <c r="M117" s="915"/>
      <c r="N117" s="621"/>
      <c r="O117" s="619"/>
      <c r="P117" s="619"/>
      <c r="Q117" s="619"/>
      <c r="R117" s="619"/>
      <c r="S117" s="619"/>
      <c r="T117" s="619"/>
      <c r="U117" s="619"/>
      <c r="V117" s="619"/>
      <c r="W117" s="619"/>
      <c r="X117" s="619"/>
      <c r="Y117" s="619"/>
      <c r="Z117" s="619"/>
      <c r="AA117" s="619"/>
      <c r="AB117" s="687">
        <f t="shared" ca="1" si="17"/>
        <v>100</v>
      </c>
    </row>
    <row r="118" spans="1:29" x14ac:dyDescent="0.2">
      <c r="A118" s="190" t="str">
        <f>ITEMS_nTech!C109</f>
        <v>Transport Other - Pipeline Electricity-N</v>
      </c>
      <c r="B118" s="190" t="str">
        <f>D118&amp;RIGHT(C118,3)&amp;"-N"</f>
        <v>TFPIPELC-N</v>
      </c>
      <c r="C118" s="611" t="str">
        <f>$E$6</f>
        <v>TRAELC</v>
      </c>
      <c r="D118" s="611" t="str">
        <f>TRP!B46</f>
        <v>TFPIP</v>
      </c>
      <c r="E118" s="692">
        <v>1</v>
      </c>
      <c r="F118" s="692">
        <f t="shared" ref="F118:H122" si="22">E118</f>
        <v>1</v>
      </c>
      <c r="G118" s="692">
        <f t="shared" si="22"/>
        <v>1</v>
      </c>
      <c r="H118" s="692">
        <f t="shared" si="22"/>
        <v>1</v>
      </c>
      <c r="I118" s="914">
        <v>1</v>
      </c>
      <c r="J118" s="914">
        <v>1</v>
      </c>
      <c r="K118" s="914">
        <v>1</v>
      </c>
      <c r="L118" s="914">
        <v>1</v>
      </c>
      <c r="M118" s="914">
        <v>1</v>
      </c>
      <c r="N118" s="691">
        <v>1</v>
      </c>
      <c r="O118" s="619">
        <v>10</v>
      </c>
      <c r="P118" s="619">
        <f t="shared" ref="P118:R122" si="23">O118</f>
        <v>10</v>
      </c>
      <c r="Q118" s="619">
        <f t="shared" si="23"/>
        <v>10</v>
      </c>
      <c r="R118" s="619">
        <f t="shared" si="23"/>
        <v>10</v>
      </c>
      <c r="S118" s="619">
        <f>Q118</f>
        <v>10</v>
      </c>
      <c r="T118" s="619">
        <f>S118</f>
        <v>10</v>
      </c>
      <c r="U118" s="619" t="str">
        <f t="array" ref="U118">IFERROR(INDEX(Analytica!$F$59:$AY$138,MATCH($B118,Analytica!$B$59:$B$168,0),MATCH(U$15&amp;U$10,Analytica!$F$58:$AY$58&amp;Analytica!$F$51:'Analytica'!$AY$51,0)),"")</f>
        <v/>
      </c>
      <c r="V118" s="619" t="str">
        <f t="array" ref="V118">IFERROR(INDEX(Analytica!$F$59:$AY$138,MATCH($B118,Analytica!$B$59:$B$168,0),MATCH(V$15&amp;V$10,Analytica!$F$58:$AY$58&amp;Analytica!$F$51:'Analytica'!$AY$51,0)),"")</f>
        <v/>
      </c>
      <c r="W118" s="619" t="str">
        <f t="array" ref="W118">IFERROR(INDEX(Analytica!$F$59:$AY$138,MATCH($B118,Analytica!$B$59:$B$168,0),MATCH(W$15&amp;W$10,Analytica!$F$58:$AY$58&amp;Analytica!$F$51:'Analytica'!$AY$51,0)),"")</f>
        <v/>
      </c>
      <c r="X118" s="619" t="str">
        <f t="array" ref="X118">IFERROR(INDEX(Analytica!$F$59:$AY$138,MATCH($B118,Analytica!$B$59:$B$168,0),MATCH(X$15&amp;X$10,Analytica!$F$58:$AY$58&amp;Analytica!$F$51:'Analytica'!$AY$51,0)),"")</f>
        <v/>
      </c>
      <c r="Y118" s="689">
        <v>50</v>
      </c>
      <c r="Z118" s="689">
        <f>Y118</f>
        <v>50</v>
      </c>
      <c r="AA118" s="689">
        <v>2030</v>
      </c>
      <c r="AB118" s="687">
        <f t="shared" ca="1" si="17"/>
        <v>101</v>
      </c>
    </row>
    <row r="119" spans="1:29" x14ac:dyDescent="0.2">
      <c r="A119" s="190" t="str">
        <f>ITEMS_nTech!C110</f>
        <v>Transport Other -  Aviation Int Jet Fuel  Oil Jet Fuel-N</v>
      </c>
      <c r="B119" s="190" t="str">
        <f>D119&amp;RIGHT(C119,3)&amp;"-N"</f>
        <v>TAIJETOKE-N</v>
      </c>
      <c r="C119" s="611" t="str">
        <f>$I$6</f>
        <v>TRAOKE</v>
      </c>
      <c r="D119" s="611" t="str">
        <f>TRP!B47</f>
        <v>TAIJET</v>
      </c>
      <c r="E119" s="692">
        <v>1</v>
      </c>
      <c r="F119" s="692">
        <f t="shared" si="22"/>
        <v>1</v>
      </c>
      <c r="G119" s="692">
        <f t="shared" si="22"/>
        <v>1</v>
      </c>
      <c r="H119" s="692">
        <f t="shared" si="22"/>
        <v>1</v>
      </c>
      <c r="I119" s="914">
        <v>1</v>
      </c>
      <c r="J119" s="914">
        <v>1</v>
      </c>
      <c r="K119" s="914">
        <v>1</v>
      </c>
      <c r="L119" s="914">
        <v>1</v>
      </c>
      <c r="M119" s="914">
        <v>1</v>
      </c>
      <c r="N119" s="691">
        <v>1</v>
      </c>
      <c r="O119" s="619">
        <v>10</v>
      </c>
      <c r="P119" s="619">
        <f t="shared" si="23"/>
        <v>10</v>
      </c>
      <c r="Q119" s="619">
        <f t="shared" si="23"/>
        <v>10</v>
      </c>
      <c r="R119" s="619">
        <f t="shared" si="23"/>
        <v>10</v>
      </c>
      <c r="S119" s="619">
        <f>Q119</f>
        <v>10</v>
      </c>
      <c r="T119" s="619">
        <f>S119</f>
        <v>10</v>
      </c>
      <c r="U119" s="619" t="str">
        <f t="array" ref="U119">IFERROR(INDEX(Analytica!$F$59:$AY$138,MATCH($B119,Analytica!$B$59:$B$168,0),MATCH(U$15&amp;U$10,Analytica!$F$58:$AY$58&amp;Analytica!$F$51:'Analytica'!$AY$51,0)),"")</f>
        <v/>
      </c>
      <c r="V119" s="619" t="str">
        <f t="array" ref="V119">IFERROR(INDEX(Analytica!$F$59:$AY$138,MATCH($B119,Analytica!$B$59:$B$168,0),MATCH(V$15&amp;V$10,Analytica!$F$58:$AY$58&amp;Analytica!$F$51:'Analytica'!$AY$51,0)),"")</f>
        <v/>
      </c>
      <c r="W119" s="619" t="str">
        <f t="array" ref="W119">IFERROR(INDEX(Analytica!$F$59:$AY$138,MATCH($B119,Analytica!$B$59:$B$168,0),MATCH(W$15&amp;W$10,Analytica!$F$58:$AY$58&amp;Analytica!$F$51:'Analytica'!$AY$51,0)),"")</f>
        <v/>
      </c>
      <c r="X119" s="619" t="str">
        <f t="array" ref="X119">IFERROR(INDEX(Analytica!$F$59:$AY$138,MATCH($B119,Analytica!$B$59:$B$168,0),MATCH(X$15&amp;X$10,Analytica!$F$58:$AY$58&amp;Analytica!$F$51:'Analytica'!$AY$51,0)),"")</f>
        <v/>
      </c>
      <c r="Y119" s="689">
        <v>50</v>
      </c>
      <c r="Z119" s="689">
        <f>Y119</f>
        <v>50</v>
      </c>
      <c r="AA119" s="689">
        <f>base.year+1</f>
        <v>2013</v>
      </c>
      <c r="AB119" s="687">
        <f t="shared" ca="1" si="17"/>
        <v>102</v>
      </c>
    </row>
    <row r="120" spans="1:29" x14ac:dyDescent="0.2">
      <c r="A120" s="190" t="str">
        <f>ITEMS_nTech!C111</f>
        <v>Transport Other -  Aviation Dom Jet Fuel  Oil Jet Fuel-N</v>
      </c>
      <c r="B120" s="190" t="str">
        <f>D120&amp;RIGHT(C120,3)&amp;"-N"</f>
        <v>TADJETOKE-N</v>
      </c>
      <c r="C120" s="611" t="str">
        <f>$I$6</f>
        <v>TRAOKE</v>
      </c>
      <c r="D120" s="611" t="str">
        <f>TRP!B48</f>
        <v>TADJET</v>
      </c>
      <c r="E120" s="692">
        <v>1</v>
      </c>
      <c r="F120" s="692">
        <f t="shared" si="22"/>
        <v>1</v>
      </c>
      <c r="G120" s="692">
        <f t="shared" si="22"/>
        <v>1</v>
      </c>
      <c r="H120" s="692">
        <f t="shared" si="22"/>
        <v>1</v>
      </c>
      <c r="I120" s="914">
        <v>1</v>
      </c>
      <c r="J120" s="914">
        <v>1</v>
      </c>
      <c r="K120" s="914">
        <v>1</v>
      </c>
      <c r="L120" s="914">
        <v>1</v>
      </c>
      <c r="M120" s="914">
        <v>1</v>
      </c>
      <c r="N120" s="691">
        <v>1</v>
      </c>
      <c r="O120" s="619">
        <v>10</v>
      </c>
      <c r="P120" s="619">
        <f t="shared" si="23"/>
        <v>10</v>
      </c>
      <c r="Q120" s="619">
        <f t="shared" si="23"/>
        <v>10</v>
      </c>
      <c r="R120" s="619">
        <f t="shared" si="23"/>
        <v>10</v>
      </c>
      <c r="S120" s="619">
        <f>Q120</f>
        <v>10</v>
      </c>
      <c r="T120" s="619">
        <f>S120</f>
        <v>10</v>
      </c>
      <c r="U120" s="619" t="str">
        <f t="array" ref="U120">IFERROR(INDEX(Analytica!$F$59:$AY$138,MATCH($B120,Analytica!$B$59:$B$168,0),MATCH(U$15&amp;U$10,Analytica!$F$58:$AY$58&amp;Analytica!$F$51:'Analytica'!$AY$51,0)),"")</f>
        <v/>
      </c>
      <c r="V120" s="619" t="str">
        <f t="array" ref="V120">IFERROR(INDEX(Analytica!$F$59:$AY$138,MATCH($B120,Analytica!$B$59:$B$168,0),MATCH(V$15&amp;V$10,Analytica!$F$58:$AY$58&amp;Analytica!$F$51:'Analytica'!$AY$51,0)),"")</f>
        <v/>
      </c>
      <c r="W120" s="619" t="str">
        <f t="array" ref="W120">IFERROR(INDEX(Analytica!$F$59:$AY$138,MATCH($B120,Analytica!$B$59:$B$168,0),MATCH(W$15&amp;W$10,Analytica!$F$58:$AY$58&amp;Analytica!$F$51:'Analytica'!$AY$51,0)),"")</f>
        <v/>
      </c>
      <c r="X120" s="619" t="str">
        <f t="array" ref="X120">IFERROR(INDEX(Analytica!$F$59:$AY$138,MATCH($B120,Analytica!$B$59:$B$168,0),MATCH(X$15&amp;X$10,Analytica!$F$58:$AY$58&amp;Analytica!$F$51:'Analytica'!$AY$51,0)),"")</f>
        <v/>
      </c>
      <c r="Y120" s="689">
        <v>50</v>
      </c>
      <c r="Z120" s="689">
        <f>Y120</f>
        <v>50</v>
      </c>
      <c r="AA120" s="689">
        <f>base.year+1</f>
        <v>2013</v>
      </c>
      <c r="AB120" s="687">
        <f t="shared" ca="1" si="17"/>
        <v>103</v>
      </c>
    </row>
    <row r="121" spans="1:29" x14ac:dyDescent="0.2">
      <c r="A121" s="190" t="str">
        <f>ITEMS_nTech!C112</f>
        <v>Transport Other - Aviation Gasoline T-N</v>
      </c>
      <c r="B121" s="190" t="str">
        <f>D121&amp;RIGHT(C121,3)&amp;"-N"</f>
        <v>TAOAGOAG-N</v>
      </c>
      <c r="C121" s="611" t="str">
        <f>$C$6</f>
        <v>TRAOAG</v>
      </c>
      <c r="D121" s="611" t="str">
        <f>TRP!B49</f>
        <v>TAOAG</v>
      </c>
      <c r="E121" s="692">
        <v>1</v>
      </c>
      <c r="F121" s="692">
        <f t="shared" si="22"/>
        <v>1</v>
      </c>
      <c r="G121" s="692">
        <f t="shared" si="22"/>
        <v>1</v>
      </c>
      <c r="H121" s="692">
        <f t="shared" si="22"/>
        <v>1</v>
      </c>
      <c r="I121" s="914">
        <v>1</v>
      </c>
      <c r="J121" s="914">
        <v>1</v>
      </c>
      <c r="K121" s="914">
        <v>1</v>
      </c>
      <c r="L121" s="914">
        <v>1</v>
      </c>
      <c r="M121" s="914">
        <v>1</v>
      </c>
      <c r="N121" s="691">
        <v>1</v>
      </c>
      <c r="O121" s="619">
        <v>10</v>
      </c>
      <c r="P121" s="619">
        <f t="shared" si="23"/>
        <v>10</v>
      </c>
      <c r="Q121" s="619">
        <f t="shared" si="23"/>
        <v>10</v>
      </c>
      <c r="R121" s="619">
        <f t="shared" si="23"/>
        <v>10</v>
      </c>
      <c r="S121" s="619">
        <f>Q121</f>
        <v>10</v>
      </c>
      <c r="T121" s="619">
        <f>S121</f>
        <v>10</v>
      </c>
      <c r="U121" s="619" t="str">
        <f t="array" ref="U121">IFERROR(INDEX(Analytica!$F$59:$AY$138,MATCH($B121,Analytica!$B$59:$B$168,0),MATCH(U$15&amp;U$10,Analytica!$F$58:$AY$58&amp;Analytica!$F$51:'Analytica'!$AY$51,0)),"")</f>
        <v/>
      </c>
      <c r="V121" s="619" t="str">
        <f t="array" ref="V121">IFERROR(INDEX(Analytica!$F$59:$AY$138,MATCH($B121,Analytica!$B$59:$B$168,0),MATCH(V$15&amp;V$10,Analytica!$F$58:$AY$58&amp;Analytica!$F$51:'Analytica'!$AY$51,0)),"")</f>
        <v/>
      </c>
      <c r="W121" s="619" t="str">
        <f t="array" ref="W121">IFERROR(INDEX(Analytica!$F$59:$AY$138,MATCH($B121,Analytica!$B$59:$B$168,0),MATCH(W$15&amp;W$10,Analytica!$F$58:$AY$58&amp;Analytica!$F$51:'Analytica'!$AY$51,0)),"")</f>
        <v/>
      </c>
      <c r="X121" s="619" t="str">
        <f t="array" ref="X121">IFERROR(INDEX(Analytica!$F$59:$AY$138,MATCH($B121,Analytica!$B$59:$B$168,0),MATCH(X$15&amp;X$10,Analytica!$F$58:$AY$58&amp;Analytica!$F$51:'Analytica'!$AY$51,0)),"")</f>
        <v/>
      </c>
      <c r="Y121" s="689">
        <v>50</v>
      </c>
      <c r="Z121" s="689">
        <f>Y121</f>
        <v>50</v>
      </c>
      <c r="AA121" s="689">
        <f>base.year+1</f>
        <v>2013</v>
      </c>
      <c r="AB121" s="687">
        <f t="shared" ca="1" si="17"/>
        <v>104</v>
      </c>
    </row>
    <row r="122" spans="1:29" x14ac:dyDescent="0.2">
      <c r="A122" s="190" t="str">
        <f>ITEMS_nTech!C113</f>
        <v>Transport Other - HFO Oil HFO-N</v>
      </c>
      <c r="B122" s="190" t="str">
        <f>D122&amp;RIGHT(C122,3)&amp;"-N"</f>
        <v>TSHFOOHF-N</v>
      </c>
      <c r="C122" s="611" t="str">
        <f>$H$6</f>
        <v>TRAOHF</v>
      </c>
      <c r="D122" s="611" t="str">
        <f>TRP!B50</f>
        <v>TSHFO</v>
      </c>
      <c r="E122" s="692">
        <v>1</v>
      </c>
      <c r="F122" s="692">
        <f t="shared" si="22"/>
        <v>1</v>
      </c>
      <c r="G122" s="692">
        <f t="shared" si="22"/>
        <v>1</v>
      </c>
      <c r="H122" s="692">
        <f t="shared" si="22"/>
        <v>1</v>
      </c>
      <c r="I122" s="914">
        <v>1</v>
      </c>
      <c r="J122" s="914">
        <v>1</v>
      </c>
      <c r="K122" s="914">
        <v>1</v>
      </c>
      <c r="L122" s="914">
        <v>1</v>
      </c>
      <c r="M122" s="914">
        <v>1</v>
      </c>
      <c r="N122" s="691">
        <v>1</v>
      </c>
      <c r="O122" s="619">
        <v>10</v>
      </c>
      <c r="P122" s="619">
        <f t="shared" si="23"/>
        <v>10</v>
      </c>
      <c r="Q122" s="619">
        <f t="shared" si="23"/>
        <v>10</v>
      </c>
      <c r="R122" s="619">
        <f t="shared" si="23"/>
        <v>10</v>
      </c>
      <c r="S122" s="619">
        <f>Q122</f>
        <v>10</v>
      </c>
      <c r="T122" s="619">
        <f>S122</f>
        <v>10</v>
      </c>
      <c r="U122" s="619" t="str">
        <f t="array" ref="U122">IFERROR(INDEX(Analytica!$F$59:$AY$138,MATCH($B122,Analytica!$B$59:$B$168,0),MATCH(U$15&amp;U$10,Analytica!$F$58:$AY$58&amp;Analytica!$F$51:'Analytica'!$AY$51,0)),"")</f>
        <v/>
      </c>
      <c r="V122" s="619" t="str">
        <f t="array" ref="V122">IFERROR(INDEX(Analytica!$F$59:$AY$138,MATCH($B122,Analytica!$B$59:$B$168,0),MATCH(V$15&amp;V$10,Analytica!$F$58:$AY$58&amp;Analytica!$F$51:'Analytica'!$AY$51,0)),"")</f>
        <v/>
      </c>
      <c r="W122" s="619" t="str">
        <f t="array" ref="W122">IFERROR(INDEX(Analytica!$F$59:$AY$138,MATCH($B122,Analytica!$B$59:$B$168,0),MATCH(W$15&amp;W$10,Analytica!$F$58:$AY$58&amp;Analytica!$F$51:'Analytica'!$AY$51,0)),"")</f>
        <v/>
      </c>
      <c r="X122" s="619" t="str">
        <f t="array" ref="X122">IFERROR(INDEX(Analytica!$F$59:$AY$138,MATCH($B122,Analytica!$B$59:$B$168,0),MATCH(X$15&amp;X$10,Analytica!$F$58:$AY$58&amp;Analytica!$F$51:'Analytica'!$AY$51,0)),"")</f>
        <v/>
      </c>
      <c r="Y122" s="689">
        <v>50</v>
      </c>
      <c r="Z122" s="689">
        <f>Y122</f>
        <v>50</v>
      </c>
      <c r="AA122" s="689">
        <f>base.year+1</f>
        <v>2013</v>
      </c>
      <c r="AB122" s="687">
        <f t="shared" ca="1" si="17"/>
        <v>105</v>
      </c>
    </row>
    <row r="123" spans="1:29" x14ac:dyDescent="0.2">
      <c r="A123" s="617"/>
      <c r="B123" s="190"/>
      <c r="C123" s="611"/>
      <c r="D123" s="611"/>
      <c r="E123" s="619"/>
      <c r="F123" s="619"/>
      <c r="G123" s="619"/>
      <c r="H123" s="619"/>
      <c r="I123" s="619"/>
      <c r="J123" s="619"/>
      <c r="K123" s="619"/>
      <c r="L123" s="619"/>
      <c r="M123" s="619"/>
      <c r="N123" s="689"/>
      <c r="O123" s="690"/>
      <c r="P123" s="690"/>
      <c r="Q123" s="690"/>
      <c r="R123" s="690"/>
      <c r="S123" s="690"/>
      <c r="T123" s="690"/>
      <c r="U123" s="690"/>
      <c r="V123" s="690"/>
      <c r="W123" s="690"/>
      <c r="X123" s="690"/>
      <c r="Y123" s="689"/>
      <c r="Z123" s="689"/>
      <c r="AA123" s="689">
        <f>base.year+1</f>
        <v>2013</v>
      </c>
      <c r="AB123" s="687">
        <f t="shared" ca="1" si="17"/>
        <v>106</v>
      </c>
    </row>
    <row r="124" spans="1:29" x14ac:dyDescent="0.2">
      <c r="N124" s="1"/>
      <c r="O124" s="1"/>
      <c r="AB124" s="687">
        <f t="shared" ca="1" si="17"/>
        <v>107</v>
      </c>
    </row>
    <row r="125" spans="1:29" x14ac:dyDescent="0.2">
      <c r="N125" s="1"/>
      <c r="O125" s="1"/>
      <c r="AC125" s="634"/>
    </row>
  </sheetData>
  <mergeCells count="1">
    <mergeCell ref="B1:D1"/>
  </mergeCells>
  <conditionalFormatting sqref="AA18:AA107 AA109 AA111 AA113:AA115 AA118:AA123">
    <cfRule type="cellIs" dxfId="1" priority="1" operator="notEqual">
      <formula>$AA$13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workbookViewId="0"/>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IF(LEFT(NT_TRP!A18,2)="\I","*","")</f>
        <v/>
      </c>
      <c r="B9" s="681" t="str">
        <f>IF(A9="*","",NT_TRP!B18)</f>
        <v>TPPRSUVODS-N</v>
      </c>
      <c r="C9" s="681" t="s">
        <v>1170</v>
      </c>
      <c r="D9" s="683"/>
      <c r="E9" s="683"/>
      <c r="F9" s="681" t="s">
        <v>1122</v>
      </c>
      <c r="G9" s="681" t="s">
        <v>1121</v>
      </c>
      <c r="H9" s="681" t="s">
        <v>1138</v>
      </c>
    </row>
    <row r="10" spans="1:8" x14ac:dyDescent="0.2">
      <c r="A10" s="681" t="str">
        <f>IF(LEFT(NT_TRP!A19,2)="\I","*","")</f>
        <v/>
      </c>
      <c r="B10" s="681" t="str">
        <f>IF(A10="*","",NT_TRP!B19)</f>
        <v>TPPRSUVOGS-N</v>
      </c>
      <c r="C10" s="681" t="s">
        <v>1171</v>
      </c>
      <c r="D10" s="683"/>
      <c r="E10" s="683"/>
      <c r="F10" s="681" t="s">
        <v>1122</v>
      </c>
      <c r="G10" s="681" t="s">
        <v>1121</v>
      </c>
      <c r="H10" s="681" t="s">
        <v>1138</v>
      </c>
    </row>
    <row r="11" spans="1:8" x14ac:dyDescent="0.2">
      <c r="A11" s="681" t="str">
        <f>IF(LEFT(NT_TRP!A20,2)="\I","*","")</f>
        <v/>
      </c>
      <c r="B11" s="681" t="str">
        <f>IF(A11="*","",NT_TRP!B20)</f>
        <v>TPPRSUVODSH-N</v>
      </c>
      <c r="C11" s="681" t="s">
        <v>1172</v>
      </c>
      <c r="D11" s="683"/>
      <c r="E11" s="683"/>
      <c r="F11" s="681" t="s">
        <v>1122</v>
      </c>
      <c r="G11" s="681" t="s">
        <v>1121</v>
      </c>
      <c r="H11" s="681" t="s">
        <v>1138</v>
      </c>
    </row>
    <row r="12" spans="1:8" x14ac:dyDescent="0.2">
      <c r="A12" s="681" t="str">
        <f>IF(LEFT(NT_TRP!A21,2)="\I","*","")</f>
        <v/>
      </c>
      <c r="B12" s="681" t="str">
        <f>IF(A12="*","",NT_TRP!B21)</f>
        <v>TPPRSUVOGSH-N</v>
      </c>
      <c r="C12" s="681" t="s">
        <v>1173</v>
      </c>
      <c r="D12" s="683"/>
      <c r="E12" s="683"/>
      <c r="F12" s="681" t="s">
        <v>1122</v>
      </c>
      <c r="G12" s="681" t="s">
        <v>1121</v>
      </c>
      <c r="H12" s="681" t="s">
        <v>1138</v>
      </c>
    </row>
    <row r="13" spans="1:8" x14ac:dyDescent="0.2">
      <c r="A13" s="681" t="str">
        <f>IF(LEFT(NT_TRP!A22,2)="\I","*","")</f>
        <v/>
      </c>
      <c r="B13" s="681" t="str">
        <f>IF(A13="*","",NT_TRP!B22)</f>
        <v>TPPRSUVGAS-N</v>
      </c>
      <c r="C13" s="681" t="s">
        <v>1174</v>
      </c>
      <c r="D13" s="683"/>
      <c r="E13" s="683"/>
      <c r="F13" s="681" t="s">
        <v>1122</v>
      </c>
      <c r="G13" s="681" t="s">
        <v>1121</v>
      </c>
      <c r="H13" s="681" t="s">
        <v>1138</v>
      </c>
    </row>
    <row r="14" spans="1:8" x14ac:dyDescent="0.2">
      <c r="A14" s="681" t="str">
        <f>IF(LEFT(NT_TRP!A23,2)="\I","*","")</f>
        <v/>
      </c>
      <c r="B14" s="681" t="str">
        <f>IF(A14="*","",NT_TRP!B23)</f>
        <v>TPPRSUVHGNF-N</v>
      </c>
      <c r="C14" s="681" t="s">
        <v>1175</v>
      </c>
      <c r="D14" s="683"/>
      <c r="E14" s="683"/>
      <c r="F14" s="681" t="s">
        <v>1122</v>
      </c>
      <c r="G14" s="681" t="s">
        <v>1121</v>
      </c>
      <c r="H14" s="681" t="s">
        <v>1138</v>
      </c>
    </row>
    <row r="15" spans="1:8" x14ac:dyDescent="0.2">
      <c r="A15" s="681" t="str">
        <f>IF(LEFT(NT_TRP!A24,2)="\I","*","")</f>
        <v/>
      </c>
      <c r="B15" s="681" t="str">
        <f>IF(A15="*","",NT_TRP!B24)</f>
        <v>TPPRSUVBGS-N</v>
      </c>
      <c r="C15" s="681" t="s">
        <v>1176</v>
      </c>
      <c r="D15" s="683"/>
      <c r="E15" s="683"/>
      <c r="F15" s="681" t="s">
        <v>1122</v>
      </c>
      <c r="G15" s="681" t="s">
        <v>1121</v>
      </c>
      <c r="H15" s="681" t="s">
        <v>1138</v>
      </c>
    </row>
    <row r="16" spans="1:8" x14ac:dyDescent="0.2">
      <c r="A16" s="681" t="str">
        <f>IF(LEFT(NT_TRP!A25,2)="\I","*","")</f>
        <v/>
      </c>
      <c r="B16" s="681" t="str">
        <f>IF(A16="*","",NT_TRP!B25)</f>
        <v>TPPRSUVELC-N</v>
      </c>
      <c r="C16" s="681" t="s">
        <v>1177</v>
      </c>
      <c r="D16" s="683"/>
      <c r="E16" s="683"/>
      <c r="F16" s="681" t="s">
        <v>1122</v>
      </c>
      <c r="G16" s="681" t="s">
        <v>1121</v>
      </c>
      <c r="H16" s="681" t="s">
        <v>1138</v>
      </c>
    </row>
    <row r="17" spans="1:8" x14ac:dyDescent="0.2">
      <c r="A17" s="681" t="str">
        <f>IF(LEFT(NT_TRP!A26,2)="\I","*","")</f>
        <v/>
      </c>
      <c r="C17" s="681" t="s">
        <v>815</v>
      </c>
      <c r="D17" s="683"/>
      <c r="E17" s="683"/>
    </row>
    <row r="18" spans="1:8" x14ac:dyDescent="0.2">
      <c r="A18" s="681" t="str">
        <f>IF(LEFT(NT_TRP!A27,2)="\I","*","")</f>
        <v/>
      </c>
      <c r="B18" s="681" t="str">
        <f>IF(A18="*","",NT_TRP!B27)</f>
        <v>TPPRCARODS-N</v>
      </c>
      <c r="C18" s="681" t="s">
        <v>1178</v>
      </c>
      <c r="D18" s="683"/>
      <c r="E18" s="683"/>
      <c r="F18" s="681" t="s">
        <v>1122</v>
      </c>
      <c r="G18" s="681" t="s">
        <v>1121</v>
      </c>
      <c r="H18" s="681" t="s">
        <v>1138</v>
      </c>
    </row>
    <row r="19" spans="1:8" x14ac:dyDescent="0.2">
      <c r="A19" s="681" t="str">
        <f>IF(LEFT(NT_TRP!A28,2)="\I","*","")</f>
        <v/>
      </c>
      <c r="B19" s="681" t="str">
        <f>IF(A19="*","",NT_TRP!B28)</f>
        <v>TPPRCAROGS-N</v>
      </c>
      <c r="C19" s="681" t="s">
        <v>1179</v>
      </c>
      <c r="D19" s="683"/>
      <c r="E19" s="683"/>
      <c r="F19" s="681" t="s">
        <v>1122</v>
      </c>
      <c r="G19" s="681" t="s">
        <v>1121</v>
      </c>
      <c r="H19" s="681" t="s">
        <v>1138</v>
      </c>
    </row>
    <row r="20" spans="1:8" x14ac:dyDescent="0.2">
      <c r="A20" s="681" t="str">
        <f>IF(LEFT(NT_TRP!A29,2)="\I","*","")</f>
        <v/>
      </c>
      <c r="B20" s="681" t="str">
        <f>IF(A20="*","",NT_TRP!B29)</f>
        <v>TPPRCARODSH-N</v>
      </c>
      <c r="C20" s="681" t="s">
        <v>1180</v>
      </c>
      <c r="D20" s="683"/>
      <c r="E20" s="683"/>
      <c r="F20" s="681" t="s">
        <v>1122</v>
      </c>
      <c r="G20" s="681" t="s">
        <v>1121</v>
      </c>
      <c r="H20" s="681" t="s">
        <v>1138</v>
      </c>
    </row>
    <row r="21" spans="1:8" x14ac:dyDescent="0.2">
      <c r="A21" s="681" t="str">
        <f>IF(LEFT(NT_TRP!A30,2)="\I","*","")</f>
        <v/>
      </c>
      <c r="B21" s="681" t="str">
        <f>IF(A21="*","",NT_TRP!B30)</f>
        <v>TPPRCAROGSH-N</v>
      </c>
      <c r="C21" s="681" t="s">
        <v>1181</v>
      </c>
      <c r="D21" s="683"/>
      <c r="E21" s="683"/>
      <c r="F21" s="681" t="s">
        <v>1122</v>
      </c>
      <c r="G21" s="681" t="s">
        <v>1121</v>
      </c>
      <c r="H21" s="681" t="s">
        <v>1138</v>
      </c>
    </row>
    <row r="22" spans="1:8" x14ac:dyDescent="0.2">
      <c r="A22" s="681" t="str">
        <f>IF(LEFT(NT_TRP!A31,2)="\I","*","")</f>
        <v/>
      </c>
      <c r="B22" s="681" t="str">
        <f>IF(A22="*","",NT_TRP!B31)</f>
        <v>TPPRCARELC-N</v>
      </c>
      <c r="C22" s="681" t="s">
        <v>1182</v>
      </c>
      <c r="D22" s="683"/>
      <c r="E22" s="683"/>
      <c r="F22" s="681" t="s">
        <v>1122</v>
      </c>
      <c r="G22" s="681" t="s">
        <v>1121</v>
      </c>
      <c r="H22" s="681" t="s">
        <v>1138</v>
      </c>
    </row>
    <row r="23" spans="1:8" x14ac:dyDescent="0.2">
      <c r="A23" s="681" t="str">
        <f>IF(LEFT(NT_TRP!A32,2)="\I","*","")</f>
        <v/>
      </c>
      <c r="B23" s="681" t="str">
        <f>IF(A23="*","",NT_TRP!B32)</f>
        <v>TPPRCARGAS-N</v>
      </c>
      <c r="C23" s="681" t="s">
        <v>1183</v>
      </c>
      <c r="D23" s="683"/>
      <c r="E23" s="683"/>
      <c r="F23" s="681" t="s">
        <v>1122</v>
      </c>
      <c r="G23" s="681" t="s">
        <v>1121</v>
      </c>
      <c r="H23" s="681" t="s">
        <v>1138</v>
      </c>
    </row>
    <row r="24" spans="1:8" x14ac:dyDescent="0.2">
      <c r="A24" s="681" t="str">
        <f>IF(LEFT(NT_TRP!A33,2)="\I","*","")</f>
        <v/>
      </c>
      <c r="B24" s="681" t="str">
        <f>IF(A24="*","",NT_TRP!B33)</f>
        <v>TPPRCARHGNF-N</v>
      </c>
      <c r="C24" s="681" t="s">
        <v>1184</v>
      </c>
      <c r="D24" s="683"/>
      <c r="E24" s="683"/>
      <c r="F24" s="681" t="s">
        <v>1122</v>
      </c>
      <c r="G24" s="681" t="s">
        <v>1121</v>
      </c>
      <c r="H24" s="681" t="s">
        <v>1138</v>
      </c>
    </row>
    <row r="25" spans="1:8" x14ac:dyDescent="0.2">
      <c r="A25" s="681" t="str">
        <f>IF(LEFT(NT_TRP!A34,2)="\I","*","")</f>
        <v/>
      </c>
      <c r="B25" s="681" t="str">
        <f>IF(A25="*","",NT_TRP!B34)</f>
        <v>TPPRCARBGS-N</v>
      </c>
      <c r="C25" s="681" t="s">
        <v>1185</v>
      </c>
      <c r="D25" s="683"/>
      <c r="E25" s="683"/>
      <c r="F25" s="681" t="s">
        <v>1122</v>
      </c>
      <c r="G25" s="681" t="s">
        <v>1121</v>
      </c>
      <c r="H25" s="681" t="s">
        <v>1138</v>
      </c>
    </row>
    <row r="26" spans="1:8" x14ac:dyDescent="0.2">
      <c r="A26" s="681" t="str">
        <f>IF(LEFT(NT_TRP!A35,2)="\I","*","")</f>
        <v/>
      </c>
      <c r="C26" s="681" t="s">
        <v>815</v>
      </c>
      <c r="D26" s="683"/>
      <c r="E26" s="683"/>
    </row>
    <row r="27" spans="1:8" x14ac:dyDescent="0.2">
      <c r="A27" s="681" t="str">
        <f>IF(LEFT(NT_TRP!A36,2)="\I","*","")</f>
        <v/>
      </c>
      <c r="B27" s="681" t="str">
        <f>IF(A27="*","",NT_TRP!B36)</f>
        <v>TPPRMOTOGS-N</v>
      </c>
      <c r="C27" s="681" t="s">
        <v>1186</v>
      </c>
      <c r="D27" s="683"/>
      <c r="E27" s="683"/>
      <c r="F27" s="681" t="s">
        <v>1122</v>
      </c>
      <c r="G27" s="681" t="s">
        <v>1121</v>
      </c>
      <c r="H27" s="681" t="s">
        <v>1138</v>
      </c>
    </row>
    <row r="28" spans="1:8" x14ac:dyDescent="0.2">
      <c r="A28" s="681" t="str">
        <f>IF(LEFT(NT_TRP!A37,2)="\I","*","")</f>
        <v/>
      </c>
      <c r="B28" s="681" t="str">
        <f>IF(A28="*","",NT_TRP!B37)</f>
        <v>TPPRMOTELC-N</v>
      </c>
      <c r="C28" s="681" t="s">
        <v>1187</v>
      </c>
      <c r="D28" s="683"/>
      <c r="E28" s="683"/>
      <c r="F28" s="681" t="s">
        <v>1122</v>
      </c>
      <c r="G28" s="681" t="s">
        <v>1121</v>
      </c>
      <c r="H28" s="681" t="s">
        <v>1138</v>
      </c>
    </row>
    <row r="29" spans="1:8" x14ac:dyDescent="0.2">
      <c r="A29" s="681" t="str">
        <f>IF(LEFT(NT_TRP!A38,2)="\I","*","")</f>
        <v/>
      </c>
      <c r="C29" s="681" t="s">
        <v>815</v>
      </c>
      <c r="D29" s="683"/>
      <c r="E29" s="683"/>
      <c r="F29" s="681" t="s">
        <v>1122</v>
      </c>
      <c r="G29" s="681" t="s">
        <v>1121</v>
      </c>
      <c r="H29" s="681" t="s">
        <v>1138</v>
      </c>
    </row>
    <row r="30" spans="1:8" x14ac:dyDescent="0.2">
      <c r="A30" s="681" t="str">
        <f>IF(LEFT(NT_TRP!A39,2)="\I","*","")</f>
        <v/>
      </c>
      <c r="B30" s="681" t="str">
        <f>IF(A30="*","",NT_TRP!B39)</f>
        <v>TPPUBUSODS-N</v>
      </c>
      <c r="C30" s="681" t="s">
        <v>1188</v>
      </c>
      <c r="D30" s="683"/>
      <c r="E30" s="683"/>
      <c r="F30" s="681" t="s">
        <v>1122</v>
      </c>
      <c r="G30" s="681" t="s">
        <v>1121</v>
      </c>
      <c r="H30" s="681" t="s">
        <v>1138</v>
      </c>
    </row>
    <row r="31" spans="1:8" x14ac:dyDescent="0.2">
      <c r="A31" s="681" t="str">
        <f>IF(LEFT(NT_TRP!A40,2)="\I","*","")</f>
        <v/>
      </c>
      <c r="B31" s="681" t="str">
        <f>IF(A31="*","",NT_TRP!B40)</f>
        <v>TPPUBUSGAS-N</v>
      </c>
      <c r="C31" s="681" t="s">
        <v>1189</v>
      </c>
      <c r="D31" s="683"/>
      <c r="E31" s="683"/>
      <c r="F31" s="681" t="s">
        <v>1122</v>
      </c>
      <c r="G31" s="681" t="s">
        <v>1121</v>
      </c>
      <c r="H31" s="681" t="s">
        <v>1138</v>
      </c>
    </row>
    <row r="32" spans="1:8" x14ac:dyDescent="0.2">
      <c r="A32" s="681" t="str">
        <f>IF(LEFT(NT_TRP!A41,2)="\I","*","")</f>
        <v/>
      </c>
      <c r="B32" s="681" t="str">
        <f>IF(A32="*","",NT_TRP!B41)</f>
        <v>TPPUBUSHGNF-N</v>
      </c>
      <c r="C32" s="681" t="s">
        <v>1190</v>
      </c>
      <c r="D32" s="683"/>
      <c r="E32" s="683"/>
      <c r="F32" s="681" t="s">
        <v>1122</v>
      </c>
      <c r="G32" s="681" t="s">
        <v>1121</v>
      </c>
      <c r="H32" s="681" t="s">
        <v>1138</v>
      </c>
    </row>
    <row r="33" spans="1:8" x14ac:dyDescent="0.2">
      <c r="A33" s="681" t="str">
        <f>IF(LEFT(NT_TRP!A42,2)="\I","*","")</f>
        <v/>
      </c>
      <c r="B33" s="681" t="str">
        <f>IF(A33="*","",NT_TRP!B42)</f>
        <v>TPPUBUSBGS-N</v>
      </c>
      <c r="C33" s="681" t="s">
        <v>1191</v>
      </c>
      <c r="D33" s="683"/>
      <c r="E33" s="683"/>
      <c r="F33" s="681" t="s">
        <v>1122</v>
      </c>
      <c r="G33" s="681" t="s">
        <v>1121</v>
      </c>
      <c r="H33" s="681" t="s">
        <v>1138</v>
      </c>
    </row>
    <row r="34" spans="1:8" x14ac:dyDescent="0.2">
      <c r="A34" s="681" t="str">
        <f>IF(LEFT(NT_TRP!A43,2)="\I","*","")</f>
        <v/>
      </c>
      <c r="B34" s="681" t="str">
        <f>IF(A34="*","",NT_TRP!B43)</f>
        <v>TPPUBUSELC-N</v>
      </c>
      <c r="C34" s="681" t="s">
        <v>1192</v>
      </c>
      <c r="D34" s="683"/>
      <c r="E34" s="683"/>
      <c r="F34" s="681" t="s">
        <v>1122</v>
      </c>
      <c r="G34" s="681" t="s">
        <v>1121</v>
      </c>
      <c r="H34" s="681" t="s">
        <v>1138</v>
      </c>
    </row>
    <row r="35" spans="1:8" x14ac:dyDescent="0.2">
      <c r="A35" s="681" t="str">
        <f>IF(LEFT(NT_TRP!A44,2)="\I","*","")</f>
        <v/>
      </c>
      <c r="C35" s="681" t="s">
        <v>815</v>
      </c>
      <c r="D35" s="683"/>
      <c r="E35" s="683"/>
    </row>
    <row r="36" spans="1:8" x14ac:dyDescent="0.2">
      <c r="A36" s="681" t="str">
        <f>IF(LEFT(NT_TRP!A45,2)="\I","*","")</f>
        <v/>
      </c>
      <c r="B36" s="681" t="str">
        <f>IF(A36="*","",NT_TRP!B45)</f>
        <v>TPPUMBTODS-N</v>
      </c>
      <c r="C36" s="681" t="s">
        <v>1193</v>
      </c>
      <c r="D36" s="683"/>
      <c r="E36" s="683"/>
      <c r="F36" s="681" t="s">
        <v>1122</v>
      </c>
      <c r="G36" s="681" t="s">
        <v>1121</v>
      </c>
      <c r="H36" s="681" t="s">
        <v>1138</v>
      </c>
    </row>
    <row r="37" spans="1:8" x14ac:dyDescent="0.2">
      <c r="A37" s="681" t="str">
        <f>IF(LEFT(NT_TRP!A46,2)="\I","*","")</f>
        <v/>
      </c>
      <c r="B37" s="681" t="str">
        <f>IF(A37="*","",NT_TRP!B46)</f>
        <v>TPPUMBTOGS-N</v>
      </c>
      <c r="C37" s="681" t="s">
        <v>1194</v>
      </c>
      <c r="D37" s="683"/>
      <c r="E37" s="683"/>
      <c r="F37" s="681" t="s">
        <v>1122</v>
      </c>
      <c r="G37" s="681" t="s">
        <v>1121</v>
      </c>
      <c r="H37" s="681" t="s">
        <v>1138</v>
      </c>
    </row>
    <row r="38" spans="1:8" x14ac:dyDescent="0.2">
      <c r="A38" s="681" t="str">
        <f>IF(LEFT(NT_TRP!A47,2)="\I","*","")</f>
        <v/>
      </c>
      <c r="B38" s="681" t="str">
        <f>IF(A38="*","",NT_TRP!B47)</f>
        <v>TPPUMBTODSH-N</v>
      </c>
      <c r="C38" s="681" t="s">
        <v>1195</v>
      </c>
      <c r="D38" s="683"/>
      <c r="E38" s="683"/>
      <c r="F38" s="681" t="s">
        <v>1122</v>
      </c>
      <c r="G38" s="681" t="s">
        <v>1121</v>
      </c>
      <c r="H38" s="681" t="s">
        <v>1138</v>
      </c>
    </row>
    <row r="39" spans="1:8" x14ac:dyDescent="0.2">
      <c r="A39" s="681" t="str">
        <f>IF(LEFT(NT_TRP!A48,2)="\I","*","")</f>
        <v/>
      </c>
      <c r="B39" s="681" t="str">
        <f>IF(A39="*","",NT_TRP!B48)</f>
        <v>TPPUMBTGAS-N</v>
      </c>
      <c r="C39" s="681" t="s">
        <v>1196</v>
      </c>
      <c r="D39" s="683"/>
      <c r="E39" s="683"/>
      <c r="F39" s="681" t="s">
        <v>1122</v>
      </c>
      <c r="G39" s="681" t="s">
        <v>1121</v>
      </c>
      <c r="H39" s="681" t="s">
        <v>1138</v>
      </c>
    </row>
    <row r="40" spans="1:8" x14ac:dyDescent="0.2">
      <c r="A40" s="681" t="str">
        <f>IF(LEFT(NT_TRP!A49,2)="\I","*","")</f>
        <v/>
      </c>
      <c r="B40" s="681" t="str">
        <f>IF(A40="*","",NT_TRP!B49)</f>
        <v>TPPUMBTHGNF-N</v>
      </c>
      <c r="C40" s="681" t="s">
        <v>1197</v>
      </c>
      <c r="D40" s="683"/>
      <c r="E40" s="683"/>
      <c r="F40" s="681" t="s">
        <v>1122</v>
      </c>
      <c r="G40" s="681" t="s">
        <v>1121</v>
      </c>
      <c r="H40" s="681" t="s">
        <v>1138</v>
      </c>
    </row>
    <row r="41" spans="1:8" x14ac:dyDescent="0.2">
      <c r="A41" s="681" t="str">
        <f>IF(LEFT(NT_TRP!A50,2)="\I","*","")</f>
        <v/>
      </c>
      <c r="B41" s="681" t="str">
        <f>IF(A41="*","",NT_TRP!B50)</f>
        <v>TPPUMBTBGS-N</v>
      </c>
      <c r="C41" s="681" t="s">
        <v>1198</v>
      </c>
      <c r="D41" s="683"/>
      <c r="E41" s="683"/>
      <c r="F41" s="681" t="s">
        <v>1122</v>
      </c>
      <c r="G41" s="681" t="s">
        <v>1121</v>
      </c>
      <c r="H41" s="681" t="s">
        <v>1138</v>
      </c>
    </row>
    <row r="42" spans="1:8" x14ac:dyDescent="0.2">
      <c r="A42" s="681" t="str">
        <f>IF(LEFT(NT_TRP!A51,2)="\I","*","")</f>
        <v/>
      </c>
      <c r="B42" s="681" t="str">
        <f>IF(A42="*","",NT_TRP!B51)</f>
        <v>TPPUMBTELC-N</v>
      </c>
      <c r="C42" s="681" t="s">
        <v>1199</v>
      </c>
      <c r="D42" s="683"/>
      <c r="E42" s="683"/>
      <c r="F42" s="681" t="s">
        <v>1122</v>
      </c>
      <c r="G42" s="681" t="s">
        <v>1121</v>
      </c>
      <c r="H42" s="681" t="s">
        <v>1138</v>
      </c>
    </row>
    <row r="43" spans="1:8" x14ac:dyDescent="0.2">
      <c r="A43" s="681" t="str">
        <f>IF(LEFT(NT_TRP!A52,2)="\I","*","")</f>
        <v/>
      </c>
      <c r="C43" s="681" t="s">
        <v>815</v>
      </c>
      <c r="D43" s="683"/>
      <c r="E43" s="683"/>
    </row>
    <row r="44" spans="1:8" x14ac:dyDescent="0.2">
      <c r="A44" s="681" t="str">
        <f>IF(LEFT(NT_TRP!A53,2)="\I","*","")</f>
        <v/>
      </c>
      <c r="B44" s="681" t="str">
        <f>IF(A44="*","",NT_TRP!B53)</f>
        <v>TPPUBRTODS-N</v>
      </c>
      <c r="C44" s="681" t="s">
        <v>1200</v>
      </c>
      <c r="D44" s="683"/>
      <c r="E44" s="683"/>
      <c r="F44" s="681" t="s">
        <v>1122</v>
      </c>
      <c r="G44" s="681" t="s">
        <v>1121</v>
      </c>
      <c r="H44" s="681" t="s">
        <v>1138</v>
      </c>
    </row>
    <row r="45" spans="1:8" x14ac:dyDescent="0.2">
      <c r="A45" s="681" t="str">
        <f>IF(LEFT(NT_TRP!A54,2)="\I","*","")</f>
        <v/>
      </c>
      <c r="B45" s="681" t="str">
        <f>IF(A45="*","",NT_TRP!B54)</f>
        <v>TPPUBRTGAS-N</v>
      </c>
      <c r="C45" s="681" t="s">
        <v>1201</v>
      </c>
      <c r="D45" s="683"/>
      <c r="E45" s="683"/>
      <c r="F45" s="681" t="s">
        <v>1122</v>
      </c>
      <c r="G45" s="681" t="s">
        <v>1121</v>
      </c>
      <c r="H45" s="681" t="s">
        <v>1138</v>
      </c>
    </row>
    <row r="46" spans="1:8" x14ac:dyDescent="0.2">
      <c r="A46" s="681" t="str">
        <f>IF(LEFT(NT_TRP!A55,2)="\I","*","")</f>
        <v/>
      </c>
      <c r="B46" s="681" t="str">
        <f>IF(A46="*","",NT_TRP!B55)</f>
        <v>TPPUBRTELC-N</v>
      </c>
      <c r="C46" s="681" t="s">
        <v>1202</v>
      </c>
      <c r="D46" s="683"/>
      <c r="E46" s="683"/>
      <c r="F46" s="681" t="s">
        <v>1122</v>
      </c>
      <c r="G46" s="681" t="s">
        <v>1121</v>
      </c>
      <c r="H46" s="681" t="s">
        <v>1138</v>
      </c>
    </row>
    <row r="47" spans="1:8" x14ac:dyDescent="0.2">
      <c r="A47" s="681" t="str">
        <f>IF(LEFT(NT_TRP!A56,2)="\I","*","")</f>
        <v/>
      </c>
      <c r="B47" s="681" t="str">
        <f>IF(A47="*","",NT_TRP!B56)</f>
        <v>TPPUBRTHGNF-N</v>
      </c>
      <c r="C47" s="681" t="s">
        <v>1203</v>
      </c>
      <c r="D47" s="683"/>
      <c r="E47" s="683"/>
      <c r="F47" s="681" t="s">
        <v>1122</v>
      </c>
      <c r="G47" s="681" t="s">
        <v>1121</v>
      </c>
      <c r="H47" s="681" t="s">
        <v>1138</v>
      </c>
    </row>
    <row r="48" spans="1:8" x14ac:dyDescent="0.2">
      <c r="A48" s="681" t="str">
        <f>IF(LEFT(NT_TRP!A57,2)="\I","*","")</f>
        <v/>
      </c>
      <c r="B48" s="681" t="str">
        <f>IF(A48="*","",NT_TRP!B57)</f>
        <v>TPPUBRTBGS-N</v>
      </c>
      <c r="C48" s="681" t="s">
        <v>1204</v>
      </c>
      <c r="D48" s="683"/>
      <c r="E48" s="683"/>
      <c r="F48" s="681" t="s">
        <v>1122</v>
      </c>
      <c r="G48" s="681" t="s">
        <v>1121</v>
      </c>
      <c r="H48" s="681" t="s">
        <v>1138</v>
      </c>
    </row>
    <row r="49" spans="1:8" x14ac:dyDescent="0.2">
      <c r="A49" s="681" t="str">
        <f>IF(LEFT(NT_TRP!A58,2)="\I","*","")</f>
        <v/>
      </c>
      <c r="C49" s="681" t="s">
        <v>815</v>
      </c>
      <c r="D49" s="683"/>
      <c r="E49" s="683"/>
    </row>
    <row r="50" spans="1:8" x14ac:dyDescent="0.2">
      <c r="A50" s="681" t="str">
        <f>IF(LEFT(NT_TRP!A59,2)="\I","*","")</f>
        <v/>
      </c>
      <c r="B50" s="681" t="str">
        <f>IF(A50="*","",NT_TRP!B59)</f>
        <v>TPPUMERELC-N</v>
      </c>
      <c r="C50" s="681" t="s">
        <v>1205</v>
      </c>
      <c r="D50" s="683" t="s">
        <v>1149</v>
      </c>
      <c r="E50" s="683" t="s">
        <v>1150</v>
      </c>
      <c r="F50" s="681" t="s">
        <v>1122</v>
      </c>
      <c r="G50" s="681" t="s">
        <v>1121</v>
      </c>
    </row>
    <row r="51" spans="1:8" x14ac:dyDescent="0.2">
      <c r="A51" s="681" t="str">
        <f>IF(LEFT(NT_TRP!A60,2)="\I","*","")</f>
        <v/>
      </c>
      <c r="C51" s="681" t="s">
        <v>815</v>
      </c>
      <c r="D51" s="683"/>
      <c r="E51" s="683"/>
    </row>
    <row r="52" spans="1:8" x14ac:dyDescent="0.2">
      <c r="A52" s="681" t="str">
        <f>IF(LEFT(NT_TRP!A61,2)="\I","*","")</f>
        <v/>
      </c>
      <c r="B52" s="681" t="str">
        <f>IF(A52="*","",NT_TRP!B61)</f>
        <v>TPPUGATELC-N</v>
      </c>
      <c r="C52" s="681" t="s">
        <v>1206</v>
      </c>
      <c r="D52" s="683" t="s">
        <v>1149</v>
      </c>
      <c r="E52" s="683" t="s">
        <v>1150</v>
      </c>
      <c r="F52" s="681" t="s">
        <v>1122</v>
      </c>
      <c r="G52" s="681" t="s">
        <v>1121</v>
      </c>
    </row>
    <row r="53" spans="1:8" x14ac:dyDescent="0.2">
      <c r="A53" s="681" t="str">
        <f>IF(LEFT(NT_TRP!A62,2)="\I","*","")</f>
        <v/>
      </c>
      <c r="C53" s="681" t="s">
        <v>815</v>
      </c>
      <c r="D53" s="683"/>
      <c r="E53" s="683"/>
    </row>
    <row r="54" spans="1:8" x14ac:dyDescent="0.2">
      <c r="A54" s="681" t="str">
        <f>IF(LEFT(NT_TRP!A63,2)="\I","*","")</f>
        <v/>
      </c>
      <c r="C54" s="681" t="s">
        <v>815</v>
      </c>
      <c r="D54" s="683"/>
      <c r="E54" s="683"/>
    </row>
    <row r="55" spans="1:8" x14ac:dyDescent="0.2">
      <c r="A55" s="681" t="str">
        <f>IF(LEFT(NT_TRP!A64,2)="\I","*","")</f>
        <v/>
      </c>
      <c r="C55" s="681" t="s">
        <v>815</v>
      </c>
      <c r="D55" s="683"/>
      <c r="E55" s="683"/>
    </row>
    <row r="56" spans="1:8" x14ac:dyDescent="0.2">
      <c r="A56" s="681" t="str">
        <f>IF(LEFT(NT_TRP!A65,2)="\I","*","")</f>
        <v/>
      </c>
      <c r="B56" s="681" t="str">
        <f>IF(A56="*","",NT_TRP!B65)</f>
        <v>TFLCVODS-N</v>
      </c>
      <c r="C56" s="681" t="s">
        <v>1207</v>
      </c>
      <c r="D56" s="683"/>
      <c r="E56" s="683"/>
      <c r="F56" s="681" t="s">
        <v>1122</v>
      </c>
      <c r="G56" s="681" t="s">
        <v>1121</v>
      </c>
      <c r="H56" s="681" t="s">
        <v>1138</v>
      </c>
    </row>
    <row r="57" spans="1:8" x14ac:dyDescent="0.2">
      <c r="A57" s="681" t="str">
        <f>IF(LEFT(NT_TRP!A66,2)="\I","*","")</f>
        <v/>
      </c>
      <c r="B57" s="681" t="str">
        <f>IF(A57="*","",NT_TRP!B66)</f>
        <v>TFLCVODSH-N</v>
      </c>
      <c r="C57" s="681" t="s">
        <v>1208</v>
      </c>
      <c r="D57" s="683"/>
      <c r="E57" s="683"/>
      <c r="F57" s="681" t="s">
        <v>1122</v>
      </c>
      <c r="G57" s="681" t="s">
        <v>1121</v>
      </c>
      <c r="H57" s="681" t="s">
        <v>1138</v>
      </c>
    </row>
    <row r="58" spans="1:8" x14ac:dyDescent="0.2">
      <c r="A58" s="681" t="str">
        <f>IF(LEFT(NT_TRP!A67,2)="\I","*","")</f>
        <v/>
      </c>
      <c r="B58" s="681" t="str">
        <f>IF(A58="*","",NT_TRP!B67)</f>
        <v>TFLCVOGS-N</v>
      </c>
      <c r="C58" s="681" t="s">
        <v>1209</v>
      </c>
      <c r="D58" s="683"/>
      <c r="E58" s="683"/>
      <c r="F58" s="681" t="s">
        <v>1122</v>
      </c>
      <c r="G58" s="681" t="s">
        <v>1121</v>
      </c>
      <c r="H58" s="681" t="s">
        <v>1138</v>
      </c>
    </row>
    <row r="59" spans="1:8" x14ac:dyDescent="0.2">
      <c r="A59" s="681" t="str">
        <f>IF(LEFT(NT_TRP!A68,2)="\I","*","")</f>
        <v/>
      </c>
      <c r="B59" s="681" t="str">
        <f>IF(A59="*","",NT_TRP!B68)</f>
        <v>TFLCVOGSH-N</v>
      </c>
      <c r="C59" s="681" t="s">
        <v>1210</v>
      </c>
      <c r="D59" s="683"/>
      <c r="E59" s="683"/>
      <c r="F59" s="681" t="s">
        <v>1122</v>
      </c>
      <c r="G59" s="681" t="s">
        <v>1121</v>
      </c>
      <c r="H59" s="681" t="s">
        <v>1138</v>
      </c>
    </row>
    <row r="60" spans="1:8" x14ac:dyDescent="0.2">
      <c r="A60" s="681" t="str">
        <f>IF(LEFT(NT_TRP!A69,2)="\I","*","")</f>
        <v/>
      </c>
      <c r="B60" s="681" t="str">
        <f>IF(A60="*","",NT_TRP!B69)</f>
        <v>TFLCVGAS-N</v>
      </c>
      <c r="C60" s="681" t="s">
        <v>1211</v>
      </c>
      <c r="D60" s="683"/>
      <c r="E60" s="683"/>
      <c r="F60" s="681" t="s">
        <v>1122</v>
      </c>
      <c r="G60" s="681" t="s">
        <v>1121</v>
      </c>
      <c r="H60" s="681" t="s">
        <v>1138</v>
      </c>
    </row>
    <row r="61" spans="1:8" x14ac:dyDescent="0.2">
      <c r="A61" s="681" t="str">
        <f>IF(LEFT(NT_TRP!A70,2)="\I","*","")</f>
        <v/>
      </c>
      <c r="B61" s="681" t="str">
        <f>IF(A61="*","",NT_TRP!B70)</f>
        <v>TFLCVELC-N</v>
      </c>
      <c r="C61" s="681" t="s">
        <v>1212</v>
      </c>
      <c r="D61" s="683"/>
      <c r="E61" s="683"/>
      <c r="F61" s="681" t="s">
        <v>1122</v>
      </c>
      <c r="G61" s="681" t="s">
        <v>1121</v>
      </c>
      <c r="H61" s="681" t="s">
        <v>1138</v>
      </c>
    </row>
    <row r="62" spans="1:8" x14ac:dyDescent="0.2">
      <c r="A62" s="681" t="str">
        <f>IF(LEFT(NT_TRP!A71,2)="\I","*","")</f>
        <v/>
      </c>
      <c r="C62" s="681" t="s">
        <v>815</v>
      </c>
      <c r="D62" s="683"/>
      <c r="E62" s="683"/>
    </row>
    <row r="63" spans="1:8" x14ac:dyDescent="0.2">
      <c r="A63" s="681" t="str">
        <f>IF(LEFT(NT_TRP!A72,2)="\I","*","")</f>
        <v/>
      </c>
      <c r="B63" s="681" t="str">
        <f>IF(A63="*","",NT_TRP!B72)</f>
        <v>TFHCV1ODS-N</v>
      </c>
      <c r="C63" s="681" t="s">
        <v>1213</v>
      </c>
      <c r="D63" s="683"/>
      <c r="E63" s="683"/>
      <c r="F63" s="681" t="s">
        <v>1122</v>
      </c>
      <c r="G63" s="681" t="s">
        <v>1121</v>
      </c>
      <c r="H63" s="681" t="s">
        <v>1138</v>
      </c>
    </row>
    <row r="64" spans="1:8" x14ac:dyDescent="0.2">
      <c r="A64" s="681" t="str">
        <f>IF(LEFT(NT_TRP!A73,2)="\I","*","")</f>
        <v/>
      </c>
      <c r="B64" s="681" t="str">
        <f>IF(A64="*","",NT_TRP!B73)</f>
        <v>TFHCV1OGS-N</v>
      </c>
      <c r="C64" s="681" t="s">
        <v>1214</v>
      </c>
      <c r="D64" s="683"/>
      <c r="E64" s="683"/>
      <c r="F64" s="681" t="s">
        <v>1122</v>
      </c>
      <c r="G64" s="681" t="s">
        <v>1121</v>
      </c>
      <c r="H64" s="681" t="s">
        <v>1138</v>
      </c>
    </row>
    <row r="65" spans="1:8" x14ac:dyDescent="0.2">
      <c r="A65" s="681" t="str">
        <f>IF(LEFT(NT_TRP!A74,2)="\I","*","")</f>
        <v/>
      </c>
      <c r="B65" s="681" t="str">
        <f>IF(A65="*","",NT_TRP!B74)</f>
        <v>TFHCV2ODS-N</v>
      </c>
      <c r="C65" s="681" t="s">
        <v>1215</v>
      </c>
      <c r="D65" s="683"/>
      <c r="E65" s="683"/>
      <c r="F65" s="681" t="s">
        <v>1122</v>
      </c>
      <c r="G65" s="681" t="s">
        <v>1121</v>
      </c>
      <c r="H65" s="681" t="s">
        <v>1138</v>
      </c>
    </row>
    <row r="66" spans="1:8" x14ac:dyDescent="0.2">
      <c r="A66" s="681" t="str">
        <f>IF(LEFT(NT_TRP!A75,2)="\I","*","")</f>
        <v/>
      </c>
      <c r="B66" s="681" t="str">
        <f>IF(A66="*","",NT_TRP!B75)</f>
        <v>TFHCV3ODS-N</v>
      </c>
      <c r="C66" s="681" t="s">
        <v>1216</v>
      </c>
      <c r="D66" s="683"/>
      <c r="E66" s="683"/>
      <c r="F66" s="681" t="s">
        <v>1122</v>
      </c>
      <c r="G66" s="681" t="s">
        <v>1121</v>
      </c>
      <c r="H66" s="681" t="s">
        <v>1138</v>
      </c>
    </row>
    <row r="67" spans="1:8" x14ac:dyDescent="0.2">
      <c r="A67" s="681" t="str">
        <f>IF(LEFT(NT_TRP!A76,2)="\I","*","")</f>
        <v/>
      </c>
      <c r="B67" s="681" t="str">
        <f>IF(A67="*","",NT_TRP!B76)</f>
        <v>TFHCV4ODS-N</v>
      </c>
      <c r="C67" s="681" t="s">
        <v>1217</v>
      </c>
      <c r="D67" s="683"/>
      <c r="E67" s="683"/>
      <c r="F67" s="681" t="s">
        <v>1122</v>
      </c>
      <c r="G67" s="681" t="s">
        <v>1121</v>
      </c>
      <c r="H67" s="681" t="s">
        <v>1138</v>
      </c>
    </row>
    <row r="68" spans="1:8" x14ac:dyDescent="0.2">
      <c r="A68" s="681" t="str">
        <f>IF(LEFT(NT_TRP!A77,2)="\I","*","")</f>
        <v/>
      </c>
      <c r="B68" s="681" t="str">
        <f>IF(A68="*","",NT_TRP!B77)</f>
        <v>TFHCV5ODS-N</v>
      </c>
      <c r="C68" s="681" t="s">
        <v>1218</v>
      </c>
      <c r="D68" s="683"/>
      <c r="E68" s="683"/>
      <c r="F68" s="681" t="s">
        <v>1122</v>
      </c>
      <c r="G68" s="681" t="s">
        <v>1121</v>
      </c>
      <c r="H68" s="681" t="s">
        <v>1138</v>
      </c>
    </row>
    <row r="69" spans="1:8" x14ac:dyDescent="0.2">
      <c r="A69" s="681" t="str">
        <f>IF(LEFT(NT_TRP!A78,2)="\I","*","")</f>
        <v/>
      </c>
      <c r="B69" s="681" t="str">
        <f>IF(A69="*","",NT_TRP!B78)</f>
        <v>TFHCV6ODS-N</v>
      </c>
      <c r="C69" s="681" t="s">
        <v>1219</v>
      </c>
      <c r="D69" s="683"/>
      <c r="E69" s="683"/>
      <c r="F69" s="681" t="s">
        <v>1122</v>
      </c>
      <c r="G69" s="681" t="s">
        <v>1121</v>
      </c>
      <c r="H69" s="681" t="s">
        <v>1138</v>
      </c>
    </row>
    <row r="70" spans="1:8" x14ac:dyDescent="0.2">
      <c r="A70" s="681" t="str">
        <f>IF(LEFT(NT_TRP!A79,2)="\I","*","")</f>
        <v/>
      </c>
      <c r="B70" s="681" t="str">
        <f>IF(A70="*","",NT_TRP!B79)</f>
        <v>TFHCV7ODS-N</v>
      </c>
      <c r="C70" s="681" t="s">
        <v>1220</v>
      </c>
      <c r="D70" s="683"/>
      <c r="E70" s="683"/>
      <c r="F70" s="681" t="s">
        <v>1122</v>
      </c>
      <c r="G70" s="681" t="s">
        <v>1121</v>
      </c>
      <c r="H70" s="681" t="s">
        <v>1138</v>
      </c>
    </row>
    <row r="71" spans="1:8" x14ac:dyDescent="0.2">
      <c r="A71" s="681" t="str">
        <f>IF(LEFT(NT_TRP!A80,2)="\I","*","")</f>
        <v/>
      </c>
      <c r="B71" s="681" t="str">
        <f>IF(A71="*","",NT_TRP!B80)</f>
        <v>TFHCV8ODS-N</v>
      </c>
      <c r="C71" s="681" t="s">
        <v>1221</v>
      </c>
      <c r="D71" s="683"/>
      <c r="E71" s="683"/>
      <c r="F71" s="681" t="s">
        <v>1122</v>
      </c>
      <c r="G71" s="681" t="s">
        <v>1121</v>
      </c>
      <c r="H71" s="681" t="s">
        <v>1138</v>
      </c>
    </row>
    <row r="72" spans="1:8" x14ac:dyDescent="0.2">
      <c r="A72" s="681" t="str">
        <f>IF(LEFT(NT_TRP!A81,2)="\I","*","")</f>
        <v/>
      </c>
      <c r="B72" s="681" t="str">
        <f>IF(A72="*","",NT_TRP!B81)</f>
        <v>TFHCV9ODS-N</v>
      </c>
      <c r="C72" s="681" t="s">
        <v>1222</v>
      </c>
      <c r="D72" s="683"/>
      <c r="E72" s="683"/>
      <c r="F72" s="681" t="s">
        <v>1122</v>
      </c>
      <c r="G72" s="681" t="s">
        <v>1121</v>
      </c>
      <c r="H72" s="681" t="s">
        <v>1138</v>
      </c>
    </row>
    <row r="73" spans="1:8" x14ac:dyDescent="0.2">
      <c r="A73" s="681" t="str">
        <f>IF(LEFT(NT_TRP!A82,2)="\I","*","")</f>
        <v/>
      </c>
      <c r="B73" s="681" t="str">
        <f>IF(A73="*","",NT_TRP!B82)</f>
        <v>TFHCV1GAS-N</v>
      </c>
      <c r="C73" s="681" t="s">
        <v>1223</v>
      </c>
      <c r="D73" s="683"/>
      <c r="E73" s="683"/>
      <c r="F73" s="681" t="s">
        <v>1122</v>
      </c>
      <c r="G73" s="681" t="s">
        <v>1121</v>
      </c>
      <c r="H73" s="681" t="s">
        <v>1138</v>
      </c>
    </row>
    <row r="74" spans="1:8" x14ac:dyDescent="0.2">
      <c r="A74" s="681" t="str">
        <f>IF(LEFT(NT_TRP!A83,2)="\I","*","")</f>
        <v/>
      </c>
      <c r="B74" s="681" t="str">
        <f>IF(A74="*","",NT_TRP!B83)</f>
        <v>TFHCV2GAS-N</v>
      </c>
      <c r="C74" s="681" t="s">
        <v>1224</v>
      </c>
      <c r="D74" s="683"/>
      <c r="E74" s="683"/>
      <c r="F74" s="681" t="s">
        <v>1122</v>
      </c>
      <c r="G74" s="681" t="s">
        <v>1121</v>
      </c>
      <c r="H74" s="681" t="s">
        <v>1138</v>
      </c>
    </row>
    <row r="75" spans="1:8" x14ac:dyDescent="0.2">
      <c r="A75" s="681" t="str">
        <f>IF(LEFT(NT_TRP!A84,2)="\I","*","")</f>
        <v/>
      </c>
      <c r="B75" s="681" t="str">
        <f>IF(A75="*","",NT_TRP!B84)</f>
        <v>TFHCV3GAS-N</v>
      </c>
      <c r="C75" s="681" t="s">
        <v>1225</v>
      </c>
      <c r="D75" s="683"/>
      <c r="E75" s="683"/>
      <c r="F75" s="681" t="s">
        <v>1122</v>
      </c>
      <c r="G75" s="681" t="s">
        <v>1121</v>
      </c>
      <c r="H75" s="681" t="s">
        <v>1138</v>
      </c>
    </row>
    <row r="76" spans="1:8" x14ac:dyDescent="0.2">
      <c r="A76" s="681" t="str">
        <f>IF(LEFT(NT_TRP!A85,2)="\I","*","")</f>
        <v/>
      </c>
      <c r="B76" s="681" t="str">
        <f>IF(A76="*","",NT_TRP!B85)</f>
        <v>TFHCV4GAS-N</v>
      </c>
      <c r="C76" s="681" t="s">
        <v>1226</v>
      </c>
      <c r="D76" s="683"/>
      <c r="E76" s="683"/>
      <c r="F76" s="681" t="s">
        <v>1122</v>
      </c>
      <c r="G76" s="681" t="s">
        <v>1121</v>
      </c>
      <c r="H76" s="681" t="s">
        <v>1138</v>
      </c>
    </row>
    <row r="77" spans="1:8" x14ac:dyDescent="0.2">
      <c r="A77" s="681" t="str">
        <f>IF(LEFT(NT_TRP!A86,2)="\I","*","")</f>
        <v/>
      </c>
      <c r="B77" s="681" t="str">
        <f>IF(A77="*","",NT_TRP!B86)</f>
        <v>TFHCV5GAS-N</v>
      </c>
      <c r="C77" s="681" t="s">
        <v>1227</v>
      </c>
      <c r="D77" s="683"/>
      <c r="E77" s="683"/>
      <c r="F77" s="681" t="s">
        <v>1122</v>
      </c>
      <c r="G77" s="681" t="s">
        <v>1121</v>
      </c>
      <c r="H77" s="681" t="s">
        <v>1138</v>
      </c>
    </row>
    <row r="78" spans="1:8" x14ac:dyDescent="0.2">
      <c r="A78" s="681" t="str">
        <f>IF(LEFT(NT_TRP!A87,2)="\I","*","")</f>
        <v/>
      </c>
      <c r="B78" s="681" t="str">
        <f>IF(A78="*","",NT_TRP!B87)</f>
        <v>TFHCV6GAS-N</v>
      </c>
      <c r="C78" s="681" t="s">
        <v>1228</v>
      </c>
      <c r="D78" s="683"/>
      <c r="E78" s="683"/>
      <c r="F78" s="681" t="s">
        <v>1122</v>
      </c>
      <c r="G78" s="681" t="s">
        <v>1121</v>
      </c>
      <c r="H78" s="681" t="s">
        <v>1138</v>
      </c>
    </row>
    <row r="79" spans="1:8" x14ac:dyDescent="0.2">
      <c r="A79" s="681" t="str">
        <f>IF(LEFT(NT_TRP!A88,2)="\I","*","")</f>
        <v/>
      </c>
      <c r="B79" s="681" t="str">
        <f>IF(A79="*","",NT_TRP!B88)</f>
        <v>TFHCV7GAS-N</v>
      </c>
      <c r="C79" s="681" t="s">
        <v>1229</v>
      </c>
      <c r="D79" s="683"/>
      <c r="E79" s="683"/>
      <c r="F79" s="681" t="s">
        <v>1122</v>
      </c>
      <c r="G79" s="681" t="s">
        <v>1121</v>
      </c>
      <c r="H79" s="681" t="s">
        <v>1138</v>
      </c>
    </row>
    <row r="80" spans="1:8" x14ac:dyDescent="0.2">
      <c r="A80" s="681" t="str">
        <f>IF(LEFT(NT_TRP!A89,2)="\I","*","")</f>
        <v/>
      </c>
      <c r="B80" s="681" t="str">
        <f>IF(A80="*","",NT_TRP!B89)</f>
        <v>TFHCV8GAS-N</v>
      </c>
      <c r="C80" s="681" t="s">
        <v>1230</v>
      </c>
      <c r="D80" s="683"/>
      <c r="E80" s="683"/>
      <c r="F80" s="681" t="s">
        <v>1122</v>
      </c>
      <c r="G80" s="681" t="s">
        <v>1121</v>
      </c>
      <c r="H80" s="681" t="s">
        <v>1138</v>
      </c>
    </row>
    <row r="81" spans="1:9" x14ac:dyDescent="0.2">
      <c r="A81" s="681" t="str">
        <f>IF(LEFT(NT_TRP!A90,2)="\I","*","")</f>
        <v/>
      </c>
      <c r="B81" s="681" t="str">
        <f>IF(A81="*","",NT_TRP!B90)</f>
        <v>TFHCV9GAS-N</v>
      </c>
      <c r="C81" s="681" t="s">
        <v>1231</v>
      </c>
      <c r="D81" s="683"/>
      <c r="E81" s="683"/>
      <c r="F81" s="681" t="s">
        <v>1122</v>
      </c>
      <c r="G81" s="681" t="s">
        <v>1121</v>
      </c>
      <c r="H81" s="681" t="s">
        <v>1138</v>
      </c>
    </row>
    <row r="82" spans="1:9" x14ac:dyDescent="0.2">
      <c r="A82" s="681" t="str">
        <f>IF(LEFT(NT_TRP!A91,2)="\I","*","")</f>
        <v/>
      </c>
      <c r="B82" s="681" t="str">
        <f>IF(A82="*","",NT_TRP!B91)</f>
        <v>TFHCV1ELC-N</v>
      </c>
      <c r="C82" s="681" t="s">
        <v>1232</v>
      </c>
      <c r="D82" s="683"/>
      <c r="E82" s="683"/>
      <c r="F82" s="681" t="s">
        <v>1122</v>
      </c>
      <c r="G82" s="681" t="s">
        <v>1121</v>
      </c>
      <c r="H82" s="681" t="s">
        <v>1138</v>
      </c>
      <c r="I82" s="682"/>
    </row>
    <row r="83" spans="1:9" x14ac:dyDescent="0.2">
      <c r="A83" s="681" t="str">
        <f>IF(LEFT(NT_TRP!A92,2)="\I","*","")</f>
        <v/>
      </c>
      <c r="B83" s="681" t="str">
        <f>IF(A83="*","",NT_TRP!B92)</f>
        <v>TFHCV2ELC-N</v>
      </c>
      <c r="C83" s="681" t="s">
        <v>1233</v>
      </c>
      <c r="D83" s="683"/>
      <c r="E83" s="683"/>
      <c r="F83" s="681" t="s">
        <v>1122</v>
      </c>
      <c r="G83" s="681" t="s">
        <v>1121</v>
      </c>
      <c r="H83" s="681" t="s">
        <v>1138</v>
      </c>
      <c r="I83" s="682"/>
    </row>
    <row r="84" spans="1:9" x14ac:dyDescent="0.2">
      <c r="A84" s="681" t="str">
        <f>IF(LEFT(NT_TRP!A93,2)="\I","*","")</f>
        <v/>
      </c>
      <c r="B84" s="681" t="str">
        <f>IF(A84="*","",NT_TRP!B93)</f>
        <v>TFHCV3ELC-N</v>
      </c>
      <c r="C84" s="681" t="s">
        <v>1234</v>
      </c>
      <c r="D84" s="683"/>
      <c r="E84" s="683"/>
      <c r="F84" s="681" t="s">
        <v>1122</v>
      </c>
      <c r="G84" s="681" t="s">
        <v>1121</v>
      </c>
      <c r="H84" s="681" t="s">
        <v>1138</v>
      </c>
      <c r="I84" s="682"/>
    </row>
    <row r="85" spans="1:9" x14ac:dyDescent="0.2">
      <c r="B85" s="681" t="str">
        <f>IF(A85="*","",NT_TRP!B94)</f>
        <v>TFHCV4ELC-N</v>
      </c>
      <c r="C85" s="681" t="s">
        <v>1318</v>
      </c>
      <c r="D85" s="683"/>
      <c r="E85" s="683"/>
      <c r="F85" s="681" t="s">
        <v>1122</v>
      </c>
      <c r="G85" s="681" t="s">
        <v>1121</v>
      </c>
      <c r="H85" s="681" t="s">
        <v>1138</v>
      </c>
      <c r="I85" s="682"/>
    </row>
    <row r="86" spans="1:9" x14ac:dyDescent="0.2">
      <c r="B86" s="681" t="str">
        <f>IF(A86="*","",NT_TRP!B95)</f>
        <v>TFHCV5ELC-N</v>
      </c>
      <c r="C86" s="681" t="s">
        <v>1319</v>
      </c>
      <c r="D86" s="683"/>
      <c r="E86" s="683"/>
      <c r="F86" s="681" t="s">
        <v>1122</v>
      </c>
      <c r="G86" s="681" t="s">
        <v>1121</v>
      </c>
      <c r="H86" s="681" t="s">
        <v>1138</v>
      </c>
      <c r="I86" s="682"/>
    </row>
    <row r="87" spans="1:9" x14ac:dyDescent="0.2">
      <c r="B87" s="681" t="str">
        <f>IF(A87="*","",NT_TRP!B96)</f>
        <v>TFHCV6ELC-N</v>
      </c>
      <c r="C87" s="681" t="s">
        <v>1320</v>
      </c>
      <c r="D87" s="683"/>
      <c r="E87" s="683"/>
      <c r="F87" s="681" t="s">
        <v>1122</v>
      </c>
      <c r="G87" s="681" t="s">
        <v>1121</v>
      </c>
      <c r="H87" s="681" t="s">
        <v>1138</v>
      </c>
      <c r="I87" s="682"/>
    </row>
    <row r="88" spans="1:9" x14ac:dyDescent="0.2">
      <c r="B88" s="681" t="str">
        <f>IF(A88="*","",NT_TRP!B97)</f>
        <v>TFHCV7ELC-N</v>
      </c>
      <c r="C88" s="681" t="s">
        <v>1321</v>
      </c>
      <c r="D88" s="683"/>
      <c r="E88" s="683"/>
      <c r="F88" s="681" t="s">
        <v>1122</v>
      </c>
      <c r="G88" s="681" t="s">
        <v>1121</v>
      </c>
      <c r="H88" s="681" t="s">
        <v>1138</v>
      </c>
      <c r="I88" s="682"/>
    </row>
    <row r="89" spans="1:9" x14ac:dyDescent="0.2">
      <c r="B89" s="681" t="str">
        <f>IF(A89="*","",NT_TRP!B98)</f>
        <v>TFHCV8ELC-N</v>
      </c>
      <c r="C89" s="681" t="s">
        <v>1322</v>
      </c>
      <c r="D89" s="683"/>
      <c r="E89" s="683"/>
      <c r="F89" s="681" t="s">
        <v>1122</v>
      </c>
      <c r="G89" s="681" t="s">
        <v>1121</v>
      </c>
      <c r="H89" s="681" t="s">
        <v>1138</v>
      </c>
      <c r="I89" s="682"/>
    </row>
    <row r="90" spans="1:9" x14ac:dyDescent="0.2">
      <c r="B90" s="681" t="str">
        <f>IF(A90="*","",NT_TRP!B99)</f>
        <v>TFHCV9ELC-N</v>
      </c>
      <c r="C90" s="681" t="s">
        <v>1323</v>
      </c>
      <c r="D90" s="683"/>
      <c r="E90" s="683"/>
      <c r="F90" s="681" t="s">
        <v>1122</v>
      </c>
      <c r="G90" s="681" t="s">
        <v>1121</v>
      </c>
      <c r="H90" s="681" t="s">
        <v>1138</v>
      </c>
      <c r="I90" s="682"/>
    </row>
    <row r="91" spans="1:9" x14ac:dyDescent="0.2">
      <c r="A91" s="681" t="str">
        <f>IF(LEFT(NT_TRP!A100,2)="\I","*","")</f>
        <v/>
      </c>
      <c r="B91" s="681" t="str">
        <f>IF(A91="*","",NT_TRP!B100)</f>
        <v>TFHCV2HGN-N</v>
      </c>
      <c r="C91" s="681" t="s">
        <v>1235</v>
      </c>
      <c r="D91" s="683"/>
      <c r="E91" s="683"/>
      <c r="F91" s="681" t="s">
        <v>1122</v>
      </c>
      <c r="G91" s="681" t="s">
        <v>1121</v>
      </c>
      <c r="H91" s="681" t="s">
        <v>1138</v>
      </c>
    </row>
    <row r="92" spans="1:9" x14ac:dyDescent="0.2">
      <c r="A92" s="681" t="str">
        <f>IF(LEFT(NT_TRP!A101,2)="\I","*","")</f>
        <v/>
      </c>
      <c r="B92" s="681" t="str">
        <f>IF(A92="*","",NT_TRP!B101)</f>
        <v>TFHCV3HGN-N</v>
      </c>
      <c r="C92" s="681" t="s">
        <v>1236</v>
      </c>
      <c r="D92" s="683"/>
      <c r="E92" s="683"/>
      <c r="F92" s="681" t="s">
        <v>1122</v>
      </c>
      <c r="G92" s="681" t="s">
        <v>1121</v>
      </c>
      <c r="H92" s="681" t="s">
        <v>1138</v>
      </c>
    </row>
    <row r="93" spans="1:9" x14ac:dyDescent="0.2">
      <c r="A93" s="681" t="str">
        <f>IF(LEFT(NT_TRP!A102,2)="\I","*","")</f>
        <v/>
      </c>
      <c r="B93" s="681" t="str">
        <f>IF(A93="*","",NT_TRP!B102)</f>
        <v>TFHCV4HGN-N</v>
      </c>
      <c r="C93" s="681" t="s">
        <v>1237</v>
      </c>
      <c r="D93" s="683"/>
      <c r="E93" s="683"/>
      <c r="F93" s="681" t="s">
        <v>1122</v>
      </c>
      <c r="G93" s="681" t="s">
        <v>1121</v>
      </c>
      <c r="H93" s="681" t="s">
        <v>1138</v>
      </c>
    </row>
    <row r="94" spans="1:9" x14ac:dyDescent="0.2">
      <c r="A94" s="681" t="str">
        <f>IF(LEFT(NT_TRP!A103,2)="\I","*","")</f>
        <v/>
      </c>
      <c r="B94" s="681" t="str">
        <f>IF(A94="*","",NT_TRP!B103)</f>
        <v>TFHCV5HGN-N</v>
      </c>
      <c r="C94" s="681" t="s">
        <v>1238</v>
      </c>
      <c r="D94" s="683"/>
      <c r="E94" s="683"/>
      <c r="F94" s="681" t="s">
        <v>1122</v>
      </c>
      <c r="G94" s="681" t="s">
        <v>1121</v>
      </c>
      <c r="H94" s="681" t="s">
        <v>1138</v>
      </c>
    </row>
    <row r="95" spans="1:9" x14ac:dyDescent="0.2">
      <c r="A95" s="681" t="str">
        <f>IF(LEFT(NT_TRP!A104,2)="\I","*","")</f>
        <v/>
      </c>
      <c r="B95" s="681" t="str">
        <f>IF(A95="*","",NT_TRP!B104)</f>
        <v>TFHCV6HGN-N</v>
      </c>
      <c r="C95" s="681" t="s">
        <v>1239</v>
      </c>
      <c r="D95" s="683"/>
      <c r="E95" s="683"/>
      <c r="F95" s="681" t="s">
        <v>1122</v>
      </c>
      <c r="G95" s="681" t="s">
        <v>1121</v>
      </c>
      <c r="H95" s="681" t="s">
        <v>1138</v>
      </c>
    </row>
    <row r="96" spans="1:9" x14ac:dyDescent="0.2">
      <c r="A96" s="681" t="str">
        <f>IF(LEFT(NT_TRP!A105,2)="\I","*","")</f>
        <v/>
      </c>
      <c r="B96" s="681" t="str">
        <f>IF(A96="*","",NT_TRP!B105)</f>
        <v>TFHCV7HGN-N</v>
      </c>
      <c r="C96" s="681" t="s">
        <v>1240</v>
      </c>
      <c r="D96" s="683"/>
      <c r="E96" s="683"/>
      <c r="F96" s="681" t="s">
        <v>1122</v>
      </c>
      <c r="G96" s="681" t="s">
        <v>1121</v>
      </c>
      <c r="H96" s="681" t="s">
        <v>1138</v>
      </c>
    </row>
    <row r="97" spans="1:8" x14ac:dyDescent="0.2">
      <c r="A97" s="681" t="str">
        <f>IF(LEFT(NT_TRP!A106,2)="\I","*","")</f>
        <v/>
      </c>
      <c r="B97" s="681" t="str">
        <f>IF(A97="*","",NT_TRP!B106)</f>
        <v>TFHCV8HGN-N</v>
      </c>
      <c r="C97" s="681" t="s">
        <v>1241</v>
      </c>
      <c r="D97" s="683"/>
      <c r="E97" s="683"/>
      <c r="F97" s="681" t="s">
        <v>1122</v>
      </c>
      <c r="G97" s="681" t="s">
        <v>1121</v>
      </c>
      <c r="H97" s="681" t="s">
        <v>1138</v>
      </c>
    </row>
    <row r="98" spans="1:8" x14ac:dyDescent="0.2">
      <c r="A98" s="681" t="str">
        <f>IF(LEFT(NT_TRP!A107,2)="\I","*","")</f>
        <v/>
      </c>
      <c r="B98" s="681" t="str">
        <f>IF(A98="*","",NT_TRP!B107)</f>
        <v>TFHCV9HGN-N</v>
      </c>
      <c r="C98" s="681" t="s">
        <v>1242</v>
      </c>
      <c r="D98" s="683"/>
      <c r="E98" s="683"/>
      <c r="F98" s="681" t="s">
        <v>1122</v>
      </c>
      <c r="G98" s="681" t="s">
        <v>1121</v>
      </c>
      <c r="H98" s="681" t="s">
        <v>1138</v>
      </c>
    </row>
    <row r="99" spans="1:8" x14ac:dyDescent="0.2">
      <c r="A99" s="681" t="str">
        <f>IF(LEFT(NT_TRP!A108,2)="\I","*","")</f>
        <v/>
      </c>
      <c r="C99" s="681" t="s">
        <v>815</v>
      </c>
      <c r="D99" s="683"/>
      <c r="E99" s="683"/>
    </row>
    <row r="100" spans="1:8" x14ac:dyDescent="0.2">
      <c r="A100" s="681" t="str">
        <f>IF(LEFT(NT_TRP!A109,2)="\I","*","")</f>
        <v/>
      </c>
      <c r="B100" s="681" t="str">
        <f>IF(A100="*","",NT_TRP!B109)</f>
        <v>TFRCOGAS-N</v>
      </c>
      <c r="C100" s="681" t="s">
        <v>1243</v>
      </c>
      <c r="D100" s="683" t="s">
        <v>1152</v>
      </c>
      <c r="E100" s="683" t="s">
        <v>1153</v>
      </c>
      <c r="F100" s="681" t="s">
        <v>1122</v>
      </c>
      <c r="G100" s="681" t="s">
        <v>1121</v>
      </c>
    </row>
    <row r="101" spans="1:8" x14ac:dyDescent="0.2">
      <c r="A101" s="681" t="str">
        <f>IF(LEFT(NT_TRP!A110,2)="\I","*","")</f>
        <v/>
      </c>
      <c r="C101" s="681" t="s">
        <v>815</v>
      </c>
      <c r="D101" s="683"/>
      <c r="E101" s="683"/>
    </row>
    <row r="102" spans="1:8" x14ac:dyDescent="0.2">
      <c r="A102" s="681" t="str">
        <f>IF(LEFT(NT_TRP!A111,2)="\I","*","")</f>
        <v/>
      </c>
      <c r="B102" s="681" t="str">
        <f>IF(A102="*","",NT_TRP!B111)</f>
        <v>TFRCOELC-N</v>
      </c>
      <c r="C102" s="681" t="s">
        <v>1244</v>
      </c>
      <c r="D102" s="683" t="s">
        <v>1152</v>
      </c>
      <c r="E102" s="683" t="s">
        <v>1153</v>
      </c>
      <c r="F102" s="681" t="s">
        <v>1122</v>
      </c>
      <c r="G102" s="681" t="s">
        <v>1121</v>
      </c>
    </row>
    <row r="103" spans="1:8" x14ac:dyDescent="0.2">
      <c r="A103" s="681" t="str">
        <f>IF(LEFT(NT_TRP!A112,2)="\I","*","")</f>
        <v/>
      </c>
      <c r="C103" s="681" t="s">
        <v>815</v>
      </c>
      <c r="D103" s="683"/>
      <c r="E103" s="683"/>
    </row>
    <row r="104" spans="1:8" x14ac:dyDescent="0.2">
      <c r="A104" s="681" t="str">
        <f>IF(LEFT(NT_TRP!A113,2)="\I","*","")</f>
        <v/>
      </c>
      <c r="B104" s="681" t="str">
        <f>IF(A104="*","",NT_TRP!B113)</f>
        <v>TFROTELC-N</v>
      </c>
      <c r="C104" s="681" t="s">
        <v>1245</v>
      </c>
      <c r="D104" s="683" t="s">
        <v>1152</v>
      </c>
      <c r="E104" s="683" t="s">
        <v>1153</v>
      </c>
      <c r="F104" s="681" t="s">
        <v>1122</v>
      </c>
      <c r="G104" s="681" t="s">
        <v>1121</v>
      </c>
    </row>
    <row r="105" spans="1:8" x14ac:dyDescent="0.2">
      <c r="A105" s="681" t="str">
        <f>IF(LEFT(NT_TRP!A114,2)="\I","*","")</f>
        <v/>
      </c>
      <c r="C105" s="681" t="s">
        <v>815</v>
      </c>
      <c r="D105" s="683"/>
      <c r="E105" s="683"/>
    </row>
    <row r="106" spans="1:8" x14ac:dyDescent="0.2">
      <c r="A106" s="681" t="str">
        <f>IF(LEFT(NT_TRP!A115,2)="\I","*","")</f>
        <v/>
      </c>
      <c r="B106" s="681" t="str">
        <f>IF(A106="*","",NT_TRP!B115)</f>
        <v>TFREXELC-N</v>
      </c>
      <c r="C106" s="681" t="s">
        <v>1246</v>
      </c>
      <c r="D106" s="683" t="s">
        <v>1152</v>
      </c>
      <c r="E106" s="683" t="s">
        <v>1153</v>
      </c>
      <c r="F106" s="681" t="s">
        <v>1122</v>
      </c>
      <c r="G106" s="681" t="s">
        <v>1121</v>
      </c>
    </row>
    <row r="107" spans="1:8" x14ac:dyDescent="0.2">
      <c r="A107" s="681" t="str">
        <f>IF(LEFT(NT_TRP!A116,2)="\I","*","")</f>
        <v/>
      </c>
      <c r="C107" s="681" t="s">
        <v>815</v>
      </c>
      <c r="D107" s="683"/>
      <c r="E107" s="683"/>
    </row>
    <row r="108" spans="1:8" x14ac:dyDescent="0.2">
      <c r="A108" s="681" t="str">
        <f>IF(LEFT(NT_TRP!A117,2)="\I","*","")</f>
        <v/>
      </c>
      <c r="C108" s="681" t="s">
        <v>815</v>
      </c>
      <c r="D108" s="683"/>
      <c r="E108" s="683"/>
    </row>
    <row r="109" spans="1:8" x14ac:dyDescent="0.2">
      <c r="A109" s="681" t="str">
        <f>IF(LEFT(NT_TRP!A118,2)="\I","*","")</f>
        <v/>
      </c>
      <c r="B109" s="681" t="str">
        <f>IF(A109="*","",NT_TRP!B118)</f>
        <v>TFPIPELC-N</v>
      </c>
      <c r="C109" s="681" t="s">
        <v>1247</v>
      </c>
      <c r="D109" s="683" t="s">
        <v>20</v>
      </c>
      <c r="E109" s="683" t="s">
        <v>1151</v>
      </c>
      <c r="F109" s="681" t="s">
        <v>1122</v>
      </c>
      <c r="G109" s="681" t="s">
        <v>1121</v>
      </c>
    </row>
    <row r="110" spans="1:8" x14ac:dyDescent="0.2">
      <c r="A110" s="681" t="str">
        <f>IF(LEFT(NT_TRP!A119,2)="\I","*","")</f>
        <v/>
      </c>
      <c r="B110" s="681" t="str">
        <f>IF(A110="*","",NT_TRP!B119)</f>
        <v>TAIJETOKE-N</v>
      </c>
      <c r="C110" s="681" t="s">
        <v>1248</v>
      </c>
      <c r="D110" s="683" t="s">
        <v>20</v>
      </c>
      <c r="E110" s="683" t="s">
        <v>1151</v>
      </c>
      <c r="F110" s="681" t="s">
        <v>1122</v>
      </c>
      <c r="G110" s="681" t="s">
        <v>1121</v>
      </c>
    </row>
    <row r="111" spans="1:8" x14ac:dyDescent="0.2">
      <c r="A111" s="681" t="str">
        <f>IF(LEFT(NT_TRP!A120,2)="\I","*","")</f>
        <v/>
      </c>
      <c r="B111" s="681" t="str">
        <f>IF(A111="*","",NT_TRP!B120)</f>
        <v>TADJETOKE-N</v>
      </c>
      <c r="C111" s="681" t="s">
        <v>1249</v>
      </c>
      <c r="D111" s="683" t="s">
        <v>20</v>
      </c>
      <c r="E111" s="683" t="s">
        <v>1151</v>
      </c>
      <c r="F111" s="681" t="s">
        <v>1122</v>
      </c>
      <c r="G111" s="681" t="s">
        <v>1121</v>
      </c>
    </row>
    <row r="112" spans="1:8" x14ac:dyDescent="0.2">
      <c r="A112" s="681" t="str">
        <f>IF(LEFT(NT_TRP!A121,2)="\I","*","")</f>
        <v/>
      </c>
      <c r="B112" s="681" t="str">
        <f>IF(A112="*","",NT_TRP!B121)</f>
        <v>TAOAGOAG-N</v>
      </c>
      <c r="C112" s="681" t="s">
        <v>1250</v>
      </c>
      <c r="D112" s="683" t="s">
        <v>20</v>
      </c>
      <c r="E112" s="683" t="s">
        <v>1151</v>
      </c>
      <c r="F112" s="681" t="s">
        <v>1122</v>
      </c>
      <c r="G112" s="681" t="s">
        <v>1121</v>
      </c>
    </row>
    <row r="113" spans="1:7" x14ac:dyDescent="0.2">
      <c r="A113" s="681" t="str">
        <f>IF(LEFT(NT_TRP!A122,2)="\I","*","")</f>
        <v/>
      </c>
      <c r="B113" s="681" t="str">
        <f>IF(A113="*","",NT_TRP!B122)</f>
        <v>TSHFOOHF-N</v>
      </c>
      <c r="C113" s="681" t="s">
        <v>1251</v>
      </c>
      <c r="D113" s="683" t="s">
        <v>20</v>
      </c>
      <c r="E113" s="683" t="s">
        <v>1151</v>
      </c>
      <c r="F113" s="681" t="s">
        <v>1122</v>
      </c>
      <c r="G113" s="681" t="s">
        <v>1121</v>
      </c>
    </row>
    <row r="114" spans="1:7" x14ac:dyDescent="0.2">
      <c r="A114" s="681" t="str">
        <f>IF(LEFT(NT_TRP!A123,2)="\I","*","")</f>
        <v/>
      </c>
      <c r="D114" s="683"/>
      <c r="E114" s="683"/>
    </row>
    <row r="115" spans="1:7" x14ac:dyDescent="0.2">
      <c r="A115" s="681" t="str">
        <f>IF(LEFT(NT_TRP!A124,2)="\I","*","")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2"/>
    </row>
    <row r="3" spans="1:10" ht="18.75" customHeight="1" thickBot="1" x14ac:dyDescent="0.35">
      <c r="B3" s="714" t="s">
        <v>1167</v>
      </c>
      <c r="C3" s="714"/>
      <c r="D3" s="714"/>
    </row>
    <row r="4" spans="1:10" ht="12" thickTop="1" x14ac:dyDescent="0.2"/>
    <row r="6" spans="1:10" ht="15" x14ac:dyDescent="0.25">
      <c r="B6" s="713" t="s">
        <v>1158</v>
      </c>
      <c r="H6" s="713"/>
      <c r="I6" s="713" t="s">
        <v>1039</v>
      </c>
      <c r="J6" s="713"/>
    </row>
    <row r="7" spans="1:10" ht="15" x14ac:dyDescent="0.25">
      <c r="B7" s="713" t="s">
        <v>1155</v>
      </c>
      <c r="C7" s="713" t="s">
        <v>1159</v>
      </c>
      <c r="D7" s="713" t="s">
        <v>1160</v>
      </c>
      <c r="E7" s="713" t="s">
        <v>1161</v>
      </c>
      <c r="F7" s="713" t="s">
        <v>1162</v>
      </c>
      <c r="H7" s="713" t="s">
        <v>1154</v>
      </c>
      <c r="I7" s="713" t="s">
        <v>1155</v>
      </c>
      <c r="J7" s="713">
        <v>2017</v>
      </c>
    </row>
    <row r="8" spans="1:10" ht="12.75" x14ac:dyDescent="0.2">
      <c r="A8" s="682" t="s">
        <v>1124</v>
      </c>
      <c r="B8" s="712" t="s">
        <v>1136</v>
      </c>
      <c r="C8" s="712"/>
      <c r="D8" s="712"/>
      <c r="E8" s="712"/>
      <c r="F8" s="712"/>
      <c r="H8" s="698"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1"/>
      <c r="E37" s="711"/>
    </row>
    <row r="38" spans="1:10" x14ac:dyDescent="0.2">
      <c r="D38" s="711"/>
      <c r="E38" s="711"/>
    </row>
    <row r="39" spans="1:10" x14ac:dyDescent="0.2">
      <c r="D39" s="711"/>
      <c r="E39" s="711"/>
    </row>
    <row r="40" spans="1:10" x14ac:dyDescent="0.2">
      <c r="D40" s="711"/>
      <c r="E40" s="711"/>
    </row>
    <row r="41" spans="1:10" x14ac:dyDescent="0.2">
      <c r="D41" s="711"/>
      <c r="E41" s="711"/>
    </row>
    <row r="42" spans="1:10" x14ac:dyDescent="0.2">
      <c r="D42" s="711"/>
      <c r="E42" s="711"/>
    </row>
    <row r="43" spans="1:10" x14ac:dyDescent="0.2">
      <c r="D43" s="711"/>
      <c r="E43" s="711"/>
    </row>
    <row r="44" spans="1:10" x14ac:dyDescent="0.2">
      <c r="D44" s="711"/>
      <c r="E44" s="711"/>
    </row>
    <row r="45" spans="1:10" x14ac:dyDescent="0.2">
      <c r="D45" s="711"/>
      <c r="E45" s="711"/>
    </row>
    <row r="46" spans="1:10" x14ac:dyDescent="0.2">
      <c r="D46" s="711"/>
      <c r="E46" s="711"/>
    </row>
    <row r="47" spans="1:10" x14ac:dyDescent="0.2">
      <c r="D47" s="711"/>
      <c r="E47" s="711"/>
    </row>
    <row r="48" spans="1:10" x14ac:dyDescent="0.2">
      <c r="D48" s="711"/>
      <c r="E48" s="711"/>
    </row>
    <row r="49" spans="4:5" x14ac:dyDescent="0.2">
      <c r="D49" s="711"/>
      <c r="E49" s="711"/>
    </row>
    <row r="50" spans="4:5" x14ac:dyDescent="0.2">
      <c r="D50" s="711"/>
      <c r="E50" s="711"/>
    </row>
    <row r="51" spans="4:5" x14ac:dyDescent="0.2">
      <c r="D51" s="711"/>
      <c r="E51" s="711"/>
    </row>
    <row r="52" spans="4:5" x14ac:dyDescent="0.2">
      <c r="D52" s="711"/>
      <c r="E52" s="711"/>
    </row>
    <row r="53" spans="4:5" x14ac:dyDescent="0.2">
      <c r="D53" s="711"/>
      <c r="E53" s="711"/>
    </row>
    <row r="54" spans="4:5" x14ac:dyDescent="0.2">
      <c r="D54" s="711"/>
      <c r="E54" s="711"/>
    </row>
    <row r="55" spans="4:5" x14ac:dyDescent="0.2">
      <c r="D55" s="711"/>
      <c r="E55" s="711"/>
    </row>
    <row r="56" spans="4:5" x14ac:dyDescent="0.2">
      <c r="D56" s="711"/>
      <c r="E56" s="711"/>
    </row>
    <row r="57" spans="4:5" x14ac:dyDescent="0.2">
      <c r="D57" s="711"/>
      <c r="E57" s="711"/>
    </row>
    <row r="58" spans="4:5" x14ac:dyDescent="0.2">
      <c r="D58" s="711"/>
      <c r="E58" s="711"/>
    </row>
    <row r="59" spans="4:5" x14ac:dyDescent="0.2">
      <c r="D59" s="711"/>
      <c r="E59" s="711"/>
    </row>
    <row r="60" spans="4:5" x14ac:dyDescent="0.2">
      <c r="D60" s="711"/>
      <c r="E60" s="711"/>
    </row>
    <row r="61" spans="4:5" x14ac:dyDescent="0.2">
      <c r="D61" s="711"/>
      <c r="E61" s="711"/>
    </row>
    <row r="62" spans="4:5" x14ac:dyDescent="0.2">
      <c r="D62" s="711"/>
      <c r="E62" s="711"/>
    </row>
    <row r="63" spans="4:5" x14ac:dyDescent="0.2">
      <c r="D63" s="711"/>
      <c r="E63" s="711"/>
    </row>
    <row r="64" spans="4:5" x14ac:dyDescent="0.2">
      <c r="D64" s="711"/>
      <c r="E64" s="711"/>
    </row>
    <row r="65" spans="4:5" x14ac:dyDescent="0.2">
      <c r="D65" s="711"/>
      <c r="E65" s="711"/>
    </row>
    <row r="66" spans="4:5" x14ac:dyDescent="0.2">
      <c r="D66" s="711"/>
      <c r="E66" s="711"/>
    </row>
    <row r="67" spans="4:5" x14ac:dyDescent="0.2">
      <c r="D67" s="711"/>
      <c r="E67" s="711"/>
    </row>
    <row r="68" spans="4:5" x14ac:dyDescent="0.2">
      <c r="D68" s="711"/>
      <c r="E68" s="711"/>
    </row>
    <row r="69" spans="4:5" x14ac:dyDescent="0.2">
      <c r="D69" s="711"/>
      <c r="E69" s="711"/>
    </row>
    <row r="70" spans="4:5" x14ac:dyDescent="0.2">
      <c r="D70" s="711"/>
      <c r="E70" s="711"/>
    </row>
    <row r="71" spans="4:5" x14ac:dyDescent="0.2">
      <c r="D71" s="711"/>
      <c r="E71" s="711"/>
    </row>
    <row r="72" spans="4:5" x14ac:dyDescent="0.2">
      <c r="D72" s="711"/>
      <c r="E72" s="711"/>
    </row>
    <row r="73" spans="4:5" x14ac:dyDescent="0.2">
      <c r="D73" s="711"/>
      <c r="E73" s="711"/>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E3" workbookViewId="0">
      <selection activeCell="AB17" sqref="AB17"/>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6">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900" t="str">
        <f t="shared" si="1"/>
        <v>CV6ODS</v>
      </c>
      <c r="B29" s="900" t="str">
        <f t="shared" si="21"/>
        <v>TFHCV6ODS-E</v>
      </c>
      <c r="C29" s="900" t="s">
        <v>511</v>
      </c>
      <c r="D29" s="900" t="s">
        <v>541</v>
      </c>
      <c r="E29" s="901" t="s">
        <v>255</v>
      </c>
      <c r="F29" s="904">
        <f t="shared" si="2"/>
        <v>0.11</v>
      </c>
      <c r="G29" s="905">
        <f t="shared" si="3"/>
        <v>64512.330335483297</v>
      </c>
      <c r="H29" s="900">
        <v>110000</v>
      </c>
      <c r="I29" s="906">
        <v>64512.330335483297</v>
      </c>
      <c r="J29" s="906">
        <v>62778.924850520401</v>
      </c>
      <c r="K29" s="906">
        <v>46955.9835203494</v>
      </c>
      <c r="L29" s="906">
        <v>20285.547945611601</v>
      </c>
      <c r="M29" s="906">
        <v>8631.9302356629196</v>
      </c>
      <c r="N29" s="906">
        <v>3570.08746504808</v>
      </c>
      <c r="O29" s="907">
        <f t="shared" si="4"/>
        <v>0.58647573032257538</v>
      </c>
      <c r="P29" s="907">
        <f t="shared" si="5"/>
        <v>0.58647573032257538</v>
      </c>
      <c r="Q29" s="907">
        <f t="shared" si="6"/>
        <v>0.57071749864109456</v>
      </c>
      <c r="R29" s="907">
        <f t="shared" si="7"/>
        <v>0.42687257745772184</v>
      </c>
      <c r="S29" s="907">
        <f t="shared" si="8"/>
        <v>0.18441407223283274</v>
      </c>
      <c r="T29" s="907">
        <f t="shared" si="9"/>
        <v>7.847209305148109E-2</v>
      </c>
      <c r="U29" s="907">
        <f t="shared" si="10"/>
        <v>3.245534059134618E-2</v>
      </c>
      <c r="V29" s="908">
        <f t="shared" si="11"/>
        <v>40.292737614575302</v>
      </c>
      <c r="W29" s="898">
        <v>40.292737614575302</v>
      </c>
      <c r="X29" s="908">
        <f t="shared" si="0"/>
        <v>6.0770510906732703E-2</v>
      </c>
      <c r="Y29" s="909">
        <f t="shared" si="12"/>
        <v>6.0770510906732703E-2</v>
      </c>
      <c r="Z29" s="898">
        <v>6.0770510906732703E-2</v>
      </c>
      <c r="AA29" s="910">
        <v>6.5140074152247901E-2</v>
      </c>
      <c r="AB29" s="898">
        <v>6.5086835525467304E-2</v>
      </c>
      <c r="AC29" s="898">
        <v>6.6124396909204006E-2</v>
      </c>
      <c r="AD29" s="898">
        <v>6.7166260047415702E-2</v>
      </c>
      <c r="AE29" s="898">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900" t="str">
        <f t="shared" si="1"/>
        <v>LCVODS</v>
      </c>
      <c r="B33" s="900" t="str">
        <f t="shared" si="21"/>
        <v>TFLCVODS-E</v>
      </c>
      <c r="C33" s="900" t="s">
        <v>511</v>
      </c>
      <c r="D33" s="900" t="s">
        <v>527</v>
      </c>
      <c r="E33" s="900" t="s">
        <v>247</v>
      </c>
      <c r="F33" s="904">
        <f t="shared" si="2"/>
        <v>0.04</v>
      </c>
      <c r="G33" s="905">
        <f t="shared" si="3"/>
        <v>24753.4936084117</v>
      </c>
      <c r="H33" s="900">
        <v>40000</v>
      </c>
      <c r="I33" s="906">
        <v>24753.4936084117</v>
      </c>
      <c r="J33" s="906">
        <v>24428.944976716801</v>
      </c>
      <c r="K33" s="906">
        <v>19880.903653884601</v>
      </c>
      <c r="L33" s="906">
        <v>9810.8703686831195</v>
      </c>
      <c r="M33" s="906">
        <v>4777.2385942184001</v>
      </c>
      <c r="N33" s="906">
        <v>2310.21877327025</v>
      </c>
      <c r="O33" s="907">
        <f t="shared" si="4"/>
        <v>0.61883734021029246</v>
      </c>
      <c r="P33" s="907">
        <f t="shared" si="5"/>
        <v>0.61883734021029246</v>
      </c>
      <c r="Q33" s="907">
        <f t="shared" si="6"/>
        <v>0.61072362441792005</v>
      </c>
      <c r="R33" s="907">
        <f t="shared" si="7"/>
        <v>0.49702259134711502</v>
      </c>
      <c r="S33" s="907">
        <f t="shared" si="8"/>
        <v>0.245271759217078</v>
      </c>
      <c r="T33" s="907">
        <f t="shared" si="9"/>
        <v>0.11943096485546</v>
      </c>
      <c r="U33" s="907">
        <f t="shared" si="10"/>
        <v>5.7755469331756251E-2</v>
      </c>
      <c r="V33" s="908">
        <f t="shared" si="11"/>
        <v>11.124053535325499</v>
      </c>
      <c r="W33" s="898">
        <v>11.124053535325499</v>
      </c>
      <c r="X33" s="908">
        <f t="shared" si="0"/>
        <v>0.224634152664134</v>
      </c>
      <c r="Y33" s="909">
        <f t="shared" si="12"/>
        <v>0.224634152664134</v>
      </c>
      <c r="Z33" s="898">
        <v>0.224634152664134</v>
      </c>
      <c r="AA33" s="910">
        <v>0.23594563867169499</v>
      </c>
      <c r="AB33" s="898">
        <v>0.236416891901715</v>
      </c>
      <c r="AC33" s="898">
        <v>0.237476755649043</v>
      </c>
      <c r="AD33" s="898">
        <v>0.23820734864530901</v>
      </c>
      <c r="AE33" s="898">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5">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f>S65*GasolineLHV/DieselLHV</f>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f>'Vehicle data-proc2023'!G106</f>
        <v>0.86428571428571432</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19">
        <f>IF(eMode,$Z$57,$Y$57)</f>
        <v>1.4999999999999999E-2</v>
      </c>
      <c r="U57" s="179">
        <f>T57</f>
        <v>1.4999999999999999E-2</v>
      </c>
      <c r="V57" s="179">
        <f>U57</f>
        <v>1.4999999999999999E-2</v>
      </c>
      <c r="W57" s="179">
        <f>V57</f>
        <v>1.4999999999999999E-2</v>
      </c>
      <c r="X57" s="179">
        <f>W57</f>
        <v>1.4999999999999999E-2</v>
      </c>
      <c r="Y57" s="720">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1">
        <v>0.1</v>
      </c>
      <c r="AU57" s="179"/>
      <c r="AV57" s="179"/>
      <c r="AW57" s="722"/>
      <c r="AX57" s="722"/>
      <c r="AY57" s="722"/>
      <c r="BD57" s="61" t="s">
        <v>571</v>
      </c>
    </row>
    <row r="58" spans="1:69" x14ac:dyDescent="0.25">
      <c r="F58" s="723" t="str">
        <f>F16</f>
        <v>CapAct</v>
      </c>
      <c r="G58" s="724">
        <f>H16</f>
        <v>2012</v>
      </c>
      <c r="H58" s="724">
        <v>0</v>
      </c>
      <c r="I58" s="724">
        <v>5</v>
      </c>
      <c r="J58" s="724">
        <v>10</v>
      </c>
      <c r="K58" s="724">
        <v>30</v>
      </c>
      <c r="L58" s="724">
        <v>50</v>
      </c>
      <c r="M58" s="724">
        <v>0</v>
      </c>
      <c r="N58" s="724">
        <v>5</v>
      </c>
      <c r="O58" s="724">
        <v>10</v>
      </c>
      <c r="P58" s="724">
        <v>30</v>
      </c>
      <c r="Q58" s="724">
        <v>50</v>
      </c>
      <c r="R58" s="724"/>
      <c r="S58" s="724">
        <v>2006</v>
      </c>
      <c r="T58" s="725">
        <v>2012</v>
      </c>
      <c r="U58" s="724">
        <v>2020</v>
      </c>
      <c r="V58" s="724">
        <v>2030</v>
      </c>
      <c r="W58" s="724">
        <v>2040</v>
      </c>
      <c r="X58" s="724">
        <v>2050</v>
      </c>
      <c r="Y58" s="724"/>
      <c r="Z58" s="724">
        <f>S58</f>
        <v>2006</v>
      </c>
      <c r="AA58" s="724">
        <v>2017</v>
      </c>
      <c r="AB58" s="724">
        <f>U58</f>
        <v>2020</v>
      </c>
      <c r="AC58" s="724">
        <f>V58</f>
        <v>2030</v>
      </c>
      <c r="AD58" s="724">
        <f>W58</f>
        <v>2040</v>
      </c>
      <c r="AE58" s="724">
        <f>X58</f>
        <v>2050</v>
      </c>
      <c r="AF58" s="724"/>
      <c r="AG58" s="724"/>
      <c r="AH58" s="724" t="s">
        <v>495</v>
      </c>
      <c r="AI58" s="724" t="s">
        <v>570</v>
      </c>
      <c r="AJ58" s="724">
        <v>2006</v>
      </c>
      <c r="AK58" s="724">
        <v>2012</v>
      </c>
      <c r="AL58" s="724">
        <v>2020</v>
      </c>
      <c r="AM58" s="724">
        <v>2025</v>
      </c>
      <c r="AN58" s="724">
        <v>2030</v>
      </c>
      <c r="AO58" s="724">
        <v>2035</v>
      </c>
      <c r="AP58" s="724">
        <v>2040</v>
      </c>
      <c r="AQ58" s="724">
        <v>2050</v>
      </c>
      <c r="AR58" s="724"/>
      <c r="AS58" s="724"/>
      <c r="AT58" s="724" t="s">
        <v>353</v>
      </c>
      <c r="AU58" s="724">
        <v>2012</v>
      </c>
      <c r="AV58" s="724">
        <v>2020</v>
      </c>
      <c r="AW58" s="724">
        <v>2030</v>
      </c>
      <c r="AX58" s="724">
        <v>2040</v>
      </c>
      <c r="AY58" s="726">
        <v>2050</v>
      </c>
    </row>
    <row r="59" spans="1:69" x14ac:dyDescent="0.25">
      <c r="A59" s="61" t="str">
        <f t="shared" ref="A59:A90" si="31">RIGHT(D59,3)&amp;C59</f>
        <v>BUSODS</v>
      </c>
      <c r="B59" s="61" t="str">
        <f>D59&amp;C59&amp;"-N"</f>
        <v>TPPUBUSODS-N</v>
      </c>
      <c r="C59" s="61" t="s">
        <v>511</v>
      </c>
      <c r="D59" s="61" t="s">
        <v>565</v>
      </c>
      <c r="E59" s="61" t="s">
        <v>569</v>
      </c>
      <c r="F59" s="852">
        <f>INDEX($F$17:$F$49,MATCH($E59,$E$17:$E$49,0))</f>
        <v>0.06</v>
      </c>
      <c r="G59" s="853">
        <f>G17</f>
        <v>53296.583187381897</v>
      </c>
      <c r="H59" s="853">
        <f t="shared" ref="H59:L68" si="32">(EXP(-((H$58)*$F59))*G59)</f>
        <v>53296.583187381897</v>
      </c>
      <c r="I59" s="853">
        <f t="shared" si="32"/>
        <v>39483.079925291415</v>
      </c>
      <c r="J59" s="853">
        <f t="shared" si="32"/>
        <v>21668.773691830389</v>
      </c>
      <c r="K59" s="853">
        <f t="shared" si="32"/>
        <v>3581.8242003847272</v>
      </c>
      <c r="L59" s="853">
        <f t="shared" si="32"/>
        <v>178.32852634622401</v>
      </c>
      <c r="M59" s="853">
        <f t="shared" ref="M59:M90" si="33">H59/$G59</f>
        <v>1</v>
      </c>
      <c r="N59" s="853">
        <f t="shared" ref="N59:N90" si="34">I59/$G59</f>
        <v>0.74081822068171788</v>
      </c>
      <c r="O59" s="853">
        <f t="shared" ref="O59:O90" si="35">J59/$G59</f>
        <v>0.40656965974059905</v>
      </c>
      <c r="P59" s="853">
        <f t="shared" ref="P59:P90" si="36">K59/$G59</f>
        <v>6.720551273974977E-2</v>
      </c>
      <c r="Q59" s="853">
        <f t="shared" ref="Q59:Q90" si="37">L59/$G59</f>
        <v>3.3459654574712729E-3</v>
      </c>
      <c r="R59" s="853">
        <f t="shared" ref="R59:R90" si="38">M59/$G59</f>
        <v>1.8762928882029207E-5</v>
      </c>
      <c r="S59" s="211">
        <v>31.22</v>
      </c>
      <c r="T59" s="854">
        <f>W17</f>
        <v>40.788494972334703</v>
      </c>
      <c r="U59" s="853">
        <f>T59/((1+U$53)^(U$58-T$58))</f>
        <v>38.421758893352582</v>
      </c>
      <c r="V59" s="853">
        <f>U59/((1+V$53)^(V$58-U$58))</f>
        <v>35.655513403447067</v>
      </c>
      <c r="W59" s="853">
        <f>V59/((1+W$53)^(W$58-V$58))</f>
        <v>33.088428866366812</v>
      </c>
      <c r="X59" s="853">
        <f>W59/((1+X$53)^(X$58-W$58))</f>
        <v>30.70616632149715</v>
      </c>
      <c r="Y59" s="853"/>
      <c r="Z59" s="855">
        <f>(1/S59*100)/DieselLHV</f>
        <v>8.749755228366396E-2</v>
      </c>
      <c r="AA59" s="855">
        <f>1/SUMIFS('Vehicle data-proc2023'!AD$20:AD$117,'Vehicle data-proc2023'!$N$20:$N$117,Analytica!$C59,'Vehicle data-proc2023'!$Q$20:$Q$117,RIGHT(Analytica!$D59,3))</f>
        <v>6.4348339348895098E-2</v>
      </c>
      <c r="AB59" s="855">
        <f>1/SUMIFS('Vehicle data-proc2023'!AE$20:AE$117,'Vehicle data-proc2023'!$N$20:$N$117,Analytica!$C59,'Vehicle data-proc2023'!$Q$20:$Q$117,RIGHT(Analytica!$D59,3))</f>
        <v>6.5323297732971908E-2</v>
      </c>
      <c r="AC59" s="855">
        <f>1/SUMIFS('Vehicle data-proc2023'!AF$20:AF$117,'Vehicle data-proc2023'!$N$20:$N$117,Analytica!$C59,'Vehicle data-proc2023'!$Q$20:$Q$117,RIGHT(Analytica!$D59,3))</f>
        <v>7.043085277768743E-2</v>
      </c>
      <c r="AD59" s="855">
        <f>1/SUMIFS('Vehicle data-proc2023'!AG$20:AG$117,'Vehicle data-proc2023'!$N$20:$N$117,Analytica!$C59,'Vehicle data-proc2023'!$Q$20:$Q$117,RIGHT(Analytica!$D59,3))</f>
        <v>7.7877320574937056E-2</v>
      </c>
      <c r="AE59" s="855">
        <f>1/SUMIFS('Vehicle data-proc2023'!AH$20:AH$117,'Vehicle data-proc2023'!$N$20:$N$117,Analytica!$C59,'Vehicle data-proc2023'!$Q$20:$Q$117,RIGHT(Analytica!$D59,3))</f>
        <v>8.6111083718879447E-2</v>
      </c>
      <c r="AF59" s="855"/>
      <c r="AG59" s="211"/>
      <c r="AH59" s="856">
        <v>306.87549999999999</v>
      </c>
      <c r="AI59" s="856">
        <v>636.66302862985685</v>
      </c>
      <c r="AJ59" s="856"/>
      <c r="AK59" s="983"/>
      <c r="AL59" s="983"/>
      <c r="AM59" s="983"/>
      <c r="AN59" s="983"/>
      <c r="AO59" s="983"/>
      <c r="AP59" s="983"/>
      <c r="AQ59" s="983"/>
      <c r="AR59" s="984"/>
      <c r="AS59" s="984"/>
      <c r="AT59" s="985"/>
      <c r="AU59" s="986"/>
      <c r="AV59" s="986"/>
      <c r="AW59" s="986"/>
      <c r="AX59" s="986"/>
      <c r="AY59" s="987"/>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852">
        <f t="shared" ref="F60:G63" si="39">F59</f>
        <v>0.06</v>
      </c>
      <c r="G60" s="853">
        <f t="shared" si="39"/>
        <v>53296.583187381897</v>
      </c>
      <c r="H60" s="853">
        <f t="shared" si="32"/>
        <v>53296.583187381897</v>
      </c>
      <c r="I60" s="853">
        <f t="shared" si="32"/>
        <v>39483.079925291415</v>
      </c>
      <c r="J60" s="853">
        <f t="shared" si="32"/>
        <v>21668.773691830389</v>
      </c>
      <c r="K60" s="853">
        <f t="shared" si="32"/>
        <v>3581.8242003847272</v>
      </c>
      <c r="L60" s="853">
        <f t="shared" si="32"/>
        <v>178.32852634622401</v>
      </c>
      <c r="M60" s="853">
        <f t="shared" si="33"/>
        <v>1</v>
      </c>
      <c r="N60" s="853">
        <f t="shared" si="34"/>
        <v>0.74081822068171788</v>
      </c>
      <c r="O60" s="853">
        <f t="shared" si="35"/>
        <v>0.40656965974059905</v>
      </c>
      <c r="P60" s="853">
        <f t="shared" si="36"/>
        <v>6.720551273974977E-2</v>
      </c>
      <c r="Q60" s="853">
        <f t="shared" si="37"/>
        <v>3.3459654574712729E-3</v>
      </c>
      <c r="R60" s="853">
        <f t="shared" si="38"/>
        <v>1.8762928882029207E-5</v>
      </c>
      <c r="S60" s="211">
        <f>S$70/S$65*S59</f>
        <v>27.7780682039647</v>
      </c>
      <c r="T60" s="853">
        <f>S60/((1+T$57)^(T$58-S$58))</f>
        <v>25.404215399164865</v>
      </c>
      <c r="U60" s="853">
        <f>T60/((1+U$57)^(U$58-T$58))</f>
        <v>22.551604601274992</v>
      </c>
      <c r="V60" s="853">
        <f>U60/((1+V$57)^(V$58-U$58))</f>
        <v>19.431978707673903</v>
      </c>
      <c r="W60" s="853">
        <f>V60/((1+W$57)^(W$58-V$58))</f>
        <v>16.743899299925808</v>
      </c>
      <c r="X60" s="853">
        <f>W60/((1+X$57)^(X$58-W$58))</f>
        <v>14.427669358002095</v>
      </c>
      <c r="Y60" s="211"/>
      <c r="Z60" s="855">
        <f>(1/S60*100)/DieselLHV</f>
        <v>9.8339220792398485E-2</v>
      </c>
      <c r="AA60" s="855">
        <f>1/SUMIFS('Vehicle data-proc2023'!AD$20:AD$117,'Vehicle data-proc2023'!$N$20:$N$117,Analytica!$C60,'Vehicle data-proc2023'!$Q$20:$Q$117,RIGHT(Analytica!$D60,3))</f>
        <v>5.5955077694691387E-2</v>
      </c>
      <c r="AB60" s="855">
        <f>1/SUMIFS('Vehicle data-proc2023'!AE$20:AE$117,'Vehicle data-proc2023'!$N$20:$N$117,Analytica!$C60,'Vehicle data-proc2023'!$Q$20:$Q$117,RIGHT(Analytica!$D60,3))</f>
        <v>5.6802867593888626E-2</v>
      </c>
      <c r="AC60" s="855">
        <f>1/SUMIFS('Vehicle data-proc2023'!AF$20:AF$117,'Vehicle data-proc2023'!$N$20:$N$117,Analytica!$C60,'Vehicle data-proc2023'!$Q$20:$Q$117,RIGHT(Analytica!$D60,3))</f>
        <v>6.1244219806684722E-2</v>
      </c>
      <c r="AD60" s="855">
        <f>1/SUMIFS('Vehicle data-proc2023'!AG$20:AG$117,'Vehicle data-proc2023'!$N$20:$N$117,Analytica!$C60,'Vehicle data-proc2023'!$Q$20:$Q$117,RIGHT(Analytica!$D60,3))</f>
        <v>6.7719409195597449E-2</v>
      </c>
      <c r="AE60" s="855">
        <f>1/SUMIFS('Vehicle data-proc2023'!AH$20:AH$117,'Vehicle data-proc2023'!$N$20:$N$117,Analytica!$C60,'Vehicle data-proc2023'!$Q$20:$Q$117,RIGHT(Analytica!$D60,3))</f>
        <v>7.4879203233808214E-2</v>
      </c>
      <c r="AF60" s="855"/>
      <c r="AG60" s="211">
        <v>1</v>
      </c>
      <c r="AH60" s="856">
        <f>AH59*(1+$AR$57)</f>
        <v>337.56305000000003</v>
      </c>
      <c r="AI60" s="856">
        <f>AI59*(1+$AR$57)</f>
        <v>700.32933149284258</v>
      </c>
      <c r="AJ60" s="856"/>
      <c r="AK60" s="983"/>
      <c r="AL60" s="983" t="s">
        <v>1411</v>
      </c>
      <c r="AM60" s="983"/>
      <c r="AN60" s="983"/>
      <c r="AO60" s="983"/>
      <c r="AP60" s="983"/>
      <c r="AQ60" s="983"/>
      <c r="AR60" s="986"/>
      <c r="AS60" s="984"/>
      <c r="AT60" s="985"/>
      <c r="AU60" s="986"/>
      <c r="AV60" s="986"/>
      <c r="AW60" s="986"/>
      <c r="AX60" s="986"/>
      <c r="AY60" s="987"/>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852">
        <f t="shared" si="39"/>
        <v>0.06</v>
      </c>
      <c r="G61" s="853">
        <f t="shared" si="39"/>
        <v>53296.583187381897</v>
      </c>
      <c r="H61" s="853">
        <f t="shared" si="32"/>
        <v>53296.583187381897</v>
      </c>
      <c r="I61" s="853">
        <f t="shared" si="32"/>
        <v>39483.079925291415</v>
      </c>
      <c r="J61" s="853">
        <f t="shared" si="32"/>
        <v>21668.773691830389</v>
      </c>
      <c r="K61" s="853">
        <f t="shared" si="32"/>
        <v>3581.8242003847272</v>
      </c>
      <c r="L61" s="853">
        <f t="shared" si="32"/>
        <v>178.32852634622401</v>
      </c>
      <c r="M61" s="853">
        <f t="shared" si="33"/>
        <v>1</v>
      </c>
      <c r="N61" s="853">
        <f t="shared" si="34"/>
        <v>0.74081822068171788</v>
      </c>
      <c r="O61" s="853">
        <f t="shared" si="35"/>
        <v>0.40656965974059905</v>
      </c>
      <c r="P61" s="853">
        <f t="shared" si="36"/>
        <v>6.720551273974977E-2</v>
      </c>
      <c r="Q61" s="853">
        <f t="shared" si="37"/>
        <v>3.3459654574712729E-3</v>
      </c>
      <c r="R61" s="853">
        <f t="shared" si="38"/>
        <v>1.8762928882029207E-5</v>
      </c>
      <c r="S61" s="853">
        <f t="shared" ref="S61:X61" si="40">S60/1.95</f>
        <v>14.245163181520359</v>
      </c>
      <c r="T61" s="853">
        <f t="shared" si="40"/>
        <v>13.027802768802495</v>
      </c>
      <c r="U61" s="853">
        <f t="shared" si="40"/>
        <v>11.564925436551277</v>
      </c>
      <c r="V61" s="853">
        <f t="shared" si="40"/>
        <v>9.9651172859866168</v>
      </c>
      <c r="W61" s="853">
        <f t="shared" si="40"/>
        <v>8.5866150256029776</v>
      </c>
      <c r="X61" s="853">
        <f t="shared" si="40"/>
        <v>7.3988047989754335</v>
      </c>
      <c r="Y61" s="211"/>
      <c r="Z61" s="855">
        <f>(1/S61*100)/DieselLHV</f>
        <v>0.19176148054517705</v>
      </c>
      <c r="AA61" s="855">
        <f>1/SUMIFS('Vehicle data-proc2023'!AD$20:AD$117,'Vehicle data-proc2023'!$N$20:$N$117,Analytica!$C61,'Vehicle data-proc2023'!$Q$20:$Q$117,RIGHT(Analytica!$D61,3))</f>
        <v>0.13575248869333464</v>
      </c>
      <c r="AB61" s="855">
        <f>1/SUMIFS('Vehicle data-proc2023'!AE$20:AE$117,'Vehicle data-proc2023'!$N$20:$N$117,Analytica!$C61,'Vehicle data-proc2023'!$Q$20:$Q$117,RIGHT(Analytica!$D61,3))</f>
        <v>0.13780930986929765</v>
      </c>
      <c r="AC61" s="855">
        <f>1/SUMIFS('Vehicle data-proc2023'!AF$20:AF$117,'Vehicle data-proc2023'!$N$20:$N$117,Analytica!$C61,'Vehicle data-proc2023'!$Q$20:$Q$117,RIGHT(Analytica!$D61,3))</f>
        <v>0.14858446452711918</v>
      </c>
      <c r="AD61" s="855">
        <f>1/SUMIFS('Vehicle data-proc2023'!AG$20:AG$117,'Vehicle data-proc2023'!$N$20:$N$117,Analytica!$C61,'Vehicle data-proc2023'!$Q$20:$Q$117,RIGHT(Analytica!$D61,3))</f>
        <v>0.16429390700348931</v>
      </c>
      <c r="AE61" s="855">
        <f>1/SUMIFS('Vehicle data-proc2023'!AH$20:AH$117,'Vehicle data-proc2023'!$N$20:$N$117,Analytica!$C61,'Vehicle data-proc2023'!$Q$20:$Q$117,RIGHT(Analytica!$D61,3))</f>
        <v>0.18166426728646726</v>
      </c>
      <c r="AF61" s="855"/>
      <c r="AG61" s="211">
        <v>1</v>
      </c>
      <c r="AH61" s="856"/>
      <c r="AI61" s="856"/>
      <c r="AJ61" s="856"/>
      <c r="AK61" s="983"/>
      <c r="AL61" s="983"/>
      <c r="AM61" s="983"/>
      <c r="AN61" s="983"/>
      <c r="AO61" s="983"/>
      <c r="AP61" s="983"/>
      <c r="AQ61" s="983"/>
      <c r="AR61" s="986"/>
      <c r="AS61" s="984"/>
      <c r="AT61" s="985"/>
      <c r="AU61" s="986"/>
      <c r="AV61" s="986"/>
      <c r="AW61" s="986"/>
      <c r="AX61" s="986"/>
      <c r="AY61" s="987"/>
      <c r="BA61" s="164">
        <v>0</v>
      </c>
      <c r="BC61" s="166">
        <f>BC60-BC59</f>
        <v>0</v>
      </c>
      <c r="BD61" s="166">
        <f>BC61/5.5</f>
        <v>0</v>
      </c>
      <c r="BE61" s="61" t="s">
        <v>563</v>
      </c>
    </row>
    <row r="62" spans="1:69" ht="15.75" thickBot="1" x14ac:dyDescent="0.3">
      <c r="A62" s="61" t="str">
        <f t="shared" si="31"/>
        <v>BUSBGS</v>
      </c>
      <c r="B62" s="61" t="str">
        <f t="shared" ref="B62:B70" si="41">D62&amp;C62&amp;"-N"</f>
        <v>TPPUBUSBGS-N</v>
      </c>
      <c r="C62" s="61" t="s">
        <v>506</v>
      </c>
      <c r="D62" s="61" t="s">
        <v>565</v>
      </c>
      <c r="E62" s="61" t="s">
        <v>566</v>
      </c>
      <c r="F62" s="852">
        <f t="shared" si="39"/>
        <v>0.06</v>
      </c>
      <c r="G62" s="853">
        <f t="shared" si="39"/>
        <v>53296.583187381897</v>
      </c>
      <c r="H62" s="853">
        <f t="shared" si="32"/>
        <v>53296.583187381897</v>
      </c>
      <c r="I62" s="853">
        <f t="shared" si="32"/>
        <v>39483.079925291415</v>
      </c>
      <c r="J62" s="853">
        <f t="shared" si="32"/>
        <v>21668.773691830389</v>
      </c>
      <c r="K62" s="853">
        <f t="shared" si="32"/>
        <v>3581.8242003847272</v>
      </c>
      <c r="L62" s="853">
        <f t="shared" si="32"/>
        <v>178.32852634622401</v>
      </c>
      <c r="M62" s="853">
        <f t="shared" si="33"/>
        <v>1</v>
      </c>
      <c r="N62" s="853">
        <f t="shared" si="34"/>
        <v>0.74081822068171788</v>
      </c>
      <c r="O62" s="853">
        <f t="shared" si="35"/>
        <v>0.40656965974059905</v>
      </c>
      <c r="P62" s="853">
        <f t="shared" si="36"/>
        <v>6.720551273974977E-2</v>
      </c>
      <c r="Q62" s="853">
        <f t="shared" si="37"/>
        <v>3.3459654574712729E-3</v>
      </c>
      <c r="R62" s="853">
        <f t="shared" si="38"/>
        <v>1.8762928882029207E-5</v>
      </c>
      <c r="S62" s="853">
        <f>1/1.99706732856821 *100</f>
        <v>50.073424450689217</v>
      </c>
      <c r="T62" s="853">
        <f>S62</f>
        <v>50.073424450689217</v>
      </c>
      <c r="U62" s="853">
        <f>S62/((1+T$57)^(U$58-S$58))</f>
        <v>40.652073461414624</v>
      </c>
      <c r="V62" s="853">
        <f>T62/((1+U$57)^(V$58-T$58))</f>
        <v>38.301742543802312</v>
      </c>
      <c r="W62" s="853">
        <f>U62/((1+V$57)^(W$58-U$58))</f>
        <v>30.182961984560066</v>
      </c>
      <c r="X62" s="853">
        <f>V62/((1+W$57)^(X$58-V$58))</f>
        <v>28.437910805196189</v>
      </c>
      <c r="Y62" s="211"/>
      <c r="Z62" s="853">
        <f>(1/S62*100)/CV.LHV.E85</f>
        <v>8.6828034906075102E-2</v>
      </c>
      <c r="AA62" s="855">
        <f>1/SUMIFS('Vehicle data-proc2023'!AD$20:AD$117,'Vehicle data-proc2023'!$N$20:$N$117,Analytica!$C62,'Vehicle data-proc2023'!$Q$20:$Q$117,RIGHT(Analytica!$D62,3))</f>
        <v>6.4348339348895098E-2</v>
      </c>
      <c r="AB62" s="855">
        <f>1/SUMIFS('Vehicle data-proc2023'!AE$20:AE$117,'Vehicle data-proc2023'!$N$20:$N$117,Analytica!$C62,'Vehicle data-proc2023'!$Q$20:$Q$117,RIGHT(Analytica!$D62,3))</f>
        <v>6.5323297732971908E-2</v>
      </c>
      <c r="AC62" s="855">
        <f>1/SUMIFS('Vehicle data-proc2023'!AF$20:AF$117,'Vehicle data-proc2023'!$N$20:$N$117,Analytica!$C62,'Vehicle data-proc2023'!$Q$20:$Q$117,RIGHT(Analytica!$D62,3))</f>
        <v>7.043085277768743E-2</v>
      </c>
      <c r="AD62" s="855">
        <f>1/SUMIFS('Vehicle data-proc2023'!AG$20:AG$117,'Vehicle data-proc2023'!$N$20:$N$117,Analytica!$C62,'Vehicle data-proc2023'!$Q$20:$Q$117,RIGHT(Analytica!$D62,3))</f>
        <v>7.7877320574937056E-2</v>
      </c>
      <c r="AE62" s="855">
        <f>1/SUMIFS('Vehicle data-proc2023'!AH$20:AH$117,'Vehicle data-proc2023'!$N$20:$N$117,Analytica!$C62,'Vehicle data-proc2023'!$Q$20:$Q$117,RIGHT(Analytica!$D62,3))</f>
        <v>8.6111083718879447E-2</v>
      </c>
      <c r="AF62" s="855"/>
      <c r="AG62" s="211">
        <v>1</v>
      </c>
      <c r="AH62" s="856"/>
      <c r="AI62" s="856"/>
      <c r="AJ62" s="856"/>
      <c r="AK62" s="983"/>
      <c r="AL62" s="983"/>
      <c r="AM62" s="983"/>
      <c r="AN62" s="983"/>
      <c r="AO62" s="983"/>
      <c r="AP62" s="983"/>
      <c r="AQ62" s="983"/>
      <c r="AR62" s="986"/>
      <c r="AS62" s="984"/>
      <c r="AT62" s="985"/>
      <c r="AU62" s="986"/>
      <c r="AV62" s="986"/>
      <c r="AW62" s="986"/>
      <c r="AX62" s="986"/>
      <c r="AY62" s="987"/>
      <c r="BA62" s="164">
        <v>0</v>
      </c>
      <c r="BC62" s="166">
        <f>BC61-BC60</f>
        <v>0</v>
      </c>
      <c r="BD62" s="166">
        <f>BC62/5.5</f>
        <v>0</v>
      </c>
      <c r="BE62" s="61" t="s">
        <v>563</v>
      </c>
    </row>
    <row r="63" spans="1:69" x14ac:dyDescent="0.25">
      <c r="A63" s="61" t="str">
        <f t="shared" si="31"/>
        <v>BUSELC</v>
      </c>
      <c r="B63" s="61" t="str">
        <f t="shared" si="41"/>
        <v>TPPUBUSELC-N</v>
      </c>
      <c r="C63" s="61" t="s">
        <v>501</v>
      </c>
      <c r="D63" s="61" t="s">
        <v>565</v>
      </c>
      <c r="E63" t="s">
        <v>564</v>
      </c>
      <c r="F63" s="852">
        <f t="shared" si="39"/>
        <v>0.06</v>
      </c>
      <c r="G63" s="211">
        <f t="shared" si="39"/>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858"/>
      <c r="T63" s="859"/>
      <c r="U63" s="859"/>
      <c r="V63" s="859"/>
      <c r="W63" s="859"/>
      <c r="X63" s="860"/>
      <c r="Y63" s="211"/>
      <c r="Z63" s="855">
        <f>(AA63/AB63)*AA63</f>
        <v>0.20645474022958332</v>
      </c>
      <c r="AA63" s="855">
        <f>1/SUMIFS('Vehicle data-proc2023'!AD$20:AD$117,'Vehicle data-proc2023'!$N$20:$N$117,Analytica!$C63,'Vehicle data-proc2023'!$Q$20:$Q$117,RIGHT(Analytica!$D63,3))</f>
        <v>0.20958278956163948</v>
      </c>
      <c r="AB63" s="855">
        <f>1/SUMIFS('Vehicle data-proc2023'!AE$20:AE$117,'Vehicle data-proc2023'!$N$20:$N$117,Analytica!$C63,'Vehicle data-proc2023'!$Q$20:$Q$117,RIGHT(Analytica!$D63,3))</f>
        <v>0.21275823278067008</v>
      </c>
      <c r="AC63" s="855">
        <f>1/SUMIFS('Vehicle data-proc2023'!AF$20:AF$117,'Vehicle data-proc2023'!$N$20:$N$117,Analytica!$C63,'Vehicle data-proc2023'!$Q$20:$Q$117,RIGHT(Analytica!$D63,3))</f>
        <v>0.22939355926993843</v>
      </c>
      <c r="AD63" s="855">
        <f>1/SUMIFS('Vehicle data-proc2023'!AG$20:AG$117,'Vehicle data-proc2023'!$N$20:$N$117,Analytica!$C63,'Vehicle data-proc2023'!$Q$20:$Q$117,RIGHT(Analytica!$D63,3))</f>
        <v>0.25364673361942214</v>
      </c>
      <c r="AE63" s="855">
        <f>1/SUMIFS('Vehicle data-proc2023'!AH$20:AH$117,'Vehicle data-proc2023'!$N$20:$N$117,Analytica!$C63,'Vehicle data-proc2023'!$Q$20:$Q$117,RIGHT(Analytica!$D63,3))</f>
        <v>0.28046413195103725</v>
      </c>
      <c r="AF63" s="855"/>
      <c r="AG63" s="211">
        <f>AG62</f>
        <v>1</v>
      </c>
      <c r="AH63" s="211"/>
      <c r="AI63" s="211"/>
      <c r="AJ63" s="211"/>
      <c r="AK63" s="983"/>
      <c r="AL63" s="983"/>
      <c r="AM63" s="983"/>
      <c r="AN63" s="983"/>
      <c r="AO63" s="983"/>
      <c r="AP63" s="983"/>
      <c r="AQ63" s="983"/>
      <c r="AR63" s="986"/>
      <c r="AS63" s="984"/>
      <c r="AT63" s="985"/>
      <c r="AU63" s="986"/>
      <c r="AV63" s="986"/>
      <c r="AW63" s="986"/>
      <c r="AX63" s="986"/>
      <c r="AY63" s="987"/>
      <c r="BA63" s="74">
        <v>0</v>
      </c>
      <c r="BC63" s="61">
        <f>BC62-BC61</f>
        <v>0</v>
      </c>
      <c r="BD63" s="61">
        <f>BC63/5.5</f>
        <v>0</v>
      </c>
      <c r="BE63" s="61" t="s">
        <v>563</v>
      </c>
    </row>
    <row r="64" spans="1:69" x14ac:dyDescent="0.25">
      <c r="A64" s="61" t="str">
        <f t="shared" si="31"/>
        <v>CARODSH</v>
      </c>
      <c r="B64" s="61" t="str">
        <f t="shared" si="41"/>
        <v>TPPRCARODSH-N</v>
      </c>
      <c r="C64" s="61" t="s">
        <v>521</v>
      </c>
      <c r="D64" s="61" t="s">
        <v>554</v>
      </c>
      <c r="E64" s="61" t="s">
        <v>562</v>
      </c>
      <c r="F64" s="852">
        <f>INDEX($F$17:$F$49,MATCH($E64,$E$17:$E$49,0))</f>
        <v>2.2499999999999999E-2</v>
      </c>
      <c r="G64" s="853">
        <f>G65</f>
        <v>18220.3496192737</v>
      </c>
      <c r="H64" s="853">
        <f t="shared" si="32"/>
        <v>18220.3496192737</v>
      </c>
      <c r="I64" s="853">
        <f t="shared" si="32"/>
        <v>16281.656083172633</v>
      </c>
      <c r="J64" s="853">
        <f t="shared" si="32"/>
        <v>13001.166450675621</v>
      </c>
      <c r="K64" s="853">
        <f t="shared" si="32"/>
        <v>6619.6273737489537</v>
      </c>
      <c r="L64" s="853">
        <f t="shared" si="32"/>
        <v>2149.0783598804705</v>
      </c>
      <c r="M64" s="853">
        <f t="shared" si="33"/>
        <v>1</v>
      </c>
      <c r="N64" s="853">
        <f t="shared" si="34"/>
        <v>0.89359734710851568</v>
      </c>
      <c r="O64" s="853">
        <f t="shared" si="35"/>
        <v>0.71355197470650256</v>
      </c>
      <c r="P64" s="853">
        <f t="shared" si="36"/>
        <v>0.36330956935901132</v>
      </c>
      <c r="Q64" s="853">
        <f t="shared" si="37"/>
        <v>0.11794934810730252</v>
      </c>
      <c r="R64" s="853">
        <f t="shared" si="38"/>
        <v>5.4883688891578029E-5</v>
      </c>
      <c r="S64" s="211">
        <f>S65/1.3</f>
        <v>7.3486308598534613</v>
      </c>
      <c r="T64" s="853">
        <f>W20</f>
        <v>5.8008636405175897</v>
      </c>
      <c r="U64" s="853">
        <f>S64/((1+T$57)^(U$58-S$58))</f>
        <v>5.9659806540646843</v>
      </c>
      <c r="V64" s="853">
        <f t="shared" ref="V64:X67" si="42">U64/((1+V$57)^(V$58-U$58))</f>
        <v>5.1406900346960249</v>
      </c>
      <c r="W64" s="853">
        <f t="shared" si="42"/>
        <v>4.4295641513383455</v>
      </c>
      <c r="X64" s="853">
        <f t="shared" si="42"/>
        <v>3.8168102800195403</v>
      </c>
      <c r="Y64" s="211"/>
      <c r="Z64" s="855">
        <f>(1/S64*100)/DieselLHV</f>
        <v>0.37172551382591296</v>
      </c>
      <c r="AA64" s="855">
        <f>1/SUMIFS('Vehicle data-proc2023'!AD$20:AD$117,'Vehicle data-proc2023'!$N$20:$N$117,Analytica!$C64,'Vehicle data-proc2023'!$Q$20:$Q$117,RIGHT(Analytica!$D64,3))</f>
        <v>0.55933604555516125</v>
      </c>
      <c r="AB64" s="855">
        <f>1/SUMIFS('Vehicle data-proc2023'!AE$20:AE$117,'Vehicle data-proc2023'!$N$20:$N$117,Analytica!$C64,'Vehicle data-proc2023'!$Q$20:$Q$117,RIGHT(Analytica!$D64,3))</f>
        <v>0.56781069109610705</v>
      </c>
      <c r="AC64" s="855">
        <f>1/SUMIFS('Vehicle data-proc2023'!AF$20:AF$117,'Vehicle data-proc2023'!$N$20:$N$117,Analytica!$C64,'Vehicle data-proc2023'!$Q$20:$Q$117,RIGHT(Analytica!$D64,3))</f>
        <v>0.61220716923483232</v>
      </c>
      <c r="AD64" s="855">
        <f>1/SUMIFS('Vehicle data-proc2023'!AG$20:AG$117,'Vehicle data-proc2023'!$N$20:$N$117,Analytica!$C64,'Vehicle data-proc2023'!$Q$20:$Q$117,RIGHT(Analytica!$D64,3))</f>
        <v>0.67693421414712618</v>
      </c>
      <c r="AE64" s="855">
        <f>1/SUMIFS('Vehicle data-proc2023'!AH$20:AH$117,'Vehicle data-proc2023'!$N$20:$N$117,Analytica!$C64,'Vehicle data-proc2023'!$Q$20:$Q$117,RIGHT(Analytica!$D64,3))</f>
        <v>0.74850467833579759</v>
      </c>
      <c r="AF64" s="855"/>
      <c r="AG64" s="211">
        <v>1</v>
      </c>
      <c r="AH64" s="854">
        <f>AH66/AH67*AH65</f>
        <v>264.85293551850634</v>
      </c>
      <c r="AI64" s="854"/>
      <c r="AJ64" s="856"/>
      <c r="AK64" s="983"/>
      <c r="AL64" s="983"/>
      <c r="AM64" s="983"/>
      <c r="AN64" s="983"/>
      <c r="AO64" s="983"/>
      <c r="AP64" s="983"/>
      <c r="AQ64" s="983"/>
      <c r="AR64" s="986"/>
      <c r="AS64" s="984"/>
      <c r="AT64" s="985"/>
      <c r="AU64" s="986"/>
      <c r="AV64" s="986"/>
      <c r="AW64" s="986"/>
      <c r="AX64" s="986"/>
      <c r="AY64" s="987"/>
      <c r="BA64" s="164">
        <f t="shared" ref="BA64:BA117" si="43">SUMIF($E$17:$E$41,E64,$AR$17:$AR$41)/SUMIF($D$17:$D$41,D64,$AR$17:$AR$41)</f>
        <v>0</v>
      </c>
      <c r="BC64" s="166"/>
    </row>
    <row r="65" spans="1:57" x14ac:dyDescent="0.25">
      <c r="A65" s="61" t="str">
        <f t="shared" si="31"/>
        <v>CARODS</v>
      </c>
      <c r="B65" s="61" t="str">
        <f t="shared" si="41"/>
        <v>TPPRCARODS-N</v>
      </c>
      <c r="C65" s="61" t="s">
        <v>511</v>
      </c>
      <c r="D65" s="61" t="s">
        <v>554</v>
      </c>
      <c r="E65" s="61" t="s">
        <v>561</v>
      </c>
      <c r="F65" s="852">
        <f>INDEX($F$17:$F$49,MATCH($E65,$E$17:$E$49,0))</f>
        <v>2.2499999999999999E-2</v>
      </c>
      <c r="G65" s="853">
        <f>G18</f>
        <v>18220.3496192737</v>
      </c>
      <c r="H65" s="853">
        <f t="shared" si="32"/>
        <v>18220.3496192737</v>
      </c>
      <c r="I65" s="853">
        <f t="shared" si="32"/>
        <v>16281.656083172633</v>
      </c>
      <c r="J65" s="853">
        <f t="shared" si="32"/>
        <v>13001.166450675621</v>
      </c>
      <c r="K65" s="853">
        <f t="shared" si="32"/>
        <v>6619.6273737489537</v>
      </c>
      <c r="L65" s="853">
        <f t="shared" si="32"/>
        <v>2149.0783598804705</v>
      </c>
      <c r="M65" s="853">
        <f t="shared" si="33"/>
        <v>1</v>
      </c>
      <c r="N65" s="853">
        <f t="shared" si="34"/>
        <v>0.89359734710851568</v>
      </c>
      <c r="O65" s="853">
        <f t="shared" si="35"/>
        <v>0.71355197470650256</v>
      </c>
      <c r="P65" s="853">
        <f t="shared" si="36"/>
        <v>0.36330956935901132</v>
      </c>
      <c r="Q65" s="853">
        <f t="shared" si="37"/>
        <v>0.11794934810730252</v>
      </c>
      <c r="R65" s="853">
        <f t="shared" si="38"/>
        <v>5.4883688891578029E-5</v>
      </c>
      <c r="S65" s="211">
        <f>S67/$AD$55</f>
        <v>9.5532201178095004</v>
      </c>
      <c r="T65" s="854">
        <f>W18</f>
        <v>7.9055959462827703</v>
      </c>
      <c r="U65" s="853">
        <f>S65/((1+T$57)^(U$58-S$58))</f>
        <v>7.7557748502840909</v>
      </c>
      <c r="V65" s="853">
        <f t="shared" si="42"/>
        <v>6.6828970451048333</v>
      </c>
      <c r="W65" s="853">
        <f t="shared" si="42"/>
        <v>5.7584333967398491</v>
      </c>
      <c r="X65" s="853">
        <f t="shared" si="42"/>
        <v>4.9618533640254023</v>
      </c>
      <c r="Y65" s="853"/>
      <c r="Z65" s="855">
        <f>(1/S65*100)/DieselLHV</f>
        <v>0.28594270294300994</v>
      </c>
      <c r="AA65" s="855">
        <f>1/SUMIFS('Vehicle data-proc2023'!AD$20:AD$117,'Vehicle data-proc2023'!$N$20:$N$117,Analytica!$C65,'Vehicle data-proc2023'!$Q$20:$Q$117,RIGHT(Analytica!$D65,3))</f>
        <v>0.332001778720379</v>
      </c>
      <c r="AB65" s="855">
        <f>1/SUMIFS('Vehicle data-proc2023'!AE$20:AE$117,'Vehicle data-proc2023'!$N$20:$N$117,Analytica!$C65,'Vehicle data-proc2023'!$Q$20:$Q$117,RIGHT(Analytica!$D65,3))</f>
        <v>0.33703202380466663</v>
      </c>
      <c r="AC65" s="855">
        <f>1/SUMIFS('Vehicle data-proc2023'!AF$20:AF$117,'Vehicle data-proc2023'!$N$20:$N$117,Analytica!$C65,'Vehicle data-proc2023'!$Q$20:$Q$117,RIGHT(Analytica!$D65,3))</f>
        <v>0.36338417798480266</v>
      </c>
      <c r="AD65" s="855">
        <f>1/SUMIFS('Vehicle data-proc2023'!AG$20:AG$117,'Vehicle data-proc2023'!$N$20:$N$117,Analytica!$C65,'Vehicle data-proc2023'!$Q$20:$Q$117,RIGHT(Analytica!$D65,3))</f>
        <v>0.40180382608895143</v>
      </c>
      <c r="AE65" s="855">
        <f>1/SUMIFS('Vehicle data-proc2023'!AH$20:AH$117,'Vehicle data-proc2023'!$N$20:$N$117,Analytica!$C65,'Vehicle data-proc2023'!$Q$20:$Q$117,RIGHT(Analytica!$D65,3))</f>
        <v>0.4442854819795492</v>
      </c>
      <c r="AF65" s="855"/>
      <c r="AG65" s="211"/>
      <c r="AH65" s="856">
        <v>115.675</v>
      </c>
      <c r="AI65" s="856">
        <v>369.64159214636322</v>
      </c>
      <c r="AJ65" s="856"/>
      <c r="AK65" s="983"/>
      <c r="AL65" s="983"/>
      <c r="AM65" s="983"/>
      <c r="AN65" s="983"/>
      <c r="AO65" s="983"/>
      <c r="AP65" s="983"/>
      <c r="AQ65" s="983"/>
      <c r="AR65" s="986"/>
      <c r="AS65" s="984"/>
      <c r="AT65" s="985"/>
      <c r="AU65" s="986"/>
      <c r="AV65" s="986"/>
      <c r="AW65" s="986"/>
      <c r="AX65" s="986"/>
      <c r="AY65" s="987"/>
      <c r="BA65" s="164">
        <f t="shared" si="43"/>
        <v>5.950319541892235E-2</v>
      </c>
      <c r="BC65" s="166"/>
    </row>
    <row r="66" spans="1:57" x14ac:dyDescent="0.25">
      <c r="A66" s="61" t="str">
        <f t="shared" si="31"/>
        <v>CAROGSH</v>
      </c>
      <c r="B66" s="61" t="str">
        <f t="shared" si="41"/>
        <v>TPPRCAROGSH-N</v>
      </c>
      <c r="C66" s="61" t="s">
        <v>519</v>
      </c>
      <c r="D66" s="61" t="s">
        <v>554</v>
      </c>
      <c r="E66" s="61" t="s">
        <v>560</v>
      </c>
      <c r="F66" s="852">
        <f>INDEX($F$17:$F$49,MATCH($E66,$E$17:$E$49,0))</f>
        <v>0.02</v>
      </c>
      <c r="G66" s="853">
        <f>G21</f>
        <v>18345.381909407301</v>
      </c>
      <c r="H66" s="853">
        <f t="shared" si="32"/>
        <v>18345.381909407301</v>
      </c>
      <c r="I66" s="853">
        <f t="shared" si="32"/>
        <v>16599.587999791704</v>
      </c>
      <c r="J66" s="853">
        <f t="shared" si="32"/>
        <v>13590.593183853691</v>
      </c>
      <c r="K66" s="853">
        <f t="shared" si="32"/>
        <v>7458.6756807190668</v>
      </c>
      <c r="L66" s="853">
        <f t="shared" si="32"/>
        <v>2743.8934413019574</v>
      </c>
      <c r="M66" s="853">
        <f t="shared" si="33"/>
        <v>1</v>
      </c>
      <c r="N66" s="853">
        <f t="shared" si="34"/>
        <v>0.90483741803595952</v>
      </c>
      <c r="O66" s="853">
        <f t="shared" si="35"/>
        <v>0.74081822068171777</v>
      </c>
      <c r="P66" s="853">
        <f t="shared" si="36"/>
        <v>0.406569659740599</v>
      </c>
      <c r="Q66" s="853">
        <f t="shared" si="37"/>
        <v>0.14956861922263501</v>
      </c>
      <c r="R66" s="853">
        <f t="shared" si="38"/>
        <v>5.4509631085260292E-5</v>
      </c>
      <c r="S66" s="211">
        <f>S67/1.3</f>
        <v>6.4038461538461533</v>
      </c>
      <c r="T66" s="853">
        <f>W21</f>
        <v>6.0121796481091199</v>
      </c>
      <c r="U66" s="853">
        <f>S66/((1+T$57)^(U$58-S$58))</f>
        <v>5.1989578731152291</v>
      </c>
      <c r="V66" s="853">
        <f t="shared" si="42"/>
        <v>4.4797716383674562</v>
      </c>
      <c r="W66" s="853">
        <f t="shared" si="42"/>
        <v>3.8600724263796415</v>
      </c>
      <c r="X66" s="853">
        <f t="shared" si="42"/>
        <v>3.3260979218856819</v>
      </c>
      <c r="Y66" s="861"/>
      <c r="Z66" s="855">
        <f>AD57/S66</f>
        <v>0.45659694782501747</v>
      </c>
      <c r="AA66" s="855">
        <f>1/SUMIFS('Vehicle data-proc2023'!AD$20:AD$117,'Vehicle data-proc2023'!$N$20:$N$117,Analytica!$C66,'Vehicle data-proc2023'!$Q$20:$Q$117,RIGHT(Analytica!$D66,3))</f>
        <v>0.46703823969253455</v>
      </c>
      <c r="AB66" s="855">
        <f>1/SUMIFS('Vehicle data-proc2023'!AE$20:AE$117,'Vehicle data-proc2023'!$N$20:$N$117,Analytica!$C66,'Vehicle data-proc2023'!$Q$20:$Q$117,RIGHT(Analytica!$D66,3))</f>
        <v>0.47411445723101459</v>
      </c>
      <c r="AC66" s="855">
        <f>1/SUMIFS('Vehicle data-proc2023'!AF$20:AF$117,'Vehicle data-proc2023'!$N$20:$N$117,Analytica!$C66,'Vehicle data-proc2023'!$Q$20:$Q$117,RIGHT(Analytica!$D66,3))</f>
        <v>0.51118493241892826</v>
      </c>
      <c r="AD66" s="855">
        <f>1/SUMIFS('Vehicle data-proc2023'!AG$20:AG$117,'Vehicle data-proc2023'!$N$20:$N$117,Analytica!$C66,'Vehicle data-proc2023'!$Q$20:$Q$117,RIGHT(Analytica!$D66,3))</f>
        <v>0.56523116340397583</v>
      </c>
      <c r="AE66" s="855">
        <f>1/SUMIFS('Vehicle data-proc2023'!AH$20:AH$117,'Vehicle data-proc2023'!$N$20:$N$117,Analytica!$C66,'Vehicle data-proc2023'!$Q$20:$Q$117,RIGHT(Analytica!$D66,3))</f>
        <v>0.62499155945618812</v>
      </c>
      <c r="AF66" s="855"/>
      <c r="AG66" s="211">
        <v>1</v>
      </c>
      <c r="AH66" s="856">
        <v>230.30699999999999</v>
      </c>
      <c r="AI66" s="856">
        <v>574.98525193798446</v>
      </c>
      <c r="AJ66" s="856"/>
      <c r="AK66" s="983"/>
      <c r="AL66" s="983"/>
      <c r="AM66" s="983"/>
      <c r="AN66" s="983"/>
      <c r="AO66" s="983"/>
      <c r="AP66" s="983"/>
      <c r="AQ66" s="983"/>
      <c r="AR66" s="986"/>
      <c r="AS66" s="984"/>
      <c r="AT66" s="985"/>
      <c r="AU66" s="986"/>
      <c r="AV66" s="986"/>
      <c r="AW66" s="986"/>
      <c r="AX66" s="986"/>
      <c r="AY66" s="987"/>
      <c r="BA66" s="164">
        <f t="shared" si="43"/>
        <v>8.8338186721910602E-4</v>
      </c>
      <c r="BC66" s="166"/>
    </row>
    <row r="67" spans="1:57" x14ac:dyDescent="0.25">
      <c r="A67" s="61" t="str">
        <f t="shared" si="31"/>
        <v>CAROGS</v>
      </c>
      <c r="B67" s="61" t="str">
        <f t="shared" si="41"/>
        <v>TPPRCAROGS-N</v>
      </c>
      <c r="C67" s="61" t="s">
        <v>573</v>
      </c>
      <c r="D67" s="61" t="s">
        <v>554</v>
      </c>
      <c r="E67" s="61" t="s">
        <v>559</v>
      </c>
      <c r="F67" s="852">
        <f>INDEX($F$17:$F$49,MATCH($E67,$E$17:$E$49,0))</f>
        <v>1.9099999999999999E-2</v>
      </c>
      <c r="G67" s="862">
        <f>G22</f>
        <v>21358.407707781298</v>
      </c>
      <c r="H67" s="853">
        <f t="shared" si="32"/>
        <v>21358.407707781298</v>
      </c>
      <c r="I67" s="853">
        <f t="shared" si="32"/>
        <v>19413.048941287721</v>
      </c>
      <c r="J67" s="853">
        <f t="shared" si="32"/>
        <v>16037.752365771819</v>
      </c>
      <c r="K67" s="853">
        <f t="shared" si="32"/>
        <v>9042.5884447033513</v>
      </c>
      <c r="L67" s="853">
        <f t="shared" si="32"/>
        <v>3479.6978517162797</v>
      </c>
      <c r="M67" s="853">
        <f t="shared" si="33"/>
        <v>1</v>
      </c>
      <c r="N67" s="853">
        <f t="shared" si="34"/>
        <v>0.90891836165367124</v>
      </c>
      <c r="O67" s="853">
        <f t="shared" si="35"/>
        <v>0.75088707853109027</v>
      </c>
      <c r="P67" s="853">
        <f t="shared" si="36"/>
        <v>0.42337371626298503</v>
      </c>
      <c r="Q67" s="853">
        <f t="shared" si="37"/>
        <v>0.16291934770252353</v>
      </c>
      <c r="R67" s="853">
        <f t="shared" si="38"/>
        <v>4.6819969619536754E-5</v>
      </c>
      <c r="S67" s="211">
        <v>8.3249999999999993</v>
      </c>
      <c r="T67" s="854">
        <f>W19</f>
        <v>8.1935839212683703</v>
      </c>
      <c r="U67" s="853">
        <f>S67/((1+T$57)^(U$58-S$58))</f>
        <v>6.7586452350497979</v>
      </c>
      <c r="V67" s="853">
        <f t="shared" si="42"/>
        <v>5.8237031298776936</v>
      </c>
      <c r="W67" s="853">
        <f t="shared" si="42"/>
        <v>5.0180941542935349</v>
      </c>
      <c r="X67" s="853">
        <f t="shared" si="42"/>
        <v>4.3239272984513875</v>
      </c>
      <c r="Y67" s="863"/>
      <c r="Z67" s="855">
        <f>(1/S67*100)/GasolineLHV</f>
        <v>0.36237354673108862</v>
      </c>
      <c r="AA67" s="855">
        <f>1/SUMIFS('Vehicle data-proc2023'!AD$20:AD$117,'Vehicle data-proc2023'!$N$20:$N$117,Analytica!$C67,'Vehicle data-proc2023'!$Q$20:$Q$117,RIGHT(Analytica!$D67,3))</f>
        <v>0.35686173917097103</v>
      </c>
      <c r="AB67" s="855">
        <f>1/SUMIFS('Vehicle data-proc2023'!AE$20:AE$117,'Vehicle data-proc2023'!$N$20:$N$117,Analytica!$C67,'Vehicle data-proc2023'!$Q$20:$Q$117,RIGHT(Analytica!$D67,3))</f>
        <v>0.36226864396574021</v>
      </c>
      <c r="AC67" s="855">
        <f>1/SUMIFS('Vehicle data-proc2023'!AF$20:AF$117,'Vehicle data-proc2023'!$N$20:$N$117,Analytica!$C67,'Vehicle data-proc2023'!$Q$20:$Q$117,RIGHT(Analytica!$D67,3))</f>
        <v>0.39059402104013624</v>
      </c>
      <c r="AD67" s="855">
        <f>1/SUMIFS('Vehicle data-proc2023'!AG$20:AG$117,'Vehicle data-proc2023'!$N$20:$N$117,Analytica!$C67,'Vehicle data-proc2023'!$Q$20:$Q$117,RIGHT(Analytica!$D67,3))</f>
        <v>0.43189049388924888</v>
      </c>
      <c r="AE67" s="855">
        <f>1/SUMIFS('Vehicle data-proc2023'!AH$20:AH$117,'Vehicle data-proc2023'!$N$20:$N$117,Analytica!$C67,'Vehicle data-proc2023'!$Q$20:$Q$117,RIGHT(Analytica!$D67,3))</f>
        <v>0.47755313359682011</v>
      </c>
      <c r="AF67" s="855"/>
      <c r="AG67" s="211"/>
      <c r="AH67" s="856">
        <v>100.587</v>
      </c>
      <c r="AI67" s="856">
        <v>307.29171966885525</v>
      </c>
      <c r="AJ67" s="856"/>
      <c r="AK67" s="983"/>
      <c r="AL67" s="983"/>
      <c r="AM67" s="983"/>
      <c r="AN67" s="983"/>
      <c r="AO67" s="983"/>
      <c r="AP67" s="983"/>
      <c r="AQ67" s="983"/>
      <c r="AR67" s="986"/>
      <c r="AS67" s="984"/>
      <c r="AT67" s="985"/>
      <c r="AU67" s="986"/>
      <c r="AV67" s="986"/>
      <c r="AW67" s="986"/>
      <c r="AX67" s="986"/>
      <c r="AY67" s="987"/>
      <c r="BA67" s="164">
        <f t="shared" si="43"/>
        <v>0.93935153516915204</v>
      </c>
      <c r="BB67" s="61" t="s">
        <v>129</v>
      </c>
      <c r="BC67" s="166">
        <f>AJ67*1000</f>
        <v>0</v>
      </c>
    </row>
    <row r="68" spans="1:57" x14ac:dyDescent="0.25">
      <c r="A68" s="61" t="str">
        <f t="shared" si="31"/>
        <v>CARBGS</v>
      </c>
      <c r="B68" s="61" t="str">
        <f t="shared" si="41"/>
        <v>TPPRCARBGS-N</v>
      </c>
      <c r="C68" s="61" t="s">
        <v>506</v>
      </c>
      <c r="D68" s="61" t="s">
        <v>554</v>
      </c>
      <c r="E68" s="61" t="s">
        <v>558</v>
      </c>
      <c r="F68" s="852">
        <f>F67</f>
        <v>1.9099999999999999E-2</v>
      </c>
      <c r="G68" s="853">
        <f>G67</f>
        <v>21358.407707781298</v>
      </c>
      <c r="H68" s="853">
        <f t="shared" si="32"/>
        <v>21358.407707781298</v>
      </c>
      <c r="I68" s="853">
        <f t="shared" si="32"/>
        <v>19413.048941287721</v>
      </c>
      <c r="J68" s="853">
        <f t="shared" si="32"/>
        <v>16037.752365771819</v>
      </c>
      <c r="K68" s="853">
        <f t="shared" si="32"/>
        <v>9042.5884447033513</v>
      </c>
      <c r="L68" s="853">
        <f t="shared" si="32"/>
        <v>3479.6978517162797</v>
      </c>
      <c r="M68" s="853">
        <f t="shared" si="33"/>
        <v>1</v>
      </c>
      <c r="N68" s="853">
        <f t="shared" si="34"/>
        <v>0.90891836165367124</v>
      </c>
      <c r="O68" s="853">
        <f t="shared" si="35"/>
        <v>0.75088707853109027</v>
      </c>
      <c r="P68" s="853">
        <f t="shared" si="36"/>
        <v>0.42337371626298503</v>
      </c>
      <c r="Q68" s="853">
        <f t="shared" si="37"/>
        <v>0.16291934770252353</v>
      </c>
      <c r="R68" s="853">
        <f t="shared" si="38"/>
        <v>4.6819969619536754E-5</v>
      </c>
      <c r="S68" s="853">
        <v>14.625253296955835</v>
      </c>
      <c r="T68" s="853">
        <f>S68</f>
        <v>14.625253296955835</v>
      </c>
      <c r="U68" s="853">
        <f>S68/((1+T$57)^(U$58-S$58))</f>
        <v>11.873501322146176</v>
      </c>
      <c r="V68" s="853">
        <f>T68/((1+U$57)^(V$58-T$58))</f>
        <v>11.187025704014699</v>
      </c>
      <c r="W68" s="853">
        <f>U68/((1+V$57)^(W$58-U$58))</f>
        <v>8.8157234924343939</v>
      </c>
      <c r="X68" s="853">
        <f>V68/((1+W$57)^(X$58-V$58))</f>
        <v>8.3060356531398938</v>
      </c>
      <c r="Y68" s="211"/>
      <c r="Z68" s="853">
        <f>(1/S68*100)/CV.LHV.E85</f>
        <v>0.2972787518815912</v>
      </c>
      <c r="AA68" s="855">
        <f>1/SUMIFS('Vehicle data-proc2023'!AD$20:AD$117,'Vehicle data-proc2023'!$N$20:$N$117,Analytica!$C68,'Vehicle data-proc2023'!$Q$20:$Q$117,RIGHT(Analytica!$D68,3))</f>
        <v>0.35686173917097103</v>
      </c>
      <c r="AB68" s="855">
        <f>1/SUMIFS('Vehicle data-proc2023'!AE$20:AE$117,'Vehicle data-proc2023'!$N$20:$N$117,Analytica!$C68,'Vehicle data-proc2023'!$Q$20:$Q$117,RIGHT(Analytica!$D68,3))</f>
        <v>0.36226864396574021</v>
      </c>
      <c r="AC68" s="855">
        <f>1/SUMIFS('Vehicle data-proc2023'!AF$20:AF$117,'Vehicle data-proc2023'!$N$20:$N$117,Analytica!$C68,'Vehicle data-proc2023'!$Q$20:$Q$117,RIGHT(Analytica!$D68,3))</f>
        <v>0.39059402104013624</v>
      </c>
      <c r="AD68" s="855">
        <f>1/SUMIFS('Vehicle data-proc2023'!AG$20:AG$117,'Vehicle data-proc2023'!$N$20:$N$117,Analytica!$C68,'Vehicle data-proc2023'!$Q$20:$Q$117,RIGHT(Analytica!$D68,3))</f>
        <v>0.43189049388924888</v>
      </c>
      <c r="AE68" s="855">
        <f>1/SUMIFS('Vehicle data-proc2023'!AH$20:AH$117,'Vehicle data-proc2023'!$N$20:$N$117,Analytica!$C68,'Vehicle data-proc2023'!$Q$20:$Q$117,RIGHT(Analytica!$D68,3))</f>
        <v>0.47755313359682011</v>
      </c>
      <c r="AF68" s="855"/>
      <c r="AG68" s="211"/>
      <c r="AH68" s="856">
        <v>100.587</v>
      </c>
      <c r="AI68" s="856">
        <v>307.29171966885525</v>
      </c>
      <c r="AJ68" s="856"/>
      <c r="AK68" s="983"/>
      <c r="AL68" s="983"/>
      <c r="AM68" s="983"/>
      <c r="AN68" s="983"/>
      <c r="AO68" s="983"/>
      <c r="AP68" s="983"/>
      <c r="AQ68" s="983"/>
      <c r="AR68" s="986"/>
      <c r="AS68" s="984"/>
      <c r="AT68" s="985"/>
      <c r="AU68" s="986"/>
      <c r="AV68" s="986"/>
      <c r="AW68" s="986"/>
      <c r="AX68" s="986"/>
      <c r="AY68" s="987"/>
      <c r="BA68" s="164">
        <f t="shared" si="43"/>
        <v>0</v>
      </c>
      <c r="BB68" s="61" t="s">
        <v>557</v>
      </c>
      <c r="BC68" s="166">
        <f>AJ68*1000</f>
        <v>0</v>
      </c>
      <c r="BD68" s="166"/>
    </row>
    <row r="69" spans="1:57" x14ac:dyDescent="0.25">
      <c r="A69" s="61" t="str">
        <f t="shared" si="31"/>
        <v>CARELC</v>
      </c>
      <c r="B69" s="61" t="str">
        <f t="shared" si="41"/>
        <v>TPPRCARELC-N</v>
      </c>
      <c r="C69" s="61" t="s">
        <v>501</v>
      </c>
      <c r="D69" s="61" t="s">
        <v>554</v>
      </c>
      <c r="E69" s="61" t="s">
        <v>324</v>
      </c>
      <c r="F69" s="852">
        <f>F67</f>
        <v>1.9099999999999999E-2</v>
      </c>
      <c r="G69" s="853">
        <f>G68</f>
        <v>21358.407707781298</v>
      </c>
      <c r="H69" s="853">
        <v>20416.763999999999</v>
      </c>
      <c r="I69" s="853">
        <v>18473.85202240953</v>
      </c>
      <c r="J69" s="853">
        <v>15125.110778558552</v>
      </c>
      <c r="K69" s="853">
        <v>8300.8367924841114</v>
      </c>
      <c r="L69" s="853">
        <v>3053.7072004744027</v>
      </c>
      <c r="M69" s="853">
        <f t="shared" si="33"/>
        <v>0.95591227020925162</v>
      </c>
      <c r="N69" s="853">
        <f t="shared" si="34"/>
        <v>0.86494519044503182</v>
      </c>
      <c r="O69" s="853">
        <f t="shared" si="35"/>
        <v>0.70815722714423923</v>
      </c>
      <c r="P69" s="853">
        <f t="shared" si="36"/>
        <v>0.38864492644083898</v>
      </c>
      <c r="Q69" s="853">
        <f t="shared" si="37"/>
        <v>0.14297447835317217</v>
      </c>
      <c r="R69" s="853">
        <f t="shared" si="38"/>
        <v>4.4755783450139569E-5</v>
      </c>
      <c r="S69" s="864">
        <v>20</v>
      </c>
      <c r="T69" s="853">
        <f t="shared" ref="T69:X71" si="44">S69/((1+T$57)^(T$58-S$58))</f>
        <v>18.29084385035744</v>
      </c>
      <c r="U69" s="853">
        <f t="shared" si="44"/>
        <v>16.236985549669182</v>
      </c>
      <c r="V69" s="853">
        <f t="shared" si="44"/>
        <v>13.990878390096558</v>
      </c>
      <c r="W69" s="853">
        <f t="shared" si="44"/>
        <v>12.055481451756236</v>
      </c>
      <c r="X69" s="853">
        <f t="shared" si="44"/>
        <v>10.387813329612939</v>
      </c>
      <c r="Y69" s="853"/>
      <c r="Z69" s="855">
        <f>(AA69/AB69)*AA69</f>
        <v>1.7318475298874823</v>
      </c>
      <c r="AA69" s="855">
        <f>1/SUMIFS('Vehicle data-proc2023'!AD$20:AD$117,'Vehicle data-proc2023'!$N$20:$N$117,Analytica!$C69,'Vehicle data-proc2023'!$Q$20:$Q$117,RIGHT(Analytica!$D69,3))</f>
        <v>1.7580872011251758</v>
      </c>
      <c r="AB69" s="855">
        <f>1/SUMIFS('Vehicle data-proc2023'!AE$20:AE$117,'Vehicle data-proc2023'!$N$20:$N$117,Analytica!$C69,'Vehicle data-proc2023'!$Q$20:$Q$117,RIGHT(Analytica!$D69,3))</f>
        <v>1.7847244364294399</v>
      </c>
      <c r="AC69" s="855">
        <f>1/SUMIFS('Vehicle data-proc2023'!AF$20:AF$117,'Vehicle data-proc2023'!$N$20:$N$117,Analytica!$C69,'Vehicle data-proc2023'!$Q$20:$Q$117,RIGHT(Analytica!$D69,3))</f>
        <v>1.9242700291209607</v>
      </c>
      <c r="AD69" s="855">
        <f>1/SUMIFS('Vehicle data-proc2023'!AG$20:AG$117,'Vehicle data-proc2023'!$N$20:$N$117,Analytica!$C69,'Vehicle data-proc2023'!$Q$20:$Q$117,RIGHT(Analytica!$D69,3))</f>
        <v>2.1277180102250783</v>
      </c>
      <c r="AE69" s="855">
        <f>1/SUMIFS('Vehicle data-proc2023'!AH$20:AH$117,'Vehicle data-proc2023'!$N$20:$N$117,Analytica!$C69,'Vehicle data-proc2023'!$Q$20:$Q$117,RIGHT(Analytica!$D69,3))</f>
        <v>2.3526760083169105</v>
      </c>
      <c r="AF69" s="855"/>
      <c r="AG69" s="211">
        <v>1</v>
      </c>
      <c r="AH69" s="856">
        <f>176.03*1.5</f>
        <v>264.04500000000002</v>
      </c>
      <c r="AI69" s="856">
        <v>464.3</v>
      </c>
      <c r="AJ69" s="856"/>
      <c r="AK69" s="983"/>
      <c r="AL69" s="983"/>
      <c r="AM69" s="983"/>
      <c r="AN69" s="983"/>
      <c r="AO69" s="983"/>
      <c r="AP69" s="983"/>
      <c r="AQ69" s="983"/>
      <c r="AR69" s="986"/>
      <c r="AS69" s="984"/>
      <c r="AT69" s="985"/>
      <c r="AU69" s="986"/>
      <c r="AV69" s="986"/>
      <c r="AW69" s="986"/>
      <c r="AX69" s="986"/>
      <c r="AY69" s="987"/>
      <c r="BA69" s="164">
        <f t="shared" si="43"/>
        <v>2.6188754470654916E-4</v>
      </c>
      <c r="BC69" s="166"/>
      <c r="BD69" s="168">
        <f>(BC70-BC67)/5.55</f>
        <v>0</v>
      </c>
    </row>
    <row r="70" spans="1:57" x14ac:dyDescent="0.25">
      <c r="A70" s="61" t="str">
        <f t="shared" si="31"/>
        <v>CARGAS</v>
      </c>
      <c r="B70" s="61" t="str">
        <f t="shared" si="41"/>
        <v>TPPRCARGAS-N</v>
      </c>
      <c r="C70" s="61" t="s">
        <v>509</v>
      </c>
      <c r="D70" s="61" t="s">
        <v>554</v>
      </c>
      <c r="E70" s="61" t="s">
        <v>556</v>
      </c>
      <c r="F70" s="852">
        <f>F69</f>
        <v>1.9099999999999999E-2</v>
      </c>
      <c r="G70" s="853">
        <f>G69</f>
        <v>21358.407707781298</v>
      </c>
      <c r="H70" s="853">
        <v>20416.763999999999</v>
      </c>
      <c r="I70" s="853">
        <v>18473.85202240953</v>
      </c>
      <c r="J70" s="853">
        <v>15125.110778558552</v>
      </c>
      <c r="K70" s="853">
        <v>8300.8367924841114</v>
      </c>
      <c r="L70" s="853">
        <v>3053.7072004744027</v>
      </c>
      <c r="M70" s="853">
        <f t="shared" si="33"/>
        <v>0.95591227020925162</v>
      </c>
      <c r="N70" s="853">
        <f t="shared" si="34"/>
        <v>0.86494519044503182</v>
      </c>
      <c r="O70" s="853">
        <f t="shared" si="35"/>
        <v>0.70815722714423923</v>
      </c>
      <c r="P70" s="853">
        <f t="shared" si="36"/>
        <v>0.38864492644083898</v>
      </c>
      <c r="Q70" s="853">
        <f t="shared" si="37"/>
        <v>0.14297447835317217</v>
      </c>
      <c r="R70" s="853">
        <f t="shared" si="38"/>
        <v>4.4755783450139569E-5</v>
      </c>
      <c r="S70" s="211">
        <v>8.5</v>
      </c>
      <c r="T70" s="853">
        <f t="shared" si="44"/>
        <v>7.7736086364019128</v>
      </c>
      <c r="U70" s="853">
        <f t="shared" si="44"/>
        <v>6.9007188586094035</v>
      </c>
      <c r="V70" s="853">
        <f t="shared" si="44"/>
        <v>5.9461233157910387</v>
      </c>
      <c r="W70" s="853">
        <f t="shared" si="44"/>
        <v>5.1235796169964019</v>
      </c>
      <c r="X70" s="853">
        <f t="shared" si="44"/>
        <v>4.4148206650855002</v>
      </c>
      <c r="Y70" s="853"/>
      <c r="Z70" s="855">
        <f>Z67/S67*S70</f>
        <v>0.36999100867438478</v>
      </c>
      <c r="AA70" s="855">
        <f>1/SUMIFS('Vehicle data-proc2023'!AD$20:AD$117,'Vehicle data-proc2023'!$N$20:$N$117,Analytica!$C70,'Vehicle data-proc2023'!$Q$20:$Q$117,RIGHT(Analytica!$D70,3))</f>
        <v>0.35686173917097103</v>
      </c>
      <c r="AB70" s="855">
        <f>1/SUMIFS('Vehicle data-proc2023'!AE$20:AE$117,'Vehicle data-proc2023'!$N$20:$N$117,Analytica!$C70,'Vehicle data-proc2023'!$Q$20:$Q$117,RIGHT(Analytica!$D70,3))</f>
        <v>0.36226864396574021</v>
      </c>
      <c r="AC70" s="855">
        <f>1/SUMIFS('Vehicle data-proc2023'!AF$20:AF$117,'Vehicle data-proc2023'!$N$20:$N$117,Analytica!$C70,'Vehicle data-proc2023'!$Q$20:$Q$117,RIGHT(Analytica!$D70,3))</f>
        <v>0.39059402104013624</v>
      </c>
      <c r="AD70" s="855">
        <f>1/SUMIFS('Vehicle data-proc2023'!AG$20:AG$117,'Vehicle data-proc2023'!$N$20:$N$117,Analytica!$C70,'Vehicle data-proc2023'!$Q$20:$Q$117,RIGHT(Analytica!$D70,3))</f>
        <v>0.43189049388924888</v>
      </c>
      <c r="AE70" s="855">
        <f>1/SUMIFS('Vehicle data-proc2023'!AH$20:AH$117,'Vehicle data-proc2023'!$N$20:$N$117,Analytica!$C70,'Vehicle data-proc2023'!$Q$20:$Q$117,RIGHT(Analytica!$D70,3))</f>
        <v>0.47755313359682011</v>
      </c>
      <c r="AF70" s="855"/>
      <c r="AG70" s="211"/>
      <c r="AH70" s="856">
        <f>AH67*(1+$AR$57)</f>
        <v>110.64570000000002</v>
      </c>
      <c r="AI70" s="856">
        <f>AI67*(1+$AR$57)</f>
        <v>338.02089163574078</v>
      </c>
      <c r="AJ70" s="856"/>
      <c r="AK70" s="983"/>
      <c r="AL70" s="983"/>
      <c r="AM70" s="983"/>
      <c r="AN70" s="983"/>
      <c r="AO70" s="983"/>
      <c r="AP70" s="983"/>
      <c r="AQ70" s="983"/>
      <c r="AR70" s="986"/>
      <c r="AS70" s="984"/>
      <c r="AT70" s="985"/>
      <c r="AU70" s="986"/>
      <c r="AV70" s="986"/>
      <c r="AW70" s="986"/>
      <c r="AX70" s="986"/>
      <c r="AY70" s="987"/>
      <c r="BA70" s="164">
        <f t="shared" si="43"/>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852">
        <f>F70</f>
        <v>1.9099999999999999E-2</v>
      </c>
      <c r="G71" s="853">
        <f>G70</f>
        <v>21358.407707781298</v>
      </c>
      <c r="H71" s="853">
        <v>20416.763999999999</v>
      </c>
      <c r="I71" s="853">
        <v>18473.85202240953</v>
      </c>
      <c r="J71" s="853">
        <v>15125.110778558552</v>
      </c>
      <c r="K71" s="853">
        <v>8300.8367924841114</v>
      </c>
      <c r="L71" s="853">
        <v>3053.7072004744027</v>
      </c>
      <c r="M71" s="853">
        <f t="shared" si="33"/>
        <v>0.95591227020925162</v>
      </c>
      <c r="N71" s="853">
        <f t="shared" si="34"/>
        <v>0.86494519044503182</v>
      </c>
      <c r="O71" s="853">
        <f t="shared" si="35"/>
        <v>0.70815722714423923</v>
      </c>
      <c r="P71" s="853">
        <f t="shared" si="36"/>
        <v>0.38864492644083898</v>
      </c>
      <c r="Q71" s="853">
        <f t="shared" si="37"/>
        <v>0.14297447835317217</v>
      </c>
      <c r="R71" s="853">
        <f t="shared" si="38"/>
        <v>4.4755783450139569E-5</v>
      </c>
      <c r="S71" s="211">
        <f>S67/FuelCell!B39*(1+T57)^6</f>
        <v>4.7240246984327534</v>
      </c>
      <c r="T71" s="853">
        <f t="shared" si="44"/>
        <v>4.3203199052132701</v>
      </c>
      <c r="U71" s="853">
        <f t="shared" si="44"/>
        <v>3.8351960382366475</v>
      </c>
      <c r="V71" s="853">
        <f t="shared" si="44"/>
        <v>3.3046627533792616</v>
      </c>
      <c r="W71" s="853">
        <f t="shared" si="44"/>
        <v>2.8475196064797208</v>
      </c>
      <c r="X71" s="853">
        <f t="shared" si="44"/>
        <v>2.4536143365900256</v>
      </c>
      <c r="Y71" s="211"/>
      <c r="Z71" s="855">
        <f>(1/S71*100)/GasolineLHV</f>
        <v>0.63859949283016149</v>
      </c>
      <c r="AA71" s="855">
        <f>1/SUMIFS('Vehicle data-proc2023'!AD$20:AD$117,'Vehicle data-proc2023'!$N$20:$N$117,Analytica!$C71,'Vehicle data-proc2023'!$Q$20:$Q$117,RIGHT(Analytica!$D71,3))</f>
        <v>0.92039549793810016</v>
      </c>
      <c r="AB71" s="855">
        <f>1/SUMIFS('Vehicle data-proc2023'!AE$20:AE$117,'Vehicle data-proc2023'!$N$20:$N$117,Analytica!$C71,'Vehicle data-proc2023'!$Q$20:$Q$117,RIGHT(Analytica!$D71,3))</f>
        <v>0.93434064891574875</v>
      </c>
      <c r="AC71" s="855">
        <f>1/SUMIFS('Vehicle data-proc2023'!AF$20:AF$117,'Vehicle data-proc2023'!$N$20:$N$117,Analytica!$C71,'Vehicle data-proc2023'!$Q$20:$Q$117,RIGHT(Analytica!$D71,3))</f>
        <v>1.0073956914575406</v>
      </c>
      <c r="AD71" s="855">
        <f>1/SUMIFS('Vehicle data-proc2023'!AG$20:AG$117,'Vehicle data-proc2023'!$N$20:$N$117,Analytica!$C71,'Vehicle data-proc2023'!$Q$20:$Q$117,RIGHT(Analytica!$D71,3))</f>
        <v>1.1139049736780038</v>
      </c>
      <c r="AE71" s="855">
        <f>1/SUMIFS('Vehicle data-proc2023'!AH$20:AH$117,'Vehicle data-proc2023'!$N$20:$N$117,Analytica!$C71,'Vehicle data-proc2023'!$Q$20:$Q$117,RIGHT(Analytica!$D71,3))</f>
        <v>1.2316752006248683</v>
      </c>
      <c r="AF71" s="855"/>
      <c r="AG71" s="211"/>
      <c r="AH71" s="856"/>
      <c r="AI71" s="856"/>
      <c r="AJ71" s="856"/>
      <c r="AK71" s="983"/>
      <c r="AL71" s="983"/>
      <c r="AM71" s="983"/>
      <c r="AN71" s="983"/>
      <c r="AO71" s="983"/>
      <c r="AP71" s="983"/>
      <c r="AQ71" s="983"/>
      <c r="AR71" s="986"/>
      <c r="AS71" s="984"/>
      <c r="AT71" s="985"/>
      <c r="AU71" s="986"/>
      <c r="AV71" s="986"/>
      <c r="AW71" s="986"/>
      <c r="AX71" s="986"/>
      <c r="AY71" s="987"/>
      <c r="BA71" s="164">
        <f t="shared" si="43"/>
        <v>0</v>
      </c>
      <c r="BC71" s="166"/>
    </row>
    <row r="72" spans="1:57" x14ac:dyDescent="0.25">
      <c r="A72" s="61" t="str">
        <f t="shared" si="31"/>
        <v>CV1ODS</v>
      </c>
      <c r="B72" s="61" t="str">
        <f t="shared" ref="B72:B113" si="45">D72&amp;C72&amp;"-N"</f>
        <v>TFHCV1ODS-N</v>
      </c>
      <c r="C72" s="61" t="s">
        <v>511</v>
      </c>
      <c r="D72" s="61" t="s">
        <v>551</v>
      </c>
      <c r="E72" t="s">
        <v>266</v>
      </c>
      <c r="F72" s="852">
        <f t="shared" ref="F72:F81" si="46">INDEX($F$17:$F$49,MATCH($E72,$E$17:$E$49,0))</f>
        <v>5.5E-2</v>
      </c>
      <c r="G72" s="853">
        <f t="shared" ref="G72:G81" si="47">G23</f>
        <v>30805.1279861556</v>
      </c>
      <c r="H72" s="853">
        <f t="shared" ref="H72:L81" si="48">(EXP(-((H$58)*$F72))*G72)</f>
        <v>30805.1279861556</v>
      </c>
      <c r="I72" s="853">
        <f t="shared" si="48"/>
        <v>23398.716470661107</v>
      </c>
      <c r="J72" s="853">
        <f t="shared" si="48"/>
        <v>13499.885030894695</v>
      </c>
      <c r="K72" s="853">
        <f t="shared" si="48"/>
        <v>2592.6516865740127</v>
      </c>
      <c r="L72" s="853">
        <f t="shared" si="48"/>
        <v>165.74267717663977</v>
      </c>
      <c r="M72" s="853">
        <f t="shared" si="33"/>
        <v>1</v>
      </c>
      <c r="N72" s="853">
        <f t="shared" si="34"/>
        <v>0.75957212322496848</v>
      </c>
      <c r="O72" s="853">
        <f t="shared" si="35"/>
        <v>0.43823499246494918</v>
      </c>
      <c r="P72" s="853">
        <f t="shared" si="36"/>
        <v>8.4162990257310374E-2</v>
      </c>
      <c r="Q72" s="853">
        <f t="shared" si="37"/>
        <v>5.3803599599108187E-3</v>
      </c>
      <c r="R72" s="853">
        <f t="shared" si="38"/>
        <v>3.2462127748646868E-5</v>
      </c>
      <c r="S72" s="211">
        <v>14.46</v>
      </c>
      <c r="T72" s="856">
        <v>13.9</v>
      </c>
      <c r="U72" s="853">
        <f>T72/((1+U$53)^(U$58-T$58))</f>
        <v>13.093458068993115</v>
      </c>
      <c r="V72" s="853">
        <f>U72/((1+V$53)^(V$58-U$58))</f>
        <v>12.150770373951501</v>
      </c>
      <c r="W72" s="853">
        <f>V72/((1+W$53)^(W$58-V$58))</f>
        <v>11.275953220496399</v>
      </c>
      <c r="X72" s="853">
        <f>W72/((1+X$53)^(X$58-W$58))</f>
        <v>10.464120143641077</v>
      </c>
      <c r="Y72" s="211"/>
      <c r="Z72" s="855">
        <f t="shared" ref="Z72:Z81" si="49">SUMIF($AC$56:$AC$57,$C72,$AD$56:$AD$57)/S72</f>
        <v>0.17621385757647159</v>
      </c>
      <c r="AA72" s="855">
        <f>1/SUMIFS('Vehicle data-proc2023'!AD$20:AD$117,'Vehicle data-proc2023'!$N$20:$N$117,Analytica!$C72,'Vehicle data-proc2023'!$Q$20:$Q$117,RIGHT(Analytica!$D72,3))</f>
        <v>0.170324176066042</v>
      </c>
      <c r="AB72" s="855">
        <f>1/SUMIFS('Vehicle data-proc2023'!AE$20:AE$117,'Vehicle data-proc2023'!$N$20:$N$117,Analytica!$C72,'Vehicle data-proc2023'!$Q$20:$Q$117,RIGHT(Analytica!$D72,3))</f>
        <v>0.17083617224509673</v>
      </c>
      <c r="AC72" s="855">
        <f>1/SUMIFS('Vehicle data-proc2023'!AF$20:AF$117,'Vehicle data-proc2023'!$N$20:$N$117,Analytica!$C72,'Vehicle data-proc2023'!$Q$20:$Q$117,RIGHT(Analytica!$D72,3))</f>
        <v>0.18052275694934541</v>
      </c>
      <c r="AD72" s="855">
        <f>1/SUMIFS('Vehicle data-proc2023'!AG$20:AG$117,'Vehicle data-proc2023'!$N$20:$N$117,Analytica!$C72,'Vehicle data-proc2023'!$Q$20:$Q$117,RIGHT(Analytica!$D72,3))</f>
        <v>0.19960895061701436</v>
      </c>
      <c r="AE72" s="855">
        <f>1/SUMIFS('Vehicle data-proc2023'!AH$20:AH$117,'Vehicle data-proc2023'!$N$20:$N$117,Analytica!$C72,'Vehicle data-proc2023'!$Q$20:$Q$117,RIGHT(Analytica!$D72,3))</f>
        <v>0.22071307706432722</v>
      </c>
      <c r="AF72" s="855"/>
      <c r="AG72" s="211"/>
      <c r="AH72" s="856">
        <v>489.02730000000003</v>
      </c>
      <c r="AI72" s="865">
        <v>295.00710125625767</v>
      </c>
      <c r="AJ72" s="856"/>
      <c r="AK72" s="983"/>
      <c r="AL72" s="983"/>
      <c r="AM72" s="983"/>
      <c r="AN72" s="983"/>
      <c r="AO72" s="983"/>
      <c r="AP72" s="983"/>
      <c r="AQ72" s="983"/>
      <c r="AR72" s="986"/>
      <c r="AS72" s="984"/>
      <c r="AT72" s="985"/>
      <c r="AU72" s="986"/>
      <c r="AV72" s="986"/>
      <c r="AW72" s="986"/>
      <c r="AX72" s="986"/>
      <c r="AY72" s="987"/>
      <c r="BA72" s="164">
        <f t="shared" si="43"/>
        <v>1</v>
      </c>
      <c r="BB72" s="61" t="s">
        <v>477</v>
      </c>
      <c r="BC72" s="166">
        <f>AJ72*1000</f>
        <v>0</v>
      </c>
    </row>
    <row r="73" spans="1:57" s="167" customFormat="1" x14ac:dyDescent="0.25">
      <c r="A73" s="61" t="str">
        <f t="shared" si="31"/>
        <v>CV1OGS</v>
      </c>
      <c r="B73" s="167" t="str">
        <f t="shared" si="45"/>
        <v>TFHCV1OGS-N</v>
      </c>
      <c r="C73" s="167" t="s">
        <v>573</v>
      </c>
      <c r="D73" s="167" t="s">
        <v>551</v>
      </c>
      <c r="E73" s="173" t="s">
        <v>552</v>
      </c>
      <c r="F73" s="852">
        <f t="shared" si="46"/>
        <v>4.8000000000000001E-2</v>
      </c>
      <c r="G73" s="866">
        <f t="shared" si="47"/>
        <v>17100.2801251579</v>
      </c>
      <c r="H73" s="867">
        <f t="shared" si="48"/>
        <v>17100.2801251579</v>
      </c>
      <c r="I73" s="867">
        <f t="shared" si="48"/>
        <v>13451.556778491855</v>
      </c>
      <c r="J73" s="867">
        <f t="shared" si="48"/>
        <v>8323.5999284680747</v>
      </c>
      <c r="K73" s="867">
        <f t="shared" si="48"/>
        <v>1972.0918752186101</v>
      </c>
      <c r="L73" s="867">
        <f t="shared" si="48"/>
        <v>178.90413861851181</v>
      </c>
      <c r="M73" s="867">
        <f t="shared" si="33"/>
        <v>1</v>
      </c>
      <c r="N73" s="867">
        <f t="shared" si="34"/>
        <v>0.78662786106655347</v>
      </c>
      <c r="O73" s="867">
        <f t="shared" si="35"/>
        <v>0.48675225595997168</v>
      </c>
      <c r="P73" s="867">
        <f t="shared" si="36"/>
        <v>0.11532512103806254</v>
      </c>
      <c r="Q73" s="867">
        <f t="shared" si="37"/>
        <v>1.0462058943426802E-2</v>
      </c>
      <c r="R73" s="867">
        <f t="shared" si="38"/>
        <v>5.8478574191822851E-5</v>
      </c>
      <c r="S73" s="864">
        <f t="shared" ref="S73:X73" si="50">$AD$54*S72</f>
        <v>12.49757142857143</v>
      </c>
      <c r="T73" s="864">
        <f t="shared" si="50"/>
        <v>12.01357142857143</v>
      </c>
      <c r="U73" s="864">
        <f t="shared" si="50"/>
        <v>11.316488759629765</v>
      </c>
      <c r="V73" s="864">
        <f t="shared" si="50"/>
        <v>10.501737251772369</v>
      </c>
      <c r="W73" s="864">
        <f t="shared" si="50"/>
        <v>9.745645283429031</v>
      </c>
      <c r="X73" s="864">
        <f t="shared" si="50"/>
        <v>9.0439895527183598</v>
      </c>
      <c r="Y73" s="864"/>
      <c r="Z73" s="855">
        <f t="shared" si="49"/>
        <v>0.23396358443708967</v>
      </c>
      <c r="AA73" s="855">
        <f>1/SUMIFS('Vehicle data-proc2023'!AD$20:AD$117,'Vehicle data-proc2023'!$N$20:$N$117,Analytica!$C73,'Vehicle data-proc2023'!$Q$20:$Q$117,RIGHT(Analytica!$D73,3))</f>
        <v>0.14896435210389899</v>
      </c>
      <c r="AB73" s="855">
        <f>1/SUMIFS('Vehicle data-proc2023'!AE$20:AE$117,'Vehicle data-proc2023'!$N$20:$N$117,Analytica!$C73,'Vehicle data-proc2023'!$Q$20:$Q$117,RIGHT(Analytica!$D73,3))</f>
        <v>0.14941214043820444</v>
      </c>
      <c r="AC73" s="855">
        <f>1/SUMIFS('Vehicle data-proc2023'!AF$20:AF$117,'Vehicle data-proc2023'!$N$20:$N$117,Analytica!$C73,'Vehicle data-proc2023'!$Q$20:$Q$117,RIGHT(Analytica!$D73,3))</f>
        <v>0.15788396075106742</v>
      </c>
      <c r="AD73" s="855">
        <f>1/SUMIFS('Vehicle data-proc2023'!AG$20:AG$117,'Vehicle data-proc2023'!$N$20:$N$117,Analytica!$C73,'Vehicle data-proc2023'!$Q$20:$Q$117,RIGHT(Analytica!$D73,3))</f>
        <v>0.17457661436902142</v>
      </c>
      <c r="AE73" s="855">
        <f>1/SUMIFS('Vehicle data-proc2023'!AH$20:AH$117,'Vehicle data-proc2023'!$N$20:$N$117,Analytica!$C73,'Vehicle data-proc2023'!$Q$20:$Q$117,RIGHT(Analytica!$D73,3))</f>
        <v>0.19303413810730588</v>
      </c>
      <c r="AF73" s="855"/>
      <c r="AG73" s="864"/>
      <c r="AH73" s="868"/>
      <c r="AI73" s="865">
        <v>199.83569076305221</v>
      </c>
      <c r="AJ73" s="869"/>
      <c r="AK73" s="983"/>
      <c r="AL73" s="983"/>
      <c r="AM73" s="983"/>
      <c r="AN73" s="983"/>
      <c r="AO73" s="983"/>
      <c r="AP73" s="983"/>
      <c r="AQ73" s="983"/>
      <c r="AR73" s="986"/>
      <c r="AS73" s="985"/>
      <c r="AT73" s="985"/>
      <c r="AU73" s="986"/>
      <c r="AV73" s="986"/>
      <c r="AW73" s="986"/>
      <c r="AX73" s="986"/>
      <c r="AY73" s="987"/>
      <c r="BA73" s="172">
        <f t="shared" si="43"/>
        <v>0</v>
      </c>
      <c r="BC73" s="171"/>
    </row>
    <row r="74" spans="1:57" x14ac:dyDescent="0.25">
      <c r="A74" s="61" t="str">
        <f t="shared" si="31"/>
        <v>CV2ODS</v>
      </c>
      <c r="B74" s="61" t="str">
        <f t="shared" si="45"/>
        <v>TFHCV2ODS-N</v>
      </c>
      <c r="C74" s="61" t="s">
        <v>511</v>
      </c>
      <c r="D74" s="61" t="s">
        <v>549</v>
      </c>
      <c r="E74" t="s">
        <v>263</v>
      </c>
      <c r="F74" s="852">
        <f t="shared" si="46"/>
        <v>4.8000000000000001E-2</v>
      </c>
      <c r="G74" s="853">
        <f t="shared" si="47"/>
        <v>30096.280108149898</v>
      </c>
      <c r="H74" s="853">
        <f t="shared" si="48"/>
        <v>30096.280108149898</v>
      </c>
      <c r="I74" s="853">
        <f t="shared" si="48"/>
        <v>23674.572447533814</v>
      </c>
      <c r="J74" s="853">
        <f t="shared" si="48"/>
        <v>14649.432238645182</v>
      </c>
      <c r="K74" s="853">
        <f t="shared" si="48"/>
        <v>3470.8571462678206</v>
      </c>
      <c r="L74" s="853">
        <f t="shared" si="48"/>
        <v>314.86905646934775</v>
      </c>
      <c r="M74" s="853">
        <f t="shared" si="33"/>
        <v>1</v>
      </c>
      <c r="N74" s="853">
        <f t="shared" si="34"/>
        <v>0.78662786106655347</v>
      </c>
      <c r="O74" s="853">
        <f t="shared" si="35"/>
        <v>0.48675225595997162</v>
      </c>
      <c r="P74" s="853">
        <f t="shared" si="36"/>
        <v>0.11532512103806253</v>
      </c>
      <c r="Q74" s="853">
        <f t="shared" si="37"/>
        <v>1.04620589434268E-2</v>
      </c>
      <c r="R74" s="853">
        <f t="shared" si="38"/>
        <v>3.3226697665177755E-5</v>
      </c>
      <c r="S74" s="211">
        <v>22.685167417999999</v>
      </c>
      <c r="T74" s="856">
        <v>21.8</v>
      </c>
      <c r="U74" s="853">
        <f t="shared" ref="U74:X81" si="51">S74/((1+U$53)^(U$58-T$58))</f>
        <v>21.368869667314517</v>
      </c>
      <c r="V74" s="853">
        <f t="shared" si="51"/>
        <v>20.230468739150471</v>
      </c>
      <c r="W74" s="853">
        <f t="shared" si="51"/>
        <v>19.830378430990233</v>
      </c>
      <c r="X74" s="853">
        <f t="shared" si="51"/>
        <v>18.773938780080019</v>
      </c>
      <c r="Y74" s="211"/>
      <c r="Z74" s="855">
        <f t="shared" si="49"/>
        <v>0.1123223969920529</v>
      </c>
      <c r="AA74" s="855">
        <f>1/SUMIFS('Vehicle data-proc2023'!AD$20:AD$117,'Vehicle data-proc2023'!$N$20:$N$117,Analytica!$C74,'Vehicle data-proc2023'!$Q$20:$Q$117,RIGHT(Analytica!$D74,3))</f>
        <v>0.13643182834537301</v>
      </c>
      <c r="AB74" s="855">
        <f>1/SUMIFS('Vehicle data-proc2023'!AE$20:AE$117,'Vehicle data-proc2023'!$N$20:$N$117,Analytica!$C74,'Vehicle data-proc2023'!$Q$20:$Q$117,RIGHT(Analytica!$D74,3))</f>
        <v>0.13684194378774683</v>
      </c>
      <c r="AC74" s="855">
        <f>1/SUMIFS('Vehicle data-proc2023'!AF$20:AF$117,'Vehicle data-proc2023'!$N$20:$N$117,Analytica!$C74,'Vehicle data-proc2023'!$Q$20:$Q$117,RIGHT(Analytica!$D74,3))</f>
        <v>0.14460102116681806</v>
      </c>
      <c r="AD74" s="855">
        <f>1/SUMIFS('Vehicle data-proc2023'!AG$20:AG$117,'Vehicle data-proc2023'!$N$20:$N$117,Analytica!$C74,'Vehicle data-proc2023'!$Q$20:$Q$117,RIGHT(Analytica!$D74,3))</f>
        <v>0.15988930471162904</v>
      </c>
      <c r="AE74" s="855">
        <f>1/SUMIFS('Vehicle data-proc2023'!AH$20:AH$117,'Vehicle data-proc2023'!$N$20:$N$117,Analytica!$C74,'Vehicle data-proc2023'!$Q$20:$Q$117,RIGHT(Analytica!$D74,3))</f>
        <v>0.17679397804304392</v>
      </c>
      <c r="AF74" s="855"/>
      <c r="AG74" s="211"/>
      <c r="AH74" s="856"/>
      <c r="AI74" s="865">
        <v>381.46697397769515</v>
      </c>
      <c r="AJ74" s="856"/>
      <c r="AK74" s="983"/>
      <c r="AL74" s="983"/>
      <c r="AM74" s="983"/>
      <c r="AN74" s="983"/>
      <c r="AO74" s="983"/>
      <c r="AP74" s="983"/>
      <c r="AQ74" s="983"/>
      <c r="AR74" s="986"/>
      <c r="AS74" s="984"/>
      <c r="AT74" s="985"/>
      <c r="AU74" s="986"/>
      <c r="AV74" s="986"/>
      <c r="AW74" s="986"/>
      <c r="AX74" s="986"/>
      <c r="AY74" s="987"/>
      <c r="BA74" s="164">
        <f t="shared" si="43"/>
        <v>1</v>
      </c>
      <c r="BC74" s="166"/>
    </row>
    <row r="75" spans="1:57" x14ac:dyDescent="0.25">
      <c r="A75" s="61" t="str">
        <f t="shared" si="31"/>
        <v>CV3ODS</v>
      </c>
      <c r="B75" s="61" t="str">
        <f t="shared" si="45"/>
        <v>TFHCV3ODS-N</v>
      </c>
      <c r="C75" s="61" t="s">
        <v>511</v>
      </c>
      <c r="D75" s="61" t="s">
        <v>547</v>
      </c>
      <c r="E75" t="s">
        <v>261</v>
      </c>
      <c r="F75" s="852">
        <f t="shared" si="46"/>
        <v>8.4999999999999992E-2</v>
      </c>
      <c r="G75" s="853">
        <f t="shared" si="47"/>
        <v>54512.527353451602</v>
      </c>
      <c r="H75" s="853">
        <f t="shared" si="48"/>
        <v>54512.527353451602</v>
      </c>
      <c r="I75" s="853">
        <f t="shared" si="48"/>
        <v>35638.643294750975</v>
      </c>
      <c r="J75" s="853">
        <f t="shared" si="48"/>
        <v>15232.488298570934</v>
      </c>
      <c r="K75" s="853">
        <f t="shared" si="48"/>
        <v>1189.3780636954896</v>
      </c>
      <c r="L75" s="853">
        <f t="shared" si="48"/>
        <v>16.965566906785078</v>
      </c>
      <c r="M75" s="853">
        <f t="shared" si="33"/>
        <v>1</v>
      </c>
      <c r="N75" s="853">
        <f t="shared" si="34"/>
        <v>0.65376978512984729</v>
      </c>
      <c r="O75" s="853">
        <f t="shared" si="35"/>
        <v>0.27943096822140734</v>
      </c>
      <c r="P75" s="853">
        <f t="shared" si="36"/>
        <v>2.1818435531042773E-2</v>
      </c>
      <c r="Q75" s="853">
        <f t="shared" si="37"/>
        <v>3.112232679432145E-4</v>
      </c>
      <c r="R75" s="853">
        <f t="shared" si="38"/>
        <v>1.8344407213339054E-5</v>
      </c>
      <c r="S75" s="211">
        <v>23.101409021999999</v>
      </c>
      <c r="T75" s="856">
        <v>22.2</v>
      </c>
      <c r="U75" s="853">
        <f t="shared" si="51"/>
        <v>21.760959019008361</v>
      </c>
      <c r="V75" s="853">
        <f t="shared" si="51"/>
        <v>20.601670000419286</v>
      </c>
      <c r="W75" s="853">
        <f t="shared" si="51"/>
        <v>20.194238585687302</v>
      </c>
      <c r="X75" s="853">
        <f t="shared" si="51"/>
        <v>19.118414720998921</v>
      </c>
      <c r="Y75" s="211"/>
      <c r="Z75" s="855">
        <f t="shared" si="49"/>
        <v>0.11029857001922312</v>
      </c>
      <c r="AA75" s="855">
        <f>1/SUMIFS('Vehicle data-proc2023'!AD$20:AD$117,'Vehicle data-proc2023'!$N$20:$N$117,Analytica!$C75,'Vehicle data-proc2023'!$Q$20:$Q$117,RIGHT(Analytica!$D75,3))</f>
        <v>0.119281768417066</v>
      </c>
      <c r="AB75" s="855">
        <f>1/SUMIFS('Vehicle data-proc2023'!AE$20:AE$117,'Vehicle data-proc2023'!$N$20:$N$117,Analytica!$C75,'Vehicle data-proc2023'!$Q$20:$Q$117,RIGHT(Analytica!$D75,3))</f>
        <v>0.11964033060753712</v>
      </c>
      <c r="AC75" s="855">
        <f>1/SUMIFS('Vehicle data-proc2023'!AF$20:AF$117,'Vehicle data-proc2023'!$N$20:$N$117,Analytica!$C75,'Vehicle data-proc2023'!$Q$20:$Q$117,RIGHT(Analytica!$D75,3))</f>
        <v>0.12642405902549511</v>
      </c>
      <c r="AD75" s="855">
        <f>1/SUMIFS('Vehicle data-proc2023'!AG$20:AG$117,'Vehicle data-proc2023'!$N$20:$N$117,Analytica!$C75,'Vehicle data-proc2023'!$Q$20:$Q$117,RIGHT(Analytica!$D75,3))</f>
        <v>0.13979054043531805</v>
      </c>
      <c r="AE75" s="855">
        <f>1/SUMIFS('Vehicle data-proc2023'!AH$20:AH$117,'Vehicle data-proc2023'!$N$20:$N$117,Analytica!$C75,'Vehicle data-proc2023'!$Q$20:$Q$117,RIGHT(Analytica!$D75,3))</f>
        <v>0.15457022457456068</v>
      </c>
      <c r="AF75" s="855"/>
      <c r="AG75" s="211"/>
      <c r="AH75" s="856"/>
      <c r="AI75" s="865">
        <v>529.30025038783742</v>
      </c>
      <c r="AJ75" s="856"/>
      <c r="AK75" s="983"/>
      <c r="AL75" s="983"/>
      <c r="AM75" s="983"/>
      <c r="AN75" s="983"/>
      <c r="AO75" s="983"/>
      <c r="AP75" s="983"/>
      <c r="AQ75" s="983"/>
      <c r="AR75" s="986"/>
      <c r="AS75" s="984"/>
      <c r="AT75" s="985"/>
      <c r="AU75" s="986"/>
      <c r="AV75" s="986"/>
      <c r="AW75" s="986"/>
      <c r="AX75" s="986"/>
      <c r="AY75" s="987"/>
      <c r="BA75" s="164">
        <f t="shared" si="43"/>
        <v>1</v>
      </c>
      <c r="BC75" s="166"/>
    </row>
    <row r="76" spans="1:57" x14ac:dyDescent="0.25">
      <c r="A76" s="61" t="str">
        <f t="shared" si="31"/>
        <v>CV4ODS</v>
      </c>
      <c r="B76" s="61" t="str">
        <f t="shared" si="45"/>
        <v>TFHCV4ODS-N</v>
      </c>
      <c r="C76" s="61" t="s">
        <v>511</v>
      </c>
      <c r="D76" s="61" t="s">
        <v>545</v>
      </c>
      <c r="E76" t="s">
        <v>259</v>
      </c>
      <c r="F76" s="852">
        <f t="shared" si="46"/>
        <v>8.4999999999999992E-2</v>
      </c>
      <c r="G76" s="853">
        <f t="shared" si="47"/>
        <v>53608.118344618502</v>
      </c>
      <c r="H76" s="853">
        <f t="shared" si="48"/>
        <v>53608.118344618502</v>
      </c>
      <c r="I76" s="853">
        <f t="shared" si="48"/>
        <v>35047.36801137666</v>
      </c>
      <c r="J76" s="853">
        <f t="shared" si="48"/>
        <v>14979.768413564536</v>
      </c>
      <c r="K76" s="853">
        <f t="shared" si="48"/>
        <v>1169.6452740425702</v>
      </c>
      <c r="L76" s="853">
        <f t="shared" si="48"/>
        <v>16.684093779498756</v>
      </c>
      <c r="M76" s="853">
        <f t="shared" si="33"/>
        <v>1</v>
      </c>
      <c r="N76" s="853">
        <f t="shared" si="34"/>
        <v>0.65376978512984729</v>
      </c>
      <c r="O76" s="853">
        <f t="shared" si="35"/>
        <v>0.27943096822140734</v>
      </c>
      <c r="P76" s="853">
        <f t="shared" si="36"/>
        <v>2.1818435531042773E-2</v>
      </c>
      <c r="Q76" s="853">
        <f t="shared" si="37"/>
        <v>3.112232679432145E-4</v>
      </c>
      <c r="R76" s="853">
        <f t="shared" si="38"/>
        <v>1.8653891068728135E-5</v>
      </c>
      <c r="S76" s="211">
        <v>26.639462655999999</v>
      </c>
      <c r="T76" s="856">
        <v>25.6</v>
      </c>
      <c r="U76" s="853">
        <f t="shared" si="51"/>
        <v>25.093718508406038</v>
      </c>
      <c r="V76" s="853">
        <f t="shared" si="51"/>
        <v>23.756880721204226</v>
      </c>
      <c r="W76" s="853">
        <f t="shared" si="51"/>
        <v>23.287049900612381</v>
      </c>
      <c r="X76" s="853">
        <f t="shared" si="51"/>
        <v>22.046460218809568</v>
      </c>
      <c r="Y76" s="211"/>
      <c r="Z76" s="855">
        <f t="shared" si="49"/>
        <v>9.5649541188545045E-2</v>
      </c>
      <c r="AA76" s="855">
        <f>1/SUMIFS('Vehicle data-proc2023'!AD$20:AD$117,'Vehicle data-proc2023'!$N$20:$N$117,Analytica!$C76,'Vehicle data-proc2023'!$Q$20:$Q$117,RIGHT(Analytica!$D76,3))</f>
        <v>0.102511485821615</v>
      </c>
      <c r="AB76" s="855">
        <f>1/SUMIFS('Vehicle data-proc2023'!AE$20:AE$117,'Vehicle data-proc2023'!$N$20:$N$117,Analytica!$C76,'Vehicle data-proc2023'!$Q$20:$Q$117,RIGHT(Analytica!$D76,3))</f>
        <v>0.10281963637464944</v>
      </c>
      <c r="AC76" s="855">
        <f>1/SUMIFS('Vehicle data-proc2023'!AF$20:AF$117,'Vehicle data-proc2023'!$N$20:$N$117,Analytica!$C76,'Vehicle data-proc2023'!$Q$20:$Q$117,RIGHT(Analytica!$D76,3))</f>
        <v>0.10864961432319646</v>
      </c>
      <c r="AD76" s="855">
        <f>1/SUMIFS('Vehicle data-proc2023'!AG$20:AG$117,'Vehicle data-proc2023'!$N$20:$N$117,Analytica!$C76,'Vehicle data-proc2023'!$Q$20:$Q$117,RIGHT(Analytica!$D76,3))</f>
        <v>0.12013685070233035</v>
      </c>
      <c r="AE76" s="855">
        <f>1/SUMIFS('Vehicle data-proc2023'!AH$20:AH$117,'Vehicle data-proc2023'!$N$20:$N$117,Analytica!$C76,'Vehicle data-proc2023'!$Q$20:$Q$117,RIGHT(Analytica!$D76,3))</f>
        <v>0.13283860220378738</v>
      </c>
      <c r="AF76" s="855"/>
      <c r="AG76" s="211"/>
      <c r="AH76" s="856"/>
      <c r="AI76" s="865">
        <v>754.30982933884297</v>
      </c>
      <c r="AJ76" s="856"/>
      <c r="AK76" s="983"/>
      <c r="AL76" s="983"/>
      <c r="AM76" s="983"/>
      <c r="AN76" s="983"/>
      <c r="AO76" s="983"/>
      <c r="AP76" s="983"/>
      <c r="AQ76" s="983"/>
      <c r="AR76" s="986"/>
      <c r="AS76" s="984"/>
      <c r="AT76" s="985"/>
      <c r="AU76" s="986"/>
      <c r="AV76" s="986"/>
      <c r="AW76" s="986"/>
      <c r="AX76" s="986"/>
      <c r="AY76" s="987"/>
      <c r="BA76" s="164">
        <f t="shared" si="43"/>
        <v>1</v>
      </c>
      <c r="BC76" s="166"/>
    </row>
    <row r="77" spans="1:57" x14ac:dyDescent="0.25">
      <c r="A77" s="61" t="str">
        <f t="shared" si="31"/>
        <v>CV5ODS</v>
      </c>
      <c r="B77" s="61" t="str">
        <f t="shared" si="45"/>
        <v>TFHCV5ODS-N</v>
      </c>
      <c r="C77" s="61" t="s">
        <v>511</v>
      </c>
      <c r="D77" s="61" t="s">
        <v>543</v>
      </c>
      <c r="E77" t="s">
        <v>257</v>
      </c>
      <c r="F77" s="852">
        <f t="shared" si="46"/>
        <v>0.11</v>
      </c>
      <c r="G77" s="853">
        <f t="shared" si="47"/>
        <v>56756.7653972318</v>
      </c>
      <c r="H77" s="853">
        <f t="shared" si="48"/>
        <v>56756.7653972318</v>
      </c>
      <c r="I77" s="853">
        <f t="shared" si="48"/>
        <v>32745.805033742654</v>
      </c>
      <c r="J77" s="853">
        <f t="shared" si="48"/>
        <v>10900.131608147945</v>
      </c>
      <c r="K77" s="853">
        <f t="shared" si="48"/>
        <v>402.03137879886822</v>
      </c>
      <c r="L77" s="853">
        <f t="shared" si="48"/>
        <v>1.6430103562415428</v>
      </c>
      <c r="M77" s="853">
        <f t="shared" si="33"/>
        <v>1</v>
      </c>
      <c r="N77" s="853">
        <f t="shared" si="34"/>
        <v>0.57694981038048665</v>
      </c>
      <c r="O77" s="853">
        <f t="shared" si="35"/>
        <v>0.19204990862075411</v>
      </c>
      <c r="P77" s="853">
        <f t="shared" si="36"/>
        <v>7.0834089290521219E-3</v>
      </c>
      <c r="Q77" s="853">
        <f t="shared" si="37"/>
        <v>2.8948273298211554E-5</v>
      </c>
      <c r="R77" s="853">
        <f t="shared" si="38"/>
        <v>1.761904493677811E-5</v>
      </c>
      <c r="S77" s="211">
        <v>33.507449121999997</v>
      </c>
      <c r="T77" s="856">
        <v>32.200000000000003</v>
      </c>
      <c r="U77" s="853">
        <f t="shared" si="51"/>
        <v>31.563192811354469</v>
      </c>
      <c r="V77" s="853">
        <f t="shared" si="51"/>
        <v>29.88170153213969</v>
      </c>
      <c r="W77" s="853">
        <f t="shared" si="51"/>
        <v>29.29074245311401</v>
      </c>
      <c r="X77" s="853">
        <f t="shared" si="51"/>
        <v>27.730313243971409</v>
      </c>
      <c r="Y77" s="211"/>
      <c r="Z77" s="855">
        <f t="shared" si="49"/>
        <v>7.6044355727538926E-2</v>
      </c>
      <c r="AA77" s="855">
        <f>1/SUMIFS('Vehicle data-proc2023'!AD$20:AD$117,'Vehicle data-proc2023'!$N$20:$N$117,Analytica!$C77,'Vehicle data-proc2023'!$Q$20:$Q$117,RIGHT(Analytica!$D77,3))</f>
        <v>9.4439576839910805E-2</v>
      </c>
      <c r="AB77" s="855">
        <f>1/SUMIFS('Vehicle data-proc2023'!AE$20:AE$117,'Vehicle data-proc2023'!$N$20:$N$117,Analytica!$C77,'Vehicle data-proc2023'!$Q$20:$Q$117,RIGHT(Analytica!$D77,3))</f>
        <v>9.4723463153705931E-2</v>
      </c>
      <c r="AC77" s="855">
        <f>1/SUMIFS('Vehicle data-proc2023'!AF$20:AF$117,'Vehicle data-proc2023'!$N$20:$N$117,Analytica!$C77,'Vehicle data-proc2023'!$Q$20:$Q$117,RIGHT(Analytica!$D77,3))</f>
        <v>0.1000943798469327</v>
      </c>
      <c r="AD77" s="855">
        <f>1/SUMIFS('Vehicle data-proc2023'!AG$20:AG$117,'Vehicle data-proc2023'!$N$20:$N$117,Analytica!$C77,'Vehicle data-proc2023'!$Q$20:$Q$117,RIGHT(Analytica!$D77,3))</f>
        <v>0.11067709391073265</v>
      </c>
      <c r="AE77" s="855">
        <f>1/SUMIFS('Vehicle data-proc2023'!AH$20:AH$117,'Vehicle data-proc2023'!$N$20:$N$117,Analytica!$C77,'Vehicle data-proc2023'!$Q$20:$Q$117,RIGHT(Analytica!$D77,3))</f>
        <v>0.12237869034462585</v>
      </c>
      <c r="AF77" s="855"/>
      <c r="AG77" s="211"/>
      <c r="AH77" s="856"/>
      <c r="AI77" s="865">
        <v>822.6622572509458</v>
      </c>
      <c r="AJ77" s="856"/>
      <c r="AK77" s="983"/>
      <c r="AL77" s="983"/>
      <c r="AM77" s="983"/>
      <c r="AN77" s="983"/>
      <c r="AO77" s="983"/>
      <c r="AP77" s="983"/>
      <c r="AQ77" s="983"/>
      <c r="AR77" s="986"/>
      <c r="AS77" s="984"/>
      <c r="AT77" s="985"/>
      <c r="AU77" s="986"/>
      <c r="AV77" s="986"/>
      <c r="AW77" s="986"/>
      <c r="AX77" s="986"/>
      <c r="AY77" s="987"/>
      <c r="BA77" s="164">
        <f t="shared" si="43"/>
        <v>1</v>
      </c>
      <c r="BC77" s="166"/>
    </row>
    <row r="78" spans="1:57" x14ac:dyDescent="0.25">
      <c r="A78" s="61" t="str">
        <f t="shared" si="31"/>
        <v>CV6ODS</v>
      </c>
      <c r="B78" s="61" t="str">
        <f t="shared" si="45"/>
        <v>TFHCV6ODS-N</v>
      </c>
      <c r="C78" s="61" t="s">
        <v>511</v>
      </c>
      <c r="D78" s="61" t="s">
        <v>541</v>
      </c>
      <c r="E78" t="s">
        <v>255</v>
      </c>
      <c r="F78" s="852">
        <f t="shared" si="46"/>
        <v>0.11</v>
      </c>
      <c r="G78" s="853">
        <f t="shared" si="47"/>
        <v>64512.330335483297</v>
      </c>
      <c r="H78" s="853">
        <f t="shared" si="48"/>
        <v>64512.330335483297</v>
      </c>
      <c r="I78" s="853">
        <f t="shared" si="48"/>
        <v>37220.376754260404</v>
      </c>
      <c r="J78" s="853">
        <f t="shared" si="48"/>
        <v>12389.587145841469</v>
      </c>
      <c r="K78" s="853">
        <f t="shared" si="48"/>
        <v>456.96721673232241</v>
      </c>
      <c r="L78" s="853">
        <f t="shared" si="48"/>
        <v>1.8675205696560742</v>
      </c>
      <c r="M78" s="853">
        <f t="shared" si="33"/>
        <v>1</v>
      </c>
      <c r="N78" s="853">
        <f t="shared" si="34"/>
        <v>0.57694981038048665</v>
      </c>
      <c r="O78" s="853">
        <f t="shared" si="35"/>
        <v>0.19204990862075411</v>
      </c>
      <c r="P78" s="853">
        <f t="shared" si="36"/>
        <v>7.0834089290521211E-3</v>
      </c>
      <c r="Q78" s="853">
        <f t="shared" si="37"/>
        <v>2.8948273298211551E-5</v>
      </c>
      <c r="R78" s="853">
        <f t="shared" si="38"/>
        <v>1.5500912690639181E-5</v>
      </c>
      <c r="S78" s="211">
        <v>32.258724309999998</v>
      </c>
      <c r="T78" s="856">
        <v>31</v>
      </c>
      <c r="U78" s="853">
        <f t="shared" si="51"/>
        <v>30.386924756272936</v>
      </c>
      <c r="V78" s="853">
        <f t="shared" si="51"/>
        <v>28.76809774833324</v>
      </c>
      <c r="W78" s="853">
        <f t="shared" si="51"/>
        <v>28.199161989022805</v>
      </c>
      <c r="X78" s="853">
        <f t="shared" si="51"/>
        <v>26.696885421214709</v>
      </c>
      <c r="Y78" s="211"/>
      <c r="Z78" s="855">
        <f t="shared" si="49"/>
        <v>7.8988008207314622E-2</v>
      </c>
      <c r="AA78" s="855">
        <f>1/SUMIFS('Vehicle data-proc2023'!AD$20:AD$117,'Vehicle data-proc2023'!$N$20:$N$117,Analytica!$C78,'Vehicle data-proc2023'!$Q$20:$Q$117,RIGHT(Analytica!$D78,3))</f>
        <v>6.5140074152247901E-2</v>
      </c>
      <c r="AB78" s="855">
        <f>1/SUMIFS('Vehicle data-proc2023'!AE$20:AE$117,'Vehicle data-proc2023'!$N$20:$N$117,Analytica!$C78,'Vehicle data-proc2023'!$Q$20:$Q$117,RIGHT(Analytica!$D78,3))</f>
        <v>6.5335885867528767E-2</v>
      </c>
      <c r="AC78" s="855">
        <f>1/SUMIFS('Vehicle data-proc2023'!AF$20:AF$117,'Vehicle data-proc2023'!$N$20:$N$117,Analytica!$C78,'Vehicle data-proc2023'!$Q$20:$Q$117,RIGHT(Analytica!$D78,3))</f>
        <v>6.9040497041882143E-2</v>
      </c>
      <c r="AD78" s="855">
        <f>1/SUMIFS('Vehicle data-proc2023'!AG$20:AG$117,'Vehicle data-proc2023'!$N$20:$N$117,Analytica!$C78,'Vehicle data-proc2023'!$Q$20:$Q$117,RIGHT(Analytica!$D78,3))</f>
        <v>7.6339966204228477E-2</v>
      </c>
      <c r="AE78" s="855">
        <f>1/SUMIFS('Vehicle data-proc2023'!AH$20:AH$117,'Vehicle data-proc2023'!$N$20:$N$117,Analytica!$C78,'Vehicle data-proc2023'!$Q$20:$Q$117,RIGHT(Analytica!$D78,3))</f>
        <v>8.4411188936363318E-2</v>
      </c>
      <c r="AF78" s="855"/>
      <c r="AG78" s="211"/>
      <c r="AH78" s="856"/>
      <c r="AI78" s="865">
        <v>1063.2917933651609</v>
      </c>
      <c r="AJ78" s="856"/>
      <c r="AK78" s="983"/>
      <c r="AL78" s="983"/>
      <c r="AM78" s="983"/>
      <c r="AN78" s="983"/>
      <c r="AO78" s="983"/>
      <c r="AP78" s="983"/>
      <c r="AQ78" s="983"/>
      <c r="AR78" s="986"/>
      <c r="AS78" s="984"/>
      <c r="AT78" s="985"/>
      <c r="AU78" s="986"/>
      <c r="AV78" s="986"/>
      <c r="AW78" s="986"/>
      <c r="AX78" s="986"/>
      <c r="AY78" s="987"/>
      <c r="BA78" s="164">
        <f t="shared" si="43"/>
        <v>1</v>
      </c>
      <c r="BC78" s="166"/>
    </row>
    <row r="79" spans="1:57" x14ac:dyDescent="0.25">
      <c r="A79" s="61" t="str">
        <f t="shared" si="31"/>
        <v>CV7ODS</v>
      </c>
      <c r="B79" s="61" t="str">
        <f t="shared" si="45"/>
        <v>TFHCV7ODS-N</v>
      </c>
      <c r="C79" s="61" t="s">
        <v>511</v>
      </c>
      <c r="D79" s="61" t="s">
        <v>539</v>
      </c>
      <c r="E79" t="s">
        <v>253</v>
      </c>
      <c r="F79" s="852">
        <f t="shared" si="46"/>
        <v>0.16</v>
      </c>
      <c r="G79" s="853">
        <f t="shared" si="47"/>
        <v>92421.691229504097</v>
      </c>
      <c r="H79" s="853">
        <f t="shared" si="48"/>
        <v>92421.691229504097</v>
      </c>
      <c r="I79" s="853">
        <f t="shared" si="48"/>
        <v>41527.742782114779</v>
      </c>
      <c r="J79" s="853">
        <f t="shared" si="48"/>
        <v>8384.3066678866562</v>
      </c>
      <c r="K79" s="853">
        <f t="shared" si="48"/>
        <v>69.000723058119178</v>
      </c>
      <c r="L79" s="853">
        <f t="shared" si="48"/>
        <v>2.3147163884250102E-2</v>
      </c>
      <c r="M79" s="853">
        <f t="shared" si="33"/>
        <v>1</v>
      </c>
      <c r="N79" s="853">
        <f t="shared" si="34"/>
        <v>0.44932896411722156</v>
      </c>
      <c r="O79" s="853">
        <f t="shared" si="35"/>
        <v>9.0717953289412484E-2</v>
      </c>
      <c r="P79" s="853">
        <f t="shared" si="36"/>
        <v>7.4658580837667942E-4</v>
      </c>
      <c r="Q79" s="853">
        <f t="shared" si="37"/>
        <v>2.5045163723276199E-7</v>
      </c>
      <c r="R79" s="853">
        <f t="shared" si="38"/>
        <v>1.0819970795781829E-5</v>
      </c>
      <c r="S79" s="211">
        <v>38.190167166999998</v>
      </c>
      <c r="T79" s="856">
        <v>36.700000000000003</v>
      </c>
      <c r="U79" s="853">
        <f t="shared" si="51"/>
        <v>35.974198017910219</v>
      </c>
      <c r="V79" s="853">
        <f t="shared" si="51"/>
        <v>34.057715721413871</v>
      </c>
      <c r="W79" s="853">
        <f t="shared" si="51"/>
        <v>33.384169193456032</v>
      </c>
      <c r="X79" s="853">
        <f t="shared" si="51"/>
        <v>31.605667579309028</v>
      </c>
      <c r="Y79" s="211"/>
      <c r="Z79" s="855">
        <f t="shared" si="49"/>
        <v>6.6720115924434692E-2</v>
      </c>
      <c r="AA79" s="855">
        <f>1/SUMIFS('Vehicle data-proc2023'!AD$20:AD$117,'Vehicle data-proc2023'!$N$20:$N$117,Analytica!$C79,'Vehicle data-proc2023'!$Q$20:$Q$117,RIGHT(Analytica!$D79,3))</f>
        <v>7.0317841528990704E-2</v>
      </c>
      <c r="AB79" s="855">
        <f>1/SUMIFS('Vehicle data-proc2023'!AE$20:AE$117,'Vehicle data-proc2023'!$N$20:$N$117,Analytica!$C79,'Vehicle data-proc2023'!$Q$20:$Q$117,RIGHT(Analytica!$D79,3))</f>
        <v>7.0529217664861518E-2</v>
      </c>
      <c r="AC79" s="855">
        <f>1/SUMIFS('Vehicle data-proc2023'!AF$20:AF$117,'Vehicle data-proc2023'!$N$20:$N$117,Analytica!$C79,'Vehicle data-proc2023'!$Q$20:$Q$117,RIGHT(Analytica!$D79,3))</f>
        <v>7.4528296033668062E-2</v>
      </c>
      <c r="AD79" s="855">
        <f>1/SUMIFS('Vehicle data-proc2023'!AG$20:AG$117,'Vehicle data-proc2023'!$N$20:$N$117,Analytica!$C79,'Vehicle data-proc2023'!$Q$20:$Q$117,RIGHT(Analytica!$D79,3))</f>
        <v>8.2407975669954003E-2</v>
      </c>
      <c r="AE79" s="855">
        <f>1/SUMIFS('Vehicle data-proc2023'!AH$20:AH$117,'Vehicle data-proc2023'!$N$20:$N$117,Analytica!$C79,'Vehicle data-proc2023'!$Q$20:$Q$117,RIGHT(Analytica!$D79,3))</f>
        <v>9.1120752994968135E-2</v>
      </c>
      <c r="AF79" s="855"/>
      <c r="AG79" s="211"/>
      <c r="AH79" s="856"/>
      <c r="AI79" s="865">
        <v>1190.3888460069998</v>
      </c>
      <c r="AJ79" s="856"/>
      <c r="AK79" s="983"/>
      <c r="AL79" s="983"/>
      <c r="AM79" s="983"/>
      <c r="AN79" s="983"/>
      <c r="AO79" s="983"/>
      <c r="AP79" s="983"/>
      <c r="AQ79" s="983"/>
      <c r="AR79" s="986"/>
      <c r="AS79" s="984"/>
      <c r="AT79" s="985"/>
      <c r="AU79" s="986"/>
      <c r="AV79" s="986"/>
      <c r="AW79" s="986"/>
      <c r="AX79" s="986"/>
      <c r="AY79" s="987"/>
      <c r="BA79" s="164">
        <f t="shared" si="43"/>
        <v>1</v>
      </c>
      <c r="BC79" s="166"/>
    </row>
    <row r="80" spans="1:57" x14ac:dyDescent="0.25">
      <c r="A80" s="61" t="str">
        <f t="shared" si="31"/>
        <v>CV8ODS</v>
      </c>
      <c r="B80" s="61" t="str">
        <f t="shared" si="45"/>
        <v>TFHCV8ODS-N</v>
      </c>
      <c r="C80" s="61" t="s">
        <v>511</v>
      </c>
      <c r="D80" s="61" t="s">
        <v>537</v>
      </c>
      <c r="E80" t="s">
        <v>251</v>
      </c>
      <c r="F80" s="852">
        <f t="shared" si="46"/>
        <v>0.16</v>
      </c>
      <c r="G80" s="853">
        <f t="shared" si="47"/>
        <v>116959.183879244</v>
      </c>
      <c r="H80" s="853">
        <f t="shared" si="48"/>
        <v>116959.183879244</v>
      </c>
      <c r="I80" s="853">
        <f t="shared" si="48"/>
        <v>52553.148936456346</v>
      </c>
      <c r="J80" s="853">
        <f t="shared" si="48"/>
        <v>10610.297779925064</v>
      </c>
      <c r="K80" s="853">
        <f t="shared" si="48"/>
        <v>87.320066843562074</v>
      </c>
      <c r="L80" s="853">
        <f t="shared" si="48"/>
        <v>2.9292619091964327E-2</v>
      </c>
      <c r="M80" s="853">
        <f t="shared" si="33"/>
        <v>1</v>
      </c>
      <c r="N80" s="853">
        <f t="shared" si="34"/>
        <v>0.44932896411722156</v>
      </c>
      <c r="O80" s="853">
        <f t="shared" si="35"/>
        <v>9.0717953289412498E-2</v>
      </c>
      <c r="P80" s="853">
        <f t="shared" si="36"/>
        <v>7.4658580837667942E-4</v>
      </c>
      <c r="Q80" s="853">
        <f t="shared" si="37"/>
        <v>2.5045163723276204E-7</v>
      </c>
      <c r="R80" s="853">
        <f t="shared" si="38"/>
        <v>8.5499912604764987E-6</v>
      </c>
      <c r="S80" s="211">
        <v>43.081006014000003</v>
      </c>
      <c r="T80" s="856">
        <v>41.4</v>
      </c>
      <c r="U80" s="853">
        <f t="shared" si="51"/>
        <v>40.581247900312896</v>
      </c>
      <c r="V80" s="853">
        <f t="shared" si="51"/>
        <v>38.419330541322452</v>
      </c>
      <c r="W80" s="853">
        <f t="shared" si="51"/>
        <v>37.659526011146596</v>
      </c>
      <c r="X80" s="853">
        <f t="shared" si="51"/>
        <v>35.653259885106095</v>
      </c>
      <c r="Y80" s="211"/>
      <c r="Z80" s="855">
        <f t="shared" si="49"/>
        <v>5.914561001030804E-2</v>
      </c>
      <c r="AA80" s="855">
        <f>1/SUMIFS('Vehicle data-proc2023'!AD$20:AD$117,'Vehicle data-proc2023'!$N$20:$N$117,Analytica!$C80,'Vehicle data-proc2023'!$Q$20:$Q$117,RIGHT(Analytica!$D80,3))</f>
        <v>6.9193607941341495E-2</v>
      </c>
      <c r="AB80" s="855">
        <f>1/SUMIFS('Vehicle data-proc2023'!AE$20:AE$117,'Vehicle data-proc2023'!$N$20:$N$117,Analytica!$C80,'Vehicle data-proc2023'!$Q$20:$Q$117,RIGHT(Analytica!$D80,3))</f>
        <v>6.9401604619788601E-2</v>
      </c>
      <c r="AC80" s="855">
        <f>1/SUMIFS('Vehicle data-proc2023'!AF$20:AF$117,'Vehicle data-proc2023'!$N$20:$N$117,Analytica!$C80,'Vehicle data-proc2023'!$Q$20:$Q$117,RIGHT(Analytica!$D80,3))</f>
        <v>7.3336746182173118E-2</v>
      </c>
      <c r="AD80" s="855">
        <f>1/SUMIFS('Vehicle data-proc2023'!AG$20:AG$117,'Vehicle data-proc2023'!$N$20:$N$117,Analytica!$C80,'Vehicle data-proc2023'!$Q$20:$Q$117,RIGHT(Analytica!$D80,3))</f>
        <v>8.109044640392632E-2</v>
      </c>
      <c r="AE80" s="855">
        <f>1/SUMIFS('Vehicle data-proc2023'!AH$20:AH$117,'Vehicle data-proc2023'!$N$20:$N$117,Analytica!$C80,'Vehicle data-proc2023'!$Q$20:$Q$117,RIGHT(Analytica!$D80,3))</f>
        <v>8.966392484408417E-2</v>
      </c>
      <c r="AF80" s="855"/>
      <c r="AG80" s="211"/>
      <c r="AH80" s="856"/>
      <c r="AI80" s="865">
        <f>AI79/AI78*AI79</f>
        <v>1332.6780226650678</v>
      </c>
      <c r="AJ80" s="856"/>
      <c r="AK80" s="983"/>
      <c r="AL80" s="983"/>
      <c r="AM80" s="983"/>
      <c r="AN80" s="983"/>
      <c r="AO80" s="983"/>
      <c r="AP80" s="983"/>
      <c r="AQ80" s="983"/>
      <c r="AR80" s="986"/>
      <c r="AS80" s="984"/>
      <c r="AT80" s="985"/>
      <c r="AU80" s="986"/>
      <c r="AV80" s="986"/>
      <c r="AW80" s="986"/>
      <c r="AX80" s="986"/>
      <c r="AY80" s="987"/>
      <c r="BA80" s="164">
        <f t="shared" si="43"/>
        <v>1</v>
      </c>
      <c r="BC80" s="166"/>
    </row>
    <row r="81" spans="1:56" x14ac:dyDescent="0.25">
      <c r="A81" s="61" t="str">
        <f t="shared" si="31"/>
        <v>CV9ODS</v>
      </c>
      <c r="B81" s="61" t="str">
        <f t="shared" si="45"/>
        <v>TFHCV9ODS-N</v>
      </c>
      <c r="C81" s="61" t="s">
        <v>511</v>
      </c>
      <c r="D81" s="61" t="s">
        <v>535</v>
      </c>
      <c r="E81" t="s">
        <v>249</v>
      </c>
      <c r="F81" s="852">
        <f t="shared" si="46"/>
        <v>0.18</v>
      </c>
      <c r="G81" s="853">
        <f t="shared" si="47"/>
        <v>104002.58508794699</v>
      </c>
      <c r="H81" s="853">
        <f t="shared" si="48"/>
        <v>104002.58508794699</v>
      </c>
      <c r="I81" s="853">
        <f t="shared" si="48"/>
        <v>42284.29563134932</v>
      </c>
      <c r="J81" s="853">
        <f t="shared" si="48"/>
        <v>6989.5470570949319</v>
      </c>
      <c r="K81" s="853">
        <f t="shared" si="48"/>
        <v>31.568855035569442</v>
      </c>
      <c r="L81" s="853">
        <f t="shared" si="48"/>
        <v>3.8959062151804123E-3</v>
      </c>
      <c r="M81" s="853">
        <f t="shared" si="33"/>
        <v>1</v>
      </c>
      <c r="N81" s="853">
        <f t="shared" si="34"/>
        <v>0.40656965974059917</v>
      </c>
      <c r="O81" s="853">
        <f t="shared" si="35"/>
        <v>6.720551273974977E-2</v>
      </c>
      <c r="P81" s="853">
        <f t="shared" si="36"/>
        <v>3.0353913807886683E-4</v>
      </c>
      <c r="Q81" s="853">
        <f t="shared" si="37"/>
        <v>3.7459705562952537E-8</v>
      </c>
      <c r="R81" s="853">
        <f t="shared" si="38"/>
        <v>9.6151456154130857E-6</v>
      </c>
      <c r="S81" s="211">
        <v>52.0302004999999</v>
      </c>
      <c r="T81" s="856">
        <v>49.999999999999901</v>
      </c>
      <c r="U81" s="853">
        <f t="shared" si="51"/>
        <v>49.011168961730448</v>
      </c>
      <c r="V81" s="853">
        <f t="shared" si="51"/>
        <v>46.400157658601906</v>
      </c>
      <c r="W81" s="853">
        <f t="shared" si="51"/>
        <v>45.482519337133468</v>
      </c>
      <c r="X81" s="853">
        <f t="shared" si="51"/>
        <v>43.05949261486235</v>
      </c>
      <c r="Y81" s="211"/>
      <c r="Z81" s="855">
        <f t="shared" si="49"/>
        <v>4.8972565088535154E-2</v>
      </c>
      <c r="AA81" s="855">
        <f>1/SUMIFS('Vehicle data-proc2023'!AD$20:AD$117,'Vehicle data-proc2023'!$N$20:$N$117,Analytica!$C81,'Vehicle data-proc2023'!$Q$20:$Q$117,RIGHT(Analytica!$D81,3))</f>
        <v>5.4371364101907703E-2</v>
      </c>
      <c r="AB81" s="855">
        <f>1/SUMIFS('Vehicle data-proc2023'!AE$20:AE$117,'Vehicle data-proc2023'!$N$20:$N$117,Analytica!$C81,'Vehicle data-proc2023'!$Q$20:$Q$117,RIGHT(Analytica!$D81,3))</f>
        <v>5.4534804966928384E-2</v>
      </c>
      <c r="AC81" s="855">
        <f>1/SUMIFS('Vehicle data-proc2023'!AF$20:AF$117,'Vehicle data-proc2023'!$N$20:$N$117,Analytica!$C81,'Vehicle data-proc2023'!$Q$20:$Q$117,RIGHT(Analytica!$D81,3))</f>
        <v>5.7626983869672431E-2</v>
      </c>
      <c r="AD81" s="855">
        <f>1/SUMIFS('Vehicle data-proc2023'!AG$20:AG$117,'Vehicle data-proc2023'!$N$20:$N$117,Analytica!$C81,'Vehicle data-proc2023'!$Q$20:$Q$117,RIGHT(Analytica!$D81,3))</f>
        <v>6.3719732469389584E-2</v>
      </c>
      <c r="AE81" s="855">
        <f>1/SUMIFS('Vehicle data-proc2023'!AH$20:AH$117,'Vehicle data-proc2023'!$N$20:$N$117,Analytica!$C81,'Vehicle data-proc2023'!$Q$20:$Q$117,RIGHT(Analytica!$D81,3))</f>
        <v>7.0456651265195916E-2</v>
      </c>
      <c r="AF81" s="855"/>
      <c r="AG81" s="211"/>
      <c r="AH81" s="856"/>
      <c r="AI81" s="865">
        <f>AI80/AI79 *AI80</f>
        <v>1491.9752634207996</v>
      </c>
      <c r="AJ81" s="856"/>
      <c r="AK81" s="983"/>
      <c r="AL81" s="983"/>
      <c r="AM81" s="983"/>
      <c r="AN81" s="983"/>
      <c r="AO81" s="983"/>
      <c r="AP81" s="983"/>
      <c r="AQ81" s="983"/>
      <c r="AR81" s="986"/>
      <c r="AS81" s="984"/>
      <c r="AT81" s="985"/>
      <c r="AU81" s="986"/>
      <c r="AV81" s="986"/>
      <c r="AW81" s="986"/>
      <c r="AX81" s="986"/>
      <c r="AY81" s="987"/>
      <c r="BA81" s="164">
        <f t="shared" si="43"/>
        <v>1</v>
      </c>
      <c r="BC81" s="166"/>
    </row>
    <row r="82" spans="1:56" x14ac:dyDescent="0.25">
      <c r="A82" s="61" t="str">
        <f t="shared" si="31"/>
        <v>CV1GAS</v>
      </c>
      <c r="B82" s="61" t="str">
        <f t="shared" si="45"/>
        <v>TFHCV1GAS-N</v>
      </c>
      <c r="C82" s="61" t="s">
        <v>509</v>
      </c>
      <c r="D82" s="61" t="s">
        <v>551</v>
      </c>
      <c r="E82" s="61" t="s">
        <v>550</v>
      </c>
      <c r="F82" s="852">
        <f>F73</f>
        <v>4.8000000000000001E-2</v>
      </c>
      <c r="G82" s="853">
        <f>G73</f>
        <v>17100.2801251579</v>
      </c>
      <c r="H82" s="853">
        <f t="shared" ref="H82:L90" si="52">(EXP(-((H$58)*$F82))*G82)</f>
        <v>17100.2801251579</v>
      </c>
      <c r="I82" s="853">
        <f t="shared" si="52"/>
        <v>13451.556778491855</v>
      </c>
      <c r="J82" s="853">
        <f t="shared" si="52"/>
        <v>8323.5999284680747</v>
      </c>
      <c r="K82" s="853">
        <f t="shared" si="52"/>
        <v>1972.0918752186101</v>
      </c>
      <c r="L82" s="853">
        <f t="shared" si="52"/>
        <v>178.90413861851181</v>
      </c>
      <c r="M82" s="853">
        <f t="shared" si="33"/>
        <v>1</v>
      </c>
      <c r="N82" s="853">
        <f t="shared" si="34"/>
        <v>0.78662786106655347</v>
      </c>
      <c r="O82" s="853">
        <f t="shared" si="35"/>
        <v>0.48675225595997168</v>
      </c>
      <c r="P82" s="853">
        <f t="shared" si="36"/>
        <v>0.11532512103806254</v>
      </c>
      <c r="Q82" s="853">
        <f t="shared" si="37"/>
        <v>1.0462058943426802E-2</v>
      </c>
      <c r="R82" s="853">
        <f t="shared" si="38"/>
        <v>5.8478574191822851E-5</v>
      </c>
      <c r="S82" s="870">
        <f t="shared" ref="S82:S90" si="53">S73*(1+$AJ$55)</f>
        <v>14.372207142857143</v>
      </c>
      <c r="T82" s="853">
        <f t="shared" ref="T82:X90" si="54">S82/((1+T$53)^(T$58-S$58))</f>
        <v>13.74210109273692</v>
      </c>
      <c r="U82" s="853">
        <f t="shared" si="54"/>
        <v>12.944721182562253</v>
      </c>
      <c r="V82" s="853">
        <f t="shared" si="54"/>
        <v>12.012742074350669</v>
      </c>
      <c r="W82" s="853">
        <f t="shared" si="54"/>
        <v>11.147862523239853</v>
      </c>
      <c r="X82" s="853">
        <f t="shared" si="54"/>
        <v>10.345251572694997</v>
      </c>
      <c r="Y82" s="211"/>
      <c r="Z82" s="855">
        <f>Z72/S72*S82</f>
        <v>0.17514398772690015</v>
      </c>
      <c r="AA82" s="855">
        <f>1/SUMIFS('Vehicle data-proc2023'!AD$20:AD$117,'Vehicle data-proc2023'!$N$20:$N$117,Analytica!$C82,'Vehicle data-proc2023'!$Q$20:$Q$117,RIGHT(Analytica!$D82,3))</f>
        <v>0.14810797918786262</v>
      </c>
      <c r="AB82" s="855">
        <f>1/SUMIFS('Vehicle data-proc2023'!AE$20:AE$117,'Vehicle data-proc2023'!$N$20:$N$117,Analytica!$C82,'Vehicle data-proc2023'!$Q$20:$Q$117,RIGHT(Analytica!$D82,3))</f>
        <v>0.14855319325660585</v>
      </c>
      <c r="AC82" s="855">
        <f>1/SUMIFS('Vehicle data-proc2023'!AF$20:AF$117,'Vehicle data-proc2023'!$N$20:$N$117,Analytica!$C82,'Vehicle data-proc2023'!$Q$20:$Q$117,RIGHT(Analytica!$D82,3))</f>
        <v>0.15697631039073517</v>
      </c>
      <c r="AD82" s="855">
        <f>1/SUMIFS('Vehicle data-proc2023'!AG$20:AG$117,'Vehicle data-proc2023'!$N$20:$N$117,Analytica!$C82,'Vehicle data-proc2023'!$Q$20:$Q$117,RIGHT(Analytica!$D82,3))</f>
        <v>0.17357300053653429</v>
      </c>
      <c r="AE82" s="855">
        <f>1/SUMIFS('Vehicle data-proc2023'!AH$20:AH$117,'Vehicle data-proc2023'!$N$20:$N$117,Analytica!$C82,'Vehicle data-proc2023'!$Q$20:$Q$117,RIGHT(Analytica!$D82,3))</f>
        <v>0.19192441483854544</v>
      </c>
      <c r="AF82" s="855"/>
      <c r="AG82" s="861"/>
      <c r="AH82" s="856">
        <f>AH72*(1+$AR$57)</f>
        <v>537.9300300000001</v>
      </c>
      <c r="AI82" s="865">
        <f>AI72*(1+$AR$57)</f>
        <v>324.50781138188347</v>
      </c>
      <c r="AJ82" s="865"/>
      <c r="AK82" s="983"/>
      <c r="AL82" s="983"/>
      <c r="AM82" s="983"/>
      <c r="AN82" s="983"/>
      <c r="AO82" s="983"/>
      <c r="AP82" s="983"/>
      <c r="AQ82" s="983"/>
      <c r="AR82" s="986"/>
      <c r="AS82" s="984"/>
      <c r="AT82" s="985"/>
      <c r="AU82" s="986"/>
      <c r="AV82" s="986"/>
      <c r="AW82" s="986"/>
      <c r="AX82" s="986"/>
      <c r="AY82" s="987"/>
      <c r="BA82" s="164">
        <f t="shared" si="43"/>
        <v>0</v>
      </c>
      <c r="BB82" s="61" t="s">
        <v>524</v>
      </c>
      <c r="BC82" s="166">
        <f>AJ82*1000</f>
        <v>0</v>
      </c>
      <c r="BD82" s="166">
        <f>(BC82-BC72)/5.5</f>
        <v>0</v>
      </c>
    </row>
    <row r="83" spans="1:56" x14ac:dyDescent="0.25">
      <c r="A83" s="61" t="str">
        <f t="shared" si="31"/>
        <v>CV2GAS</v>
      </c>
      <c r="B83" s="61" t="str">
        <f t="shared" si="45"/>
        <v>TFHCV2GAS-N</v>
      </c>
      <c r="C83" s="61" t="s">
        <v>509</v>
      </c>
      <c r="D83" s="61" t="s">
        <v>549</v>
      </c>
      <c r="E83" s="61" t="s">
        <v>548</v>
      </c>
      <c r="F83" s="852">
        <f t="shared" ref="F83:F90" si="55">F74</f>
        <v>4.8000000000000001E-2</v>
      </c>
      <c r="G83" s="853">
        <f t="shared" ref="G83:G90" si="56">G73</f>
        <v>17100.2801251579</v>
      </c>
      <c r="H83" s="853">
        <f t="shared" si="52"/>
        <v>17100.2801251579</v>
      </c>
      <c r="I83" s="853">
        <f t="shared" si="52"/>
        <v>13451.556778491855</v>
      </c>
      <c r="J83" s="853">
        <f t="shared" si="52"/>
        <v>8323.5999284680747</v>
      </c>
      <c r="K83" s="853">
        <f t="shared" si="52"/>
        <v>1972.0918752186101</v>
      </c>
      <c r="L83" s="853">
        <f t="shared" si="52"/>
        <v>178.90413861851181</v>
      </c>
      <c r="M83" s="853">
        <f t="shared" si="33"/>
        <v>1</v>
      </c>
      <c r="N83" s="853">
        <f t="shared" si="34"/>
        <v>0.78662786106655347</v>
      </c>
      <c r="O83" s="853">
        <f t="shared" si="35"/>
        <v>0.48675225595997168</v>
      </c>
      <c r="P83" s="853">
        <f t="shared" si="36"/>
        <v>0.11532512103806254</v>
      </c>
      <c r="Q83" s="853">
        <f t="shared" si="37"/>
        <v>1.0462058943426802E-2</v>
      </c>
      <c r="R83" s="853">
        <f t="shared" si="38"/>
        <v>5.8478574191822851E-5</v>
      </c>
      <c r="S83" s="870">
        <f t="shared" si="53"/>
        <v>26.087942530699998</v>
      </c>
      <c r="T83" s="853">
        <f t="shared" si="54"/>
        <v>24.944195417929475</v>
      </c>
      <c r="U83" s="853">
        <f t="shared" si="54"/>
        <v>23.496818472620845</v>
      </c>
      <c r="V83" s="853">
        <f t="shared" si="54"/>
        <v>21.80512163210318</v>
      </c>
      <c r="W83" s="853">
        <f t="shared" si="54"/>
        <v>20.235221629891608</v>
      </c>
      <c r="X83" s="853">
        <f t="shared" si="54"/>
        <v>18.778349477674478</v>
      </c>
      <c r="Y83" s="211"/>
      <c r="Z83" s="855">
        <f t="shared" ref="Z83:Z90" si="57">Z74/S73*S83</f>
        <v>0.23446637247778451</v>
      </c>
      <c r="AA83" s="855">
        <f>1/SUMIFS('Vehicle data-proc2023'!AD$20:AD$117,'Vehicle data-proc2023'!$N$20:$N$117,Analytica!$C83,'Vehicle data-proc2023'!$Q$20:$Q$117,RIGHT(Analytica!$D83,3))</f>
        <v>0.11863637247423742</v>
      </c>
      <c r="AB83" s="855">
        <f>1/SUMIFS('Vehicle data-proc2023'!AE$20:AE$117,'Vehicle data-proc2023'!$N$20:$N$117,Analytica!$C83,'Vehicle data-proc2023'!$Q$20:$Q$117,RIGHT(Analytica!$D83,3))</f>
        <v>0.11899299459804072</v>
      </c>
      <c r="AC83" s="855">
        <f>1/SUMIFS('Vehicle data-proc2023'!AF$20:AF$117,'Vehicle data-proc2023'!$N$20:$N$117,Analytica!$C83,'Vehicle data-proc2023'!$Q$20:$Q$117,RIGHT(Analytica!$D83,3))</f>
        <v>0.12574001840592877</v>
      </c>
      <c r="AD83" s="855">
        <f>1/SUMIFS('Vehicle data-proc2023'!AG$20:AG$117,'Vehicle data-proc2023'!$N$20:$N$117,Analytica!$C83,'Vehicle data-proc2023'!$Q$20:$Q$117,RIGHT(Analytica!$D83,3))</f>
        <v>0.13903417801011222</v>
      </c>
      <c r="AE83" s="855">
        <f>1/SUMIFS('Vehicle data-proc2023'!AH$20:AH$117,'Vehicle data-proc2023'!$N$20:$N$117,Analytica!$C83,'Vehicle data-proc2023'!$Q$20:$Q$117,RIGHT(Analytica!$D83,3))</f>
        <v>0.15373389395047296</v>
      </c>
      <c r="AF83" s="855"/>
      <c r="AG83" s="861"/>
      <c r="AH83" s="856"/>
      <c r="AI83" s="865">
        <f t="shared" ref="AI83:AI90" si="58">AI74*(1+$AR$57)</f>
        <v>419.61367137546472</v>
      </c>
      <c r="AJ83" s="865"/>
      <c r="AK83" s="983"/>
      <c r="AL83" s="983"/>
      <c r="AM83" s="983"/>
      <c r="AN83" s="983"/>
      <c r="AO83" s="983"/>
      <c r="AP83" s="983"/>
      <c r="AQ83" s="983"/>
      <c r="AR83" s="986"/>
      <c r="AS83" s="984"/>
      <c r="AT83" s="985"/>
      <c r="AU83" s="986"/>
      <c r="AV83" s="986"/>
      <c r="AW83" s="986"/>
      <c r="AX83" s="986"/>
      <c r="AY83" s="987"/>
      <c r="BA83" s="164">
        <f t="shared" si="43"/>
        <v>0</v>
      </c>
      <c r="BC83" s="166"/>
      <c r="BD83" s="166"/>
    </row>
    <row r="84" spans="1:56" x14ac:dyDescent="0.25">
      <c r="A84" s="61" t="str">
        <f t="shared" si="31"/>
        <v>CV3GAS</v>
      </c>
      <c r="B84" s="61" t="str">
        <f t="shared" si="45"/>
        <v>TFHCV3GAS-N</v>
      </c>
      <c r="C84" s="61" t="s">
        <v>509</v>
      </c>
      <c r="D84" s="61" t="s">
        <v>547</v>
      </c>
      <c r="E84" s="61" t="s">
        <v>546</v>
      </c>
      <c r="F84" s="852">
        <f t="shared" si="55"/>
        <v>8.4999999999999992E-2</v>
      </c>
      <c r="G84" s="853">
        <f t="shared" si="56"/>
        <v>30096.280108149898</v>
      </c>
      <c r="H84" s="853">
        <f t="shared" si="52"/>
        <v>30096.280108149898</v>
      </c>
      <c r="I84" s="853">
        <f t="shared" si="52"/>
        <v>19676.038579512857</v>
      </c>
      <c r="J84" s="853">
        <f t="shared" si="52"/>
        <v>8409.8326904830083</v>
      </c>
      <c r="K84" s="853">
        <f t="shared" si="52"/>
        <v>656.65374726387358</v>
      </c>
      <c r="L84" s="853">
        <f t="shared" si="52"/>
        <v>9.3666626481927722</v>
      </c>
      <c r="M84" s="853">
        <f t="shared" si="33"/>
        <v>1</v>
      </c>
      <c r="N84" s="853">
        <f t="shared" si="34"/>
        <v>0.65376978512984729</v>
      </c>
      <c r="O84" s="853">
        <f t="shared" si="35"/>
        <v>0.27943096822140734</v>
      </c>
      <c r="P84" s="853">
        <f t="shared" si="36"/>
        <v>2.1818435531042773E-2</v>
      </c>
      <c r="Q84" s="853">
        <f t="shared" si="37"/>
        <v>3.112232679432145E-4</v>
      </c>
      <c r="R84" s="853">
        <f t="shared" si="38"/>
        <v>3.3226697665177755E-5</v>
      </c>
      <c r="S84" s="870">
        <f t="shared" si="53"/>
        <v>26.566620375299998</v>
      </c>
      <c r="T84" s="853">
        <f t="shared" si="54"/>
        <v>25.401887076974052</v>
      </c>
      <c r="U84" s="853">
        <f t="shared" si="54"/>
        <v>23.927952756522146</v>
      </c>
      <c r="V84" s="853">
        <f t="shared" si="54"/>
        <v>22.205215607004156</v>
      </c>
      <c r="W84" s="853">
        <f t="shared" si="54"/>
        <v>20.606510100164851</v>
      </c>
      <c r="X84" s="853">
        <f t="shared" si="54"/>
        <v>19.122906348824472</v>
      </c>
      <c r="Y84" s="211"/>
      <c r="Z84" s="855">
        <f t="shared" si="57"/>
        <v>0.12917075654086085</v>
      </c>
      <c r="AA84" s="855">
        <f>1/SUMIFS('Vehicle data-proc2023'!AD$20:AD$117,'Vehicle data-proc2023'!$N$20:$N$117,Analytica!$C84,'Vehicle data-proc2023'!$Q$20:$Q$117,RIGHT(Analytica!$D84,3))</f>
        <v>0.10372327688440522</v>
      </c>
      <c r="AB84" s="855">
        <f>1/SUMIFS('Vehicle data-proc2023'!AE$20:AE$117,'Vehicle data-proc2023'!$N$20:$N$117,Analytica!$C84,'Vehicle data-proc2023'!$Q$20:$Q$117,RIGHT(Analytica!$D84,3))</f>
        <v>0.10403507009351054</v>
      </c>
      <c r="AC84" s="855">
        <f>1/SUMIFS('Vehicle data-proc2023'!AF$20:AF$117,'Vehicle data-proc2023'!$N$20:$N$117,Analytica!$C84,'Vehicle data-proc2023'!$Q$20:$Q$117,RIGHT(Analytica!$D84,3))</f>
        <v>0.10993396436999574</v>
      </c>
      <c r="AD84" s="855">
        <f>1/SUMIFS('Vehicle data-proc2023'!AG$20:AG$117,'Vehicle data-proc2023'!$N$20:$N$117,Analytica!$C84,'Vehicle data-proc2023'!$Q$20:$Q$117,RIGHT(Analytica!$D84,3))</f>
        <v>0.12155699168288527</v>
      </c>
      <c r="AE84" s="855">
        <f>1/SUMIFS('Vehicle data-proc2023'!AH$20:AH$117,'Vehicle data-proc2023'!$N$20:$N$117,Analytica!$C84,'Vehicle data-proc2023'!$Q$20:$Q$117,RIGHT(Analytica!$D84,3))</f>
        <v>0.13440889093440059</v>
      </c>
      <c r="AF84" s="855"/>
      <c r="AG84" s="861"/>
      <c r="AH84" s="856"/>
      <c r="AI84" s="865">
        <f t="shared" si="58"/>
        <v>582.23027542662123</v>
      </c>
      <c r="AJ84" s="865"/>
      <c r="AK84" s="983"/>
      <c r="AL84" s="983"/>
      <c r="AM84" s="983"/>
      <c r="AN84" s="983"/>
      <c r="AO84" s="983"/>
      <c r="AP84" s="983"/>
      <c r="AQ84" s="983"/>
      <c r="AR84" s="986"/>
      <c r="AS84" s="984"/>
      <c r="AT84" s="985"/>
      <c r="AU84" s="986"/>
      <c r="AV84" s="986"/>
      <c r="AW84" s="986"/>
      <c r="AX84" s="986"/>
      <c r="AY84" s="987"/>
      <c r="BA84" s="164">
        <f t="shared" si="43"/>
        <v>0</v>
      </c>
      <c r="BC84" s="166"/>
      <c r="BD84" s="166"/>
    </row>
    <row r="85" spans="1:56" x14ac:dyDescent="0.25">
      <c r="A85" s="61" t="str">
        <f t="shared" si="31"/>
        <v>CV4GAS</v>
      </c>
      <c r="B85" s="61" t="str">
        <f t="shared" si="45"/>
        <v>TFHCV4GAS-N</v>
      </c>
      <c r="C85" s="61" t="s">
        <v>509</v>
      </c>
      <c r="D85" s="61" t="s">
        <v>545</v>
      </c>
      <c r="E85" s="61" t="s">
        <v>544</v>
      </c>
      <c r="F85" s="852">
        <f t="shared" si="55"/>
        <v>8.4999999999999992E-2</v>
      </c>
      <c r="G85" s="853">
        <f t="shared" si="56"/>
        <v>54512.527353451602</v>
      </c>
      <c r="H85" s="853">
        <f t="shared" si="52"/>
        <v>54512.527353451602</v>
      </c>
      <c r="I85" s="853">
        <f t="shared" si="52"/>
        <v>35638.643294750975</v>
      </c>
      <c r="J85" s="853">
        <f t="shared" si="52"/>
        <v>15232.488298570934</v>
      </c>
      <c r="K85" s="853">
        <f t="shared" si="52"/>
        <v>1189.3780636954896</v>
      </c>
      <c r="L85" s="853">
        <f t="shared" si="52"/>
        <v>16.965566906785078</v>
      </c>
      <c r="M85" s="853">
        <f t="shared" si="33"/>
        <v>1</v>
      </c>
      <c r="N85" s="853">
        <f t="shared" si="34"/>
        <v>0.65376978512984729</v>
      </c>
      <c r="O85" s="853">
        <f t="shared" si="35"/>
        <v>0.27943096822140734</v>
      </c>
      <c r="P85" s="853">
        <f t="shared" si="36"/>
        <v>2.1818435531042773E-2</v>
      </c>
      <c r="Q85" s="853">
        <f t="shared" si="37"/>
        <v>3.112232679432145E-4</v>
      </c>
      <c r="R85" s="853">
        <f t="shared" si="38"/>
        <v>1.8344407213339054E-5</v>
      </c>
      <c r="S85" s="871">
        <f t="shared" si="53"/>
        <v>30.635382054399997</v>
      </c>
      <c r="T85" s="853">
        <f t="shared" si="54"/>
        <v>29.292266178852962</v>
      </c>
      <c r="U85" s="853">
        <f t="shared" si="54"/>
        <v>27.592594169683196</v>
      </c>
      <c r="V85" s="853">
        <f t="shared" si="54"/>
        <v>25.606014393662452</v>
      </c>
      <c r="W85" s="853">
        <f t="shared" si="54"/>
        <v>23.762462097487397</v>
      </c>
      <c r="X85" s="872">
        <f t="shared" si="54"/>
        <v>22.051639753599392</v>
      </c>
      <c r="Y85" s="211"/>
      <c r="Z85" s="855">
        <f t="shared" si="57"/>
        <v>0.12684335552210657</v>
      </c>
      <c r="AA85" s="855">
        <f>1/SUMIFS('Vehicle data-proc2023'!AD$20:AD$117,'Vehicle data-proc2023'!$N$20:$N$117,Analytica!$C85,'Vehicle data-proc2023'!$Q$20:$Q$117,RIGHT(Analytica!$D85,3))</f>
        <v>8.9140422453578269E-2</v>
      </c>
      <c r="AB85" s="855">
        <f>1/SUMIFS('Vehicle data-proc2023'!AE$20:AE$117,'Vehicle data-proc2023'!$N$20:$N$117,Analytica!$C85,'Vehicle data-proc2023'!$Q$20:$Q$117,RIGHT(Analytica!$D85,3))</f>
        <v>8.9408379456216935E-2</v>
      </c>
      <c r="AC85" s="855">
        <f>1/SUMIFS('Vehicle data-proc2023'!AF$20:AF$117,'Vehicle data-proc2023'!$N$20:$N$117,Analytica!$C85,'Vehicle data-proc2023'!$Q$20:$Q$117,RIGHT(Analytica!$D85,3))</f>
        <v>9.4477925498431731E-2</v>
      </c>
      <c r="AD85" s="855">
        <f>1/SUMIFS('Vehicle data-proc2023'!AG$20:AG$117,'Vehicle data-proc2023'!$N$20:$N$117,Analytica!$C85,'Vehicle data-proc2023'!$Q$20:$Q$117,RIGHT(Analytica!$D85,3))</f>
        <v>0.10446682669767859</v>
      </c>
      <c r="AE85" s="855">
        <f>1/SUMIFS('Vehicle data-proc2023'!AH$20:AH$117,'Vehicle data-proc2023'!$N$20:$N$117,Analytica!$C85,'Vehicle data-proc2023'!$Q$20:$Q$117,RIGHT(Analytica!$D85,3))</f>
        <v>0.11551182800329342</v>
      </c>
      <c r="AF85" s="855"/>
      <c r="AG85" s="861"/>
      <c r="AH85" s="856"/>
      <c r="AI85" s="865">
        <f t="shared" si="58"/>
        <v>829.74081227272734</v>
      </c>
      <c r="AJ85" s="865"/>
      <c r="AK85" s="983"/>
      <c r="AL85" s="983"/>
      <c r="AM85" s="983"/>
      <c r="AN85" s="983"/>
      <c r="AO85" s="983"/>
      <c r="AP85" s="983"/>
      <c r="AQ85" s="983"/>
      <c r="AR85" s="986"/>
      <c r="AS85" s="984"/>
      <c r="AT85" s="985"/>
      <c r="AU85" s="986"/>
      <c r="AV85" s="986"/>
      <c r="AW85" s="986"/>
      <c r="AX85" s="986"/>
      <c r="AY85" s="987"/>
      <c r="BA85" s="164">
        <f t="shared" si="43"/>
        <v>0</v>
      </c>
      <c r="BC85" s="166"/>
      <c r="BD85" s="166"/>
    </row>
    <row r="86" spans="1:56" x14ac:dyDescent="0.25">
      <c r="A86" s="61" t="str">
        <f t="shared" si="31"/>
        <v>CV5GAS</v>
      </c>
      <c r="B86" s="61" t="str">
        <f t="shared" si="45"/>
        <v>TFHCV5GAS-N</v>
      </c>
      <c r="C86" s="61" t="s">
        <v>509</v>
      </c>
      <c r="D86" s="61" t="s">
        <v>543</v>
      </c>
      <c r="E86" s="61" t="s">
        <v>542</v>
      </c>
      <c r="F86" s="852">
        <f t="shared" si="55"/>
        <v>0.11</v>
      </c>
      <c r="G86" s="853">
        <f t="shared" si="56"/>
        <v>53608.118344618502</v>
      </c>
      <c r="H86" s="853">
        <f t="shared" si="52"/>
        <v>53608.118344618502</v>
      </c>
      <c r="I86" s="853">
        <f t="shared" si="52"/>
        <v>30929.193713782333</v>
      </c>
      <c r="J86" s="853">
        <f t="shared" si="52"/>
        <v>10295.434229414555</v>
      </c>
      <c r="K86" s="853">
        <f t="shared" si="52"/>
        <v>379.72822415195355</v>
      </c>
      <c r="L86" s="853">
        <f t="shared" si="52"/>
        <v>1.5518624608428848</v>
      </c>
      <c r="M86" s="853">
        <f t="shared" si="33"/>
        <v>1</v>
      </c>
      <c r="N86" s="853">
        <f t="shared" si="34"/>
        <v>0.57694981038048665</v>
      </c>
      <c r="O86" s="853">
        <f t="shared" si="35"/>
        <v>0.19204990862075411</v>
      </c>
      <c r="P86" s="853">
        <f t="shared" si="36"/>
        <v>7.0834089290521219E-3</v>
      </c>
      <c r="Q86" s="853">
        <f t="shared" si="37"/>
        <v>2.8948273298211554E-5</v>
      </c>
      <c r="R86" s="853">
        <f t="shared" si="38"/>
        <v>1.8653891068728135E-5</v>
      </c>
      <c r="S86" s="871">
        <f t="shared" si="53"/>
        <v>38.533566490299997</v>
      </c>
      <c r="T86" s="853">
        <f t="shared" si="54"/>
        <v>36.84417855308849</v>
      </c>
      <c r="U86" s="853">
        <f t="shared" si="54"/>
        <v>34.706309854054645</v>
      </c>
      <c r="V86" s="853">
        <f t="shared" si="54"/>
        <v>32.207564979528556</v>
      </c>
      <c r="W86" s="853">
        <f t="shared" si="54"/>
        <v>29.888721856995868</v>
      </c>
      <c r="X86" s="872">
        <f t="shared" si="54"/>
        <v>27.736828127574235</v>
      </c>
      <c r="Y86" s="211"/>
      <c r="Z86" s="855">
        <f t="shared" si="57"/>
        <v>0.1099969723668268</v>
      </c>
      <c r="AA86" s="855">
        <f>1/SUMIFS('Vehicle data-proc2023'!AD$20:AD$117,'Vehicle data-proc2023'!$N$20:$N$117,Analytica!$C86,'Vehicle data-proc2023'!$Q$20:$Q$117,RIGHT(Analytica!$D86,3))</f>
        <v>8.2121371165139845E-2</v>
      </c>
      <c r="AB86" s="855">
        <f>1/SUMIFS('Vehicle data-proc2023'!AE$20:AE$117,'Vehicle data-proc2023'!$N$20:$N$117,Analytica!$C86,'Vehicle data-proc2023'!$Q$20:$Q$117,RIGHT(Analytica!$D86,3))</f>
        <v>8.2368228829309525E-2</v>
      </c>
      <c r="AC86" s="855">
        <f>1/SUMIFS('Vehicle data-proc2023'!AF$20:AF$117,'Vehicle data-proc2023'!$N$20:$N$117,Analytica!$C86,'Vehicle data-proc2023'!$Q$20:$Q$117,RIGHT(Analytica!$D86,3))</f>
        <v>8.7038591171245835E-2</v>
      </c>
      <c r="AD86" s="855">
        <f>1/SUMIFS('Vehicle data-proc2023'!AG$20:AG$117,'Vehicle data-proc2023'!$N$20:$N$117,Analytica!$C86,'Vehicle data-proc2023'!$Q$20:$Q$117,RIGHT(Analytica!$D86,3))</f>
        <v>9.6240951226724075E-2</v>
      </c>
      <c r="AE86" s="855">
        <f>1/SUMIFS('Vehicle data-proc2023'!AH$20:AH$117,'Vehicle data-proc2023'!$N$20:$N$117,Analytica!$C86,'Vehicle data-proc2023'!$Q$20:$Q$117,RIGHT(Analytica!$D86,3))</f>
        <v>0.10641625247358774</v>
      </c>
      <c r="AF86" s="855"/>
      <c r="AG86" s="861"/>
      <c r="AH86" s="856"/>
      <c r="AI86" s="865">
        <f t="shared" si="58"/>
        <v>904.92848297604041</v>
      </c>
      <c r="AJ86" s="865"/>
      <c r="AK86" s="983"/>
      <c r="AL86" s="983"/>
      <c r="AM86" s="983"/>
      <c r="AN86" s="983"/>
      <c r="AO86" s="983"/>
      <c r="AP86" s="983"/>
      <c r="AQ86" s="983"/>
      <c r="AR86" s="986"/>
      <c r="AS86" s="984"/>
      <c r="AT86" s="985"/>
      <c r="AU86" s="986"/>
      <c r="AV86" s="986"/>
      <c r="AW86" s="986"/>
      <c r="AX86" s="986"/>
      <c r="AY86" s="987"/>
      <c r="BA86" s="164">
        <f t="shared" si="43"/>
        <v>0</v>
      </c>
      <c r="BC86" s="166"/>
      <c r="BD86" s="166"/>
    </row>
    <row r="87" spans="1:56" x14ac:dyDescent="0.25">
      <c r="A87" s="61" t="str">
        <f t="shared" si="31"/>
        <v>CV6GAS</v>
      </c>
      <c r="B87" s="61" t="str">
        <f t="shared" si="45"/>
        <v>TFHCV6GAS-N</v>
      </c>
      <c r="C87" s="61" t="s">
        <v>509</v>
      </c>
      <c r="D87" s="61" t="s">
        <v>541</v>
      </c>
      <c r="E87" s="61" t="s">
        <v>540</v>
      </c>
      <c r="F87" s="852">
        <f t="shared" si="55"/>
        <v>0.11</v>
      </c>
      <c r="G87" s="853">
        <f t="shared" si="56"/>
        <v>56756.7653972318</v>
      </c>
      <c r="H87" s="853">
        <f t="shared" si="52"/>
        <v>56756.7653972318</v>
      </c>
      <c r="I87" s="853">
        <f t="shared" si="52"/>
        <v>32745.805033742654</v>
      </c>
      <c r="J87" s="853">
        <f t="shared" si="52"/>
        <v>10900.131608147945</v>
      </c>
      <c r="K87" s="853">
        <f t="shared" si="52"/>
        <v>402.03137879886822</v>
      </c>
      <c r="L87" s="853">
        <f t="shared" si="52"/>
        <v>1.6430103562415428</v>
      </c>
      <c r="M87" s="853">
        <f t="shared" si="33"/>
        <v>1</v>
      </c>
      <c r="N87" s="853">
        <f t="shared" si="34"/>
        <v>0.57694981038048665</v>
      </c>
      <c r="O87" s="853">
        <f t="shared" si="35"/>
        <v>0.19204990862075411</v>
      </c>
      <c r="P87" s="853">
        <f t="shared" si="36"/>
        <v>7.0834089290521219E-3</v>
      </c>
      <c r="Q87" s="853">
        <f t="shared" si="37"/>
        <v>2.8948273298211554E-5</v>
      </c>
      <c r="R87" s="853">
        <f t="shared" si="38"/>
        <v>1.761904493677811E-5</v>
      </c>
      <c r="S87" s="871">
        <f t="shared" si="53"/>
        <v>37.097532956499997</v>
      </c>
      <c r="T87" s="853">
        <f t="shared" si="54"/>
        <v>35.471103575954757</v>
      </c>
      <c r="U87" s="853">
        <f t="shared" si="54"/>
        <v>33.412907002350742</v>
      </c>
      <c r="V87" s="853">
        <f t="shared" si="54"/>
        <v>31.007283054825621</v>
      </c>
      <c r="W87" s="853">
        <f t="shared" si="54"/>
        <v>28.774856446176141</v>
      </c>
      <c r="X87" s="872">
        <f t="shared" si="54"/>
        <v>26.703157514124257</v>
      </c>
      <c r="Y87" s="211"/>
      <c r="Z87" s="855">
        <f t="shared" si="57"/>
        <v>8.7451009086669751E-2</v>
      </c>
      <c r="AA87" s="855">
        <f>1/SUMIFS('Vehicle data-proc2023'!AD$20:AD$117,'Vehicle data-proc2023'!$N$20:$N$117,Analytica!$C87,'Vehicle data-proc2023'!$Q$20:$Q$117,RIGHT(Analytica!$D87,3))</f>
        <v>5.6643542741085136E-2</v>
      </c>
      <c r="AB87" s="855">
        <f>1/SUMIFS('Vehicle data-proc2023'!AE$20:AE$117,'Vehicle data-proc2023'!$N$20:$N$117,Analytica!$C87,'Vehicle data-proc2023'!$Q$20:$Q$117,RIGHT(Analytica!$D87,3))</f>
        <v>5.6813813797851109E-2</v>
      </c>
      <c r="AC87" s="855">
        <f>1/SUMIFS('Vehicle data-proc2023'!AF$20:AF$117,'Vehicle data-proc2023'!$N$20:$N$117,Analytica!$C87,'Vehicle data-proc2023'!$Q$20:$Q$117,RIGHT(Analytica!$D87,3))</f>
        <v>6.0035214819027953E-2</v>
      </c>
      <c r="AD87" s="855">
        <f>1/SUMIFS('Vehicle data-proc2023'!AG$20:AG$117,'Vehicle data-proc2023'!$N$20:$N$117,Analytica!$C87,'Vehicle data-proc2023'!$Q$20:$Q$117,RIGHT(Analytica!$D87,3))</f>
        <v>6.6382579308024769E-2</v>
      </c>
      <c r="AE87" s="855">
        <f>1/SUMIFS('Vehicle data-proc2023'!AH$20:AH$117,'Vehicle data-proc2023'!$N$20:$N$117,Analytica!$C87,'Vehicle data-proc2023'!$Q$20:$Q$117,RIGHT(Analytica!$D87,3))</f>
        <v>7.3401033857707229E-2</v>
      </c>
      <c r="AF87" s="855"/>
      <c r="AG87" s="861"/>
      <c r="AH87" s="856"/>
      <c r="AI87" s="865">
        <f t="shared" si="58"/>
        <v>1169.6209727016771</v>
      </c>
      <c r="AJ87" s="865"/>
      <c r="AK87" s="983"/>
      <c r="AL87" s="983"/>
      <c r="AM87" s="983"/>
      <c r="AN87" s="983"/>
      <c r="AO87" s="983"/>
      <c r="AP87" s="983"/>
      <c r="AQ87" s="983"/>
      <c r="AR87" s="986"/>
      <c r="AS87" s="984"/>
      <c r="AT87" s="985"/>
      <c r="AU87" s="986"/>
      <c r="AV87" s="986"/>
      <c r="AW87" s="986"/>
      <c r="AX87" s="986"/>
      <c r="AY87" s="987"/>
      <c r="BA87" s="164">
        <f t="shared" si="43"/>
        <v>0</v>
      </c>
      <c r="BC87" s="166"/>
      <c r="BD87" s="166"/>
    </row>
    <row r="88" spans="1:56" x14ac:dyDescent="0.25">
      <c r="A88" s="61" t="str">
        <f t="shared" si="31"/>
        <v>CV7GAS</v>
      </c>
      <c r="B88" s="61" t="str">
        <f t="shared" si="45"/>
        <v>TFHCV7GAS-N</v>
      </c>
      <c r="C88" s="61" t="s">
        <v>509</v>
      </c>
      <c r="D88" s="61" t="s">
        <v>539</v>
      </c>
      <c r="E88" s="61" t="s">
        <v>538</v>
      </c>
      <c r="F88" s="852">
        <f t="shared" si="55"/>
        <v>0.16</v>
      </c>
      <c r="G88" s="853">
        <f t="shared" si="56"/>
        <v>64512.330335483297</v>
      </c>
      <c r="H88" s="853">
        <f t="shared" si="52"/>
        <v>64512.330335483297</v>
      </c>
      <c r="I88" s="853">
        <f t="shared" si="52"/>
        <v>28987.258562430718</v>
      </c>
      <c r="J88" s="853">
        <f t="shared" si="52"/>
        <v>5852.4265699655216</v>
      </c>
      <c r="K88" s="853">
        <f t="shared" si="52"/>
        <v>48.163990293780166</v>
      </c>
      <c r="L88" s="853">
        <f t="shared" si="52"/>
        <v>1.6157218754222567E-2</v>
      </c>
      <c r="M88" s="853">
        <f t="shared" si="33"/>
        <v>1</v>
      </c>
      <c r="N88" s="853">
        <f t="shared" si="34"/>
        <v>0.44932896411722156</v>
      </c>
      <c r="O88" s="853">
        <f t="shared" si="35"/>
        <v>9.0717953289412484E-2</v>
      </c>
      <c r="P88" s="853">
        <f t="shared" si="36"/>
        <v>7.4658580837667931E-4</v>
      </c>
      <c r="Q88" s="853">
        <f t="shared" si="37"/>
        <v>2.5045163723276199E-7</v>
      </c>
      <c r="R88" s="853">
        <f t="shared" si="38"/>
        <v>1.5500912690639181E-5</v>
      </c>
      <c r="S88" s="871">
        <f t="shared" si="53"/>
        <v>43.918692242049993</v>
      </c>
      <c r="T88" s="853">
        <f t="shared" si="54"/>
        <v>41.993209717339987</v>
      </c>
      <c r="U88" s="853">
        <f t="shared" si="54"/>
        <v>39.556570547944268</v>
      </c>
      <c r="V88" s="853">
        <f t="shared" si="54"/>
        <v>36.70862219716453</v>
      </c>
      <c r="W88" s="853">
        <f t="shared" si="54"/>
        <v>34.065717147569821</v>
      </c>
      <c r="X88" s="872">
        <f t="shared" si="54"/>
        <v>31.613092928011625</v>
      </c>
      <c r="Y88" s="211"/>
      <c r="Z88" s="855">
        <f t="shared" si="57"/>
        <v>9.0836209438411794E-2</v>
      </c>
      <c r="AA88" s="855">
        <f>1/SUMIFS('Vehicle data-proc2023'!AD$20:AD$117,'Vehicle data-proc2023'!$N$20:$N$117,Analytica!$C88,'Vehicle data-proc2023'!$Q$20:$Q$117,RIGHT(Analytica!$D88,3))</f>
        <v>6.1145949155644107E-2</v>
      </c>
      <c r="AB88" s="855">
        <f>1/SUMIFS('Vehicle data-proc2023'!AE$20:AE$117,'Vehicle data-proc2023'!$N$20:$N$117,Analytica!$C88,'Vehicle data-proc2023'!$Q$20:$Q$117,RIGHT(Analytica!$D88,3))</f>
        <v>6.1329754491183934E-2</v>
      </c>
      <c r="AC88" s="855">
        <f>1/SUMIFS('Vehicle data-proc2023'!AF$20:AF$117,'Vehicle data-proc2023'!$N$20:$N$117,Analytica!$C88,'Vehicle data-proc2023'!$Q$20:$Q$117,RIGHT(Analytica!$D88,3))</f>
        <v>6.4807213942320058E-2</v>
      </c>
      <c r="AD88" s="855">
        <f>1/SUMIFS('Vehicle data-proc2023'!AG$20:AG$117,'Vehicle data-proc2023'!$N$20:$N$117,Analytica!$C88,'Vehicle data-proc2023'!$Q$20:$Q$117,RIGHT(Analytica!$D88,3))</f>
        <v>7.1659109278220876E-2</v>
      </c>
      <c r="AE88" s="855">
        <f>1/SUMIFS('Vehicle data-proc2023'!AH$20:AH$117,'Vehicle data-proc2023'!$N$20:$N$117,Analytica!$C88,'Vehicle data-proc2023'!$Q$20:$Q$117,RIGHT(Analytica!$D88,3))</f>
        <v>7.9235437386928814E-2</v>
      </c>
      <c r="AF88" s="855"/>
      <c r="AG88" s="861"/>
      <c r="AH88" s="856"/>
      <c r="AI88" s="865">
        <f t="shared" si="58"/>
        <v>1309.4277306076999</v>
      </c>
      <c r="AJ88" s="865"/>
      <c r="AK88" s="983"/>
      <c r="AL88" s="983"/>
      <c r="AM88" s="983"/>
      <c r="AN88" s="983"/>
      <c r="AO88" s="983"/>
      <c r="AP88" s="983"/>
      <c r="AQ88" s="983"/>
      <c r="AR88" s="986"/>
      <c r="AS88" s="984"/>
      <c r="AT88" s="985"/>
      <c r="AU88" s="986"/>
      <c r="AV88" s="986"/>
      <c r="AW88" s="986"/>
      <c r="AX88" s="986"/>
      <c r="AY88" s="987"/>
      <c r="BA88" s="164">
        <f t="shared" si="43"/>
        <v>0</v>
      </c>
      <c r="BC88" s="166"/>
      <c r="BD88" s="166"/>
    </row>
    <row r="89" spans="1:56" x14ac:dyDescent="0.25">
      <c r="A89" s="61" t="str">
        <f t="shared" si="31"/>
        <v>CV8GAS</v>
      </c>
      <c r="B89" s="61" t="str">
        <f t="shared" si="45"/>
        <v>TFHCV8GAS-N</v>
      </c>
      <c r="C89" s="61" t="s">
        <v>509</v>
      </c>
      <c r="D89" s="61" t="s">
        <v>537</v>
      </c>
      <c r="E89" s="61" t="s">
        <v>536</v>
      </c>
      <c r="F89" s="852">
        <f t="shared" si="55"/>
        <v>0.16</v>
      </c>
      <c r="G89" s="853">
        <f t="shared" si="56"/>
        <v>92421.691229504097</v>
      </c>
      <c r="H89" s="853">
        <f t="shared" si="52"/>
        <v>92421.691229504097</v>
      </c>
      <c r="I89" s="853">
        <f t="shared" si="52"/>
        <v>41527.742782114779</v>
      </c>
      <c r="J89" s="853">
        <f t="shared" si="52"/>
        <v>8384.3066678866562</v>
      </c>
      <c r="K89" s="853">
        <f t="shared" si="52"/>
        <v>69.000723058119178</v>
      </c>
      <c r="L89" s="853">
        <f t="shared" si="52"/>
        <v>2.3147163884250102E-2</v>
      </c>
      <c r="M89" s="853">
        <f t="shared" si="33"/>
        <v>1</v>
      </c>
      <c r="N89" s="853">
        <f t="shared" si="34"/>
        <v>0.44932896411722156</v>
      </c>
      <c r="O89" s="853">
        <f t="shared" si="35"/>
        <v>9.0717953289412484E-2</v>
      </c>
      <c r="P89" s="853">
        <f t="shared" si="36"/>
        <v>7.4658580837667942E-4</v>
      </c>
      <c r="Q89" s="853">
        <f t="shared" si="37"/>
        <v>2.5045163723276199E-7</v>
      </c>
      <c r="R89" s="853">
        <f t="shared" si="38"/>
        <v>1.0819970795781829E-5</v>
      </c>
      <c r="S89" s="871">
        <f t="shared" si="53"/>
        <v>49.543156916100003</v>
      </c>
      <c r="T89" s="853">
        <f t="shared" si="54"/>
        <v>47.371086711113783</v>
      </c>
      <c r="U89" s="853">
        <f t="shared" si="54"/>
        <v>44.622398383784549</v>
      </c>
      <c r="V89" s="853">
        <f t="shared" si="54"/>
        <v>41.409726402251003</v>
      </c>
      <c r="W89" s="853">
        <f t="shared" si="54"/>
        <v>38.428356673280405</v>
      </c>
      <c r="X89" s="872">
        <f t="shared" si="54"/>
        <v>35.661636164024017</v>
      </c>
      <c r="Y89" s="211"/>
      <c r="Z89" s="855">
        <f t="shared" si="57"/>
        <v>7.6728133313099883E-2</v>
      </c>
      <c r="AA89" s="855">
        <f>1/SUMIFS('Vehicle data-proc2023'!AD$20:AD$117,'Vehicle data-proc2023'!$N$20:$N$117,Analytica!$C89,'Vehicle data-proc2023'!$Q$20:$Q$117,RIGHT(Analytica!$D89,3))</f>
        <v>6.0168354731601301E-2</v>
      </c>
      <c r="AB89" s="855">
        <f>1/SUMIFS('Vehicle data-proc2023'!AE$20:AE$117,'Vehicle data-proc2023'!$N$20:$N$117,Analytica!$C89,'Vehicle data-proc2023'!$Q$20:$Q$117,RIGHT(Analytica!$D89,3))</f>
        <v>6.0349221408511837E-2</v>
      </c>
      <c r="AC89" s="855">
        <f>1/SUMIFS('Vehicle data-proc2023'!AF$20:AF$117,'Vehicle data-proc2023'!$N$20:$N$117,Analytica!$C89,'Vehicle data-proc2023'!$Q$20:$Q$117,RIGHT(Analytica!$D89,3))</f>
        <v>6.3771083636672277E-2</v>
      </c>
      <c r="AD89" s="855">
        <f>1/SUMIFS('Vehicle data-proc2023'!AG$20:AG$117,'Vehicle data-proc2023'!$N$20:$N$117,Analytica!$C89,'Vehicle data-proc2023'!$Q$20:$Q$117,RIGHT(Analytica!$D89,3))</f>
        <v>7.0513431655588113E-2</v>
      </c>
      <c r="AE89" s="855">
        <f>1/SUMIFS('Vehicle data-proc2023'!AH$20:AH$117,'Vehicle data-proc2023'!$N$20:$N$117,Analytica!$C89,'Vehicle data-proc2023'!$Q$20:$Q$117,RIGHT(Analytica!$D89,3))</f>
        <v>7.7968630299203631E-2</v>
      </c>
      <c r="AF89" s="855"/>
      <c r="AG89" s="861"/>
      <c r="AH89" s="856"/>
      <c r="AI89" s="865">
        <f t="shared" si="58"/>
        <v>1465.9458249315746</v>
      </c>
      <c r="AJ89" s="865"/>
      <c r="AK89" s="983"/>
      <c r="AL89" s="983"/>
      <c r="AM89" s="983"/>
      <c r="AN89" s="983"/>
      <c r="AO89" s="983"/>
      <c r="AP89" s="983"/>
      <c r="AQ89" s="983"/>
      <c r="AR89" s="986"/>
      <c r="AS89" s="984"/>
      <c r="AT89" s="985"/>
      <c r="AU89" s="986"/>
      <c r="AV89" s="986"/>
      <c r="AW89" s="986"/>
      <c r="AX89" s="986"/>
      <c r="AY89" s="987"/>
      <c r="BA89" s="164">
        <f t="shared" si="43"/>
        <v>0</v>
      </c>
      <c r="BC89" s="166"/>
      <c r="BD89" s="166"/>
    </row>
    <row r="90" spans="1:56" ht="15.75" thickBot="1" x14ac:dyDescent="0.3">
      <c r="A90" s="61" t="str">
        <f t="shared" si="31"/>
        <v>CV9GAS</v>
      </c>
      <c r="B90" s="61" t="str">
        <f t="shared" si="45"/>
        <v>TFHCV9GAS-N</v>
      </c>
      <c r="C90" s="61" t="s">
        <v>509</v>
      </c>
      <c r="D90" s="61" t="s">
        <v>535</v>
      </c>
      <c r="E90" s="61" t="s">
        <v>534</v>
      </c>
      <c r="F90" s="852">
        <f t="shared" si="55"/>
        <v>0.18</v>
      </c>
      <c r="G90" s="853">
        <f t="shared" si="56"/>
        <v>116959.183879244</v>
      </c>
      <c r="H90" s="853">
        <f t="shared" si="52"/>
        <v>116959.183879244</v>
      </c>
      <c r="I90" s="853">
        <f t="shared" si="52"/>
        <v>47552.055593322402</v>
      </c>
      <c r="J90" s="853">
        <f t="shared" si="52"/>
        <v>7860.3019222272696</v>
      </c>
      <c r="K90" s="853">
        <f t="shared" si="52"/>
        <v>35.501689865113427</v>
      </c>
      <c r="L90" s="853">
        <f t="shared" si="52"/>
        <v>4.3812565909997049E-3</v>
      </c>
      <c r="M90" s="853">
        <f t="shared" si="33"/>
        <v>1</v>
      </c>
      <c r="N90" s="853">
        <f t="shared" si="34"/>
        <v>0.40656965974059917</v>
      </c>
      <c r="O90" s="853">
        <f t="shared" si="35"/>
        <v>6.7205512739749784E-2</v>
      </c>
      <c r="P90" s="853">
        <f t="shared" si="36"/>
        <v>3.0353913807886688E-4</v>
      </c>
      <c r="Q90" s="853">
        <f t="shared" si="37"/>
        <v>3.7459705562952537E-8</v>
      </c>
      <c r="R90" s="853">
        <f t="shared" si="38"/>
        <v>8.5499912604764987E-6</v>
      </c>
      <c r="S90" s="871">
        <f t="shared" si="53"/>
        <v>59.834730574999881</v>
      </c>
      <c r="T90" s="853">
        <f t="shared" si="54"/>
        <v>57.211457380572085</v>
      </c>
      <c r="U90" s="853">
        <f t="shared" si="54"/>
        <v>53.891785487662389</v>
      </c>
      <c r="V90" s="853">
        <f t="shared" si="54"/>
        <v>50.011746862621877</v>
      </c>
      <c r="W90" s="853">
        <f t="shared" si="54"/>
        <v>46.411058784154974</v>
      </c>
      <c r="X90" s="872">
        <f t="shared" si="54"/>
        <v>43.069608893748722</v>
      </c>
      <c r="Y90" s="211"/>
      <c r="Z90" s="855">
        <f t="shared" si="57"/>
        <v>6.8017451511854232E-2</v>
      </c>
      <c r="AA90" s="855">
        <f>1/SUMIFS('Vehicle data-proc2023'!AD$20:AD$117,'Vehicle data-proc2023'!$N$20:$N$117,Analytica!$C90,'Vehicle data-proc2023'!$Q$20:$Q$117,RIGHT(Analytica!$D90,3))</f>
        <v>4.7279447045137132E-2</v>
      </c>
      <c r="AB90" s="855">
        <f>1/SUMIFS('Vehicle data-proc2023'!AE$20:AE$117,'Vehicle data-proc2023'!$N$20:$N$117,Analytica!$C90,'Vehicle data-proc2023'!$Q$20:$Q$117,RIGHT(Analytica!$D90,3))</f>
        <v>4.7421569536459478E-2</v>
      </c>
      <c r="AC90" s="855">
        <f>1/SUMIFS('Vehicle data-proc2023'!AF$20:AF$117,'Vehicle data-proc2023'!$N$20:$N$117,Analytica!$C90,'Vehicle data-proc2023'!$Q$20:$Q$117,RIGHT(Analytica!$D90,3))</f>
        <v>5.0110420756236902E-2</v>
      </c>
      <c r="AD90" s="855">
        <f>1/SUMIFS('Vehicle data-proc2023'!AG$20:AG$117,'Vehicle data-proc2023'!$N$20:$N$117,Analytica!$C90,'Vehicle data-proc2023'!$Q$20:$Q$117,RIGHT(Analytica!$D90,3))</f>
        <v>5.5408463016860511E-2</v>
      </c>
      <c r="AE90" s="855">
        <f>1/SUMIFS('Vehicle data-proc2023'!AH$20:AH$117,'Vehicle data-proc2023'!$N$20:$N$117,Analytica!$C90,'Vehicle data-proc2023'!$Q$20:$Q$117,RIGHT(Analytica!$D90,3))</f>
        <v>6.1266653274083406E-2</v>
      </c>
      <c r="AF90" s="855"/>
      <c r="AG90" s="861"/>
      <c r="AH90" s="856"/>
      <c r="AI90" s="865">
        <f t="shared" si="58"/>
        <v>1641.1727897628796</v>
      </c>
      <c r="AJ90" s="865"/>
      <c r="AK90" s="983"/>
      <c r="AL90" s="983"/>
      <c r="AM90" s="983"/>
      <c r="AN90" s="983"/>
      <c r="AO90" s="983"/>
      <c r="AP90" s="983"/>
      <c r="AQ90" s="983"/>
      <c r="AR90" s="986"/>
      <c r="AS90" s="984"/>
      <c r="AT90" s="985"/>
      <c r="AU90" s="986"/>
      <c r="AV90" s="986"/>
      <c r="AW90" s="986"/>
      <c r="AX90" s="986"/>
      <c r="AY90" s="987"/>
      <c r="BA90" s="164">
        <f t="shared" si="43"/>
        <v>0</v>
      </c>
      <c r="BC90" s="166"/>
      <c r="BD90" s="166"/>
    </row>
    <row r="91" spans="1:56" x14ac:dyDescent="0.25">
      <c r="A91" s="61" t="str">
        <f t="shared" ref="A91:A128" si="59">RIGHT(D91,3)&amp;C91</f>
        <v>CV1ELC</v>
      </c>
      <c r="B91" s="61" t="str">
        <f t="shared" si="45"/>
        <v>TFHCV1ELC-N</v>
      </c>
      <c r="C91" s="61" t="s">
        <v>501</v>
      </c>
      <c r="D91" s="61" t="str">
        <f>D73</f>
        <v>TFHCV1</v>
      </c>
      <c r="E91" t="s">
        <v>1317</v>
      </c>
      <c r="F91" s="852">
        <f>F73</f>
        <v>4.8000000000000001E-2</v>
      </c>
      <c r="G91" s="211">
        <f>G72</f>
        <v>30805.1279861556</v>
      </c>
      <c r="H91" s="211">
        <f t="shared" ref="H91:M91" si="60">H73</f>
        <v>17100.2801251579</v>
      </c>
      <c r="I91" s="211">
        <f t="shared" si="60"/>
        <v>13451.556778491855</v>
      </c>
      <c r="J91" s="211">
        <f t="shared" si="60"/>
        <v>8323.5999284680747</v>
      </c>
      <c r="K91" s="211">
        <f t="shared" si="60"/>
        <v>1972.0918752186101</v>
      </c>
      <c r="L91" s="211">
        <f t="shared" si="60"/>
        <v>178.90413861851181</v>
      </c>
      <c r="M91" s="211">
        <f t="shared" si="60"/>
        <v>1</v>
      </c>
      <c r="N91" s="211">
        <f t="shared" ref="N91:N130" si="61">I91/$G91</f>
        <v>0.43666615456157937</v>
      </c>
      <c r="O91" s="211">
        <f t="shared" ref="O91:O130" si="62">J91/$G91</f>
        <v>0.27020176420655861</v>
      </c>
      <c r="P91" s="211">
        <f t="shared" ref="P91:P130" si="63">K91/$G91</f>
        <v>6.401829838541509E-2</v>
      </c>
      <c r="Q91" s="211">
        <f t="shared" ref="Q91:Q130" si="64">L91/$G91</f>
        <v>5.8076090025957587E-3</v>
      </c>
      <c r="R91" s="211">
        <f t="shared" ref="R91:R130" si="65">M91/$G91</f>
        <v>3.2462127748646868E-5</v>
      </c>
      <c r="S91" s="858" t="s">
        <v>532</v>
      </c>
      <c r="T91" s="859"/>
      <c r="U91" s="859"/>
      <c r="V91" s="859"/>
      <c r="W91" s="859"/>
      <c r="X91" s="860" t="s">
        <v>532</v>
      </c>
      <c r="Y91" s="211"/>
      <c r="Z91" s="855">
        <f t="shared" ref="Z91:Z107" si="66">(AA91/AB91)*AA91</f>
        <v>0.55601425097572121</v>
      </c>
      <c r="AA91" s="855">
        <f>1/SUMIFS('Vehicle data-proc2023'!AD$20:AD$117,'Vehicle data-proc2023'!$N$20:$N$117,Analytica!$C91,'Vehicle data-proc2023'!$Q$20:$Q$117,RIGHT(Analytica!$D91,3))</f>
        <v>0.55768563538264859</v>
      </c>
      <c r="AB91" s="855">
        <f>1/SUMIFS('Vehicle data-proc2023'!AE$20:AE$117,'Vehicle data-proc2023'!$N$20:$N$117,Analytica!$C91,'Vehicle data-proc2023'!$Q$20:$Q$117,RIGHT(Analytica!$D91,3))</f>
        <v>0.55936204398784217</v>
      </c>
      <c r="AC91" s="855">
        <f>1/SUMIFS('Vehicle data-proc2023'!AF$20:AF$117,'Vehicle data-proc2023'!$N$20:$N$117,Analytica!$C91,'Vehicle data-proc2023'!$Q$20:$Q$117,RIGHT(Analytica!$D91,3))</f>
        <v>0.59107844074517712</v>
      </c>
      <c r="AD91" s="855">
        <f>1/SUMIFS('Vehicle data-proc2023'!AG$20:AG$117,'Vehicle data-proc2023'!$N$20:$N$117,Analytica!$C91,'Vehicle data-proc2023'!$Q$20:$Q$117,RIGHT(Analytica!$D91,3))</f>
        <v>0.65357160107294576</v>
      </c>
      <c r="AE91" s="855">
        <f>1/SUMIFS('Vehicle data-proc2023'!AH$20:AH$117,'Vehicle data-proc2023'!$N$20:$N$117,Analytica!$C91,'Vehicle data-proc2023'!$Q$20:$Q$117,RIGHT(Analytica!$D91,3))</f>
        <v>0.72267199796787562</v>
      </c>
      <c r="AF91" s="855"/>
      <c r="AG91" s="211"/>
      <c r="AH91" s="211"/>
      <c r="AI91" s="211"/>
      <c r="AJ91" s="211"/>
      <c r="AK91" s="983"/>
      <c r="AL91" s="983"/>
      <c r="AM91" s="983"/>
      <c r="AN91" s="983"/>
      <c r="AO91" s="983"/>
      <c r="AP91" s="983"/>
      <c r="AQ91" s="983"/>
      <c r="AR91" s="986"/>
      <c r="AS91" s="984"/>
      <c r="AT91" s="985"/>
      <c r="AU91" s="986"/>
      <c r="AV91" s="986"/>
      <c r="AW91" s="986"/>
      <c r="AX91" s="986"/>
      <c r="AY91" s="987"/>
      <c r="BA91" s="74">
        <f t="shared" si="43"/>
        <v>0</v>
      </c>
      <c r="BB91" s="61" t="s">
        <v>533</v>
      </c>
    </row>
    <row r="92" spans="1:56" x14ac:dyDescent="0.25">
      <c r="A92" s="61" t="str">
        <f t="shared" si="59"/>
        <v>CV2ELC</v>
      </c>
      <c r="B92" s="61" t="str">
        <f t="shared" si="45"/>
        <v>TFHCV2ELC-N</v>
      </c>
      <c r="C92" s="61" t="s">
        <v>501</v>
      </c>
      <c r="D92" s="61" t="str">
        <f>D100</f>
        <v>TFHCV2</v>
      </c>
      <c r="E92" t="s">
        <v>994</v>
      </c>
      <c r="F92" s="852">
        <f>F74</f>
        <v>4.8000000000000001E-2</v>
      </c>
      <c r="G92" s="211">
        <f>G91</f>
        <v>30805.1279861556</v>
      </c>
      <c r="H92" s="211">
        <f t="shared" ref="H92:M93" si="67">H100</f>
        <v>17100.2801251579</v>
      </c>
      <c r="I92" s="211">
        <f t="shared" si="67"/>
        <v>13451.556778491855</v>
      </c>
      <c r="J92" s="211">
        <f t="shared" si="67"/>
        <v>8323.5999284680747</v>
      </c>
      <c r="K92" s="211">
        <f t="shared" si="67"/>
        <v>1972.0918752186101</v>
      </c>
      <c r="L92" s="211">
        <f t="shared" si="67"/>
        <v>178.90413861851181</v>
      </c>
      <c r="M92" s="211">
        <f t="shared" si="67"/>
        <v>1</v>
      </c>
      <c r="N92" s="211">
        <f t="shared" si="61"/>
        <v>0.43666615456157937</v>
      </c>
      <c r="O92" s="211">
        <f t="shared" si="62"/>
        <v>0.27020176420655861</v>
      </c>
      <c r="P92" s="211">
        <f t="shared" si="63"/>
        <v>6.401829838541509E-2</v>
      </c>
      <c r="Q92" s="211">
        <f t="shared" si="64"/>
        <v>5.8076090025957587E-3</v>
      </c>
      <c r="R92" s="211">
        <f t="shared" si="65"/>
        <v>3.2462127748646868E-5</v>
      </c>
      <c r="S92" s="873"/>
      <c r="T92" s="211"/>
      <c r="U92" s="211"/>
      <c r="V92" s="211"/>
      <c r="W92" s="211"/>
      <c r="X92" s="874"/>
      <c r="Y92" s="211"/>
      <c r="Z92" s="855">
        <f t="shared" si="66"/>
        <v>0.44537447706359251</v>
      </c>
      <c r="AA92" s="855">
        <f>1/SUMIFS('Vehicle data-proc2023'!AD$20:AD$117,'Vehicle data-proc2023'!$N$20:$N$117,Analytica!$C92,'Vehicle data-proc2023'!$Q$20:$Q$117,RIGHT(Analytica!$D92,3))</f>
        <v>0.44671327720208048</v>
      </c>
      <c r="AB92" s="855">
        <f>1/SUMIFS('Vehicle data-proc2023'!AE$20:AE$117,'Vehicle data-proc2023'!$N$20:$N$117,Analytica!$C92,'Vehicle data-proc2023'!$Q$20:$Q$117,RIGHT(Analytica!$D92,3))</f>
        <v>0.44805610178719285</v>
      </c>
      <c r="AC92" s="855">
        <f>1/SUMIFS('Vehicle data-proc2023'!AF$20:AF$117,'Vehicle data-proc2023'!$N$20:$N$117,Analytica!$C92,'Vehicle data-proc2023'!$Q$20:$Q$117,RIGHT(Analytica!$D92,3))</f>
        <v>0.47346133842519467</v>
      </c>
      <c r="AD92" s="855">
        <f>1/SUMIFS('Vehicle data-proc2023'!AG$20:AG$117,'Vehicle data-proc2023'!$N$20:$N$117,Analytica!$C92,'Vehicle data-proc2023'!$Q$20:$Q$117,RIGHT(Analytica!$D92,3))</f>
        <v>0.52351915358404844</v>
      </c>
      <c r="AE92" s="855">
        <f>1/SUMIFS('Vehicle data-proc2023'!AH$20:AH$117,'Vehicle data-proc2023'!$N$20:$N$117,Analytica!$C92,'Vehicle data-proc2023'!$Q$20:$Q$117,RIGHT(Analytica!$D92,3))</f>
        <v>0.57886944915283944</v>
      </c>
      <c r="AF92" s="855"/>
      <c r="AG92" s="211"/>
      <c r="AH92" s="211"/>
      <c r="AI92" s="211"/>
      <c r="AJ92" s="211"/>
      <c r="AK92" s="983"/>
      <c r="AL92" s="983"/>
      <c r="AM92" s="983"/>
      <c r="AN92" s="983"/>
      <c r="AO92" s="983"/>
      <c r="AP92" s="983"/>
      <c r="AQ92" s="983"/>
      <c r="AR92" s="986"/>
      <c r="AS92" s="984"/>
      <c r="AT92" s="985"/>
      <c r="AU92" s="986"/>
      <c r="AV92" s="986"/>
      <c r="AW92" s="986"/>
      <c r="AX92" s="986"/>
      <c r="AY92" s="987"/>
      <c r="BA92" s="74">
        <f t="shared" si="43"/>
        <v>0</v>
      </c>
      <c r="BB92" s="61" t="s">
        <v>533</v>
      </c>
    </row>
    <row r="93" spans="1:56" ht="15.75" thickBot="1" x14ac:dyDescent="0.3">
      <c r="A93" s="61" t="str">
        <f t="shared" si="59"/>
        <v>CV3ELC</v>
      </c>
      <c r="B93" s="61" t="str">
        <f t="shared" si="45"/>
        <v>TFHCV3ELC-N</v>
      </c>
      <c r="C93" s="61" t="s">
        <v>501</v>
      </c>
      <c r="D93" s="61" t="str">
        <f>D101</f>
        <v>TFHCV3</v>
      </c>
      <c r="E93" t="s">
        <v>995</v>
      </c>
      <c r="F93" s="852">
        <f>F75</f>
        <v>8.4999999999999992E-2</v>
      </c>
      <c r="G93" s="211">
        <f>G92</f>
        <v>30805.1279861556</v>
      </c>
      <c r="H93" s="211">
        <f t="shared" si="67"/>
        <v>30096.280108149898</v>
      </c>
      <c r="I93" s="211">
        <f t="shared" si="67"/>
        <v>19676.038579512857</v>
      </c>
      <c r="J93" s="211">
        <f t="shared" si="67"/>
        <v>8409.8326904830083</v>
      </c>
      <c r="K93" s="211">
        <f t="shared" si="67"/>
        <v>656.65374726387358</v>
      </c>
      <c r="L93" s="211">
        <f t="shared" si="67"/>
        <v>9.3666626481927722</v>
      </c>
      <c r="M93" s="211">
        <f t="shared" si="67"/>
        <v>1</v>
      </c>
      <c r="N93" s="211">
        <f t="shared" si="61"/>
        <v>0.63872607795545067</v>
      </c>
      <c r="O93" s="211">
        <f t="shared" si="62"/>
        <v>0.27300106314320605</v>
      </c>
      <c r="P93" s="211">
        <f t="shared" si="63"/>
        <v>2.1316377830307539E-2</v>
      </c>
      <c r="Q93" s="211">
        <f t="shared" si="64"/>
        <v>3.0406179946411275E-4</v>
      </c>
      <c r="R93" s="211">
        <f t="shared" si="65"/>
        <v>3.2462127748646868E-5</v>
      </c>
      <c r="S93" s="875" t="s">
        <v>532</v>
      </c>
      <c r="T93" s="876"/>
      <c r="U93" s="876"/>
      <c r="V93" s="876"/>
      <c r="W93" s="876"/>
      <c r="X93" s="877" t="s">
        <v>532</v>
      </c>
      <c r="Y93" s="211"/>
      <c r="Z93" s="855">
        <f t="shared" si="66"/>
        <v>0.38938901483814226</v>
      </c>
      <c r="AA93" s="855">
        <f>1/SUMIFS('Vehicle data-proc2023'!AD$20:AD$117,'Vehicle data-proc2023'!$N$20:$N$117,Analytica!$C93,'Vehicle data-proc2023'!$Q$20:$Q$117,RIGHT(Analytica!$D93,3))</f>
        <v>0.39055952211648487</v>
      </c>
      <c r="AB93" s="855">
        <f>1/SUMIFS('Vehicle data-proc2023'!AE$20:AE$117,'Vehicle data-proc2023'!$N$20:$N$117,Analytica!$C93,'Vehicle data-proc2023'!$Q$20:$Q$117,RIGHT(Analytica!$D93,3))</f>
        <v>0.39173354795142884</v>
      </c>
      <c r="AC93" s="855">
        <f>1/SUMIFS('Vehicle data-proc2023'!AF$20:AF$117,'Vehicle data-proc2023'!$N$20:$N$117,Analytica!$C93,'Vehicle data-proc2023'!$Q$20:$Q$117,RIGHT(Analytica!$D93,3))</f>
        <v>0.41394523850770848</v>
      </c>
      <c r="AD93" s="855">
        <f>1/SUMIFS('Vehicle data-proc2023'!AG$20:AG$117,'Vehicle data-proc2023'!$N$20:$N$117,Analytica!$C93,'Vehicle data-proc2023'!$Q$20:$Q$117,RIGHT(Analytica!$D93,3))</f>
        <v>0.45771057382321367</v>
      </c>
      <c r="AE93" s="855">
        <f>1/SUMIFS('Vehicle data-proc2023'!AH$20:AH$117,'Vehicle data-proc2023'!$N$20:$N$117,Analytica!$C93,'Vehicle data-proc2023'!$Q$20:$Q$117,RIGHT(Analytica!$D93,3))</f>
        <v>0.50610310229640254</v>
      </c>
      <c r="AF93" s="855"/>
      <c r="AG93" s="211"/>
      <c r="AH93" s="211"/>
      <c r="AI93" s="211"/>
      <c r="AJ93" s="211"/>
      <c r="AK93" s="983"/>
      <c r="AL93" s="983"/>
      <c r="AM93" s="983"/>
      <c r="AN93" s="983"/>
      <c r="AO93" s="983"/>
      <c r="AP93" s="983"/>
      <c r="AQ93" s="983"/>
      <c r="AR93" s="986"/>
      <c r="AS93" s="984"/>
      <c r="AT93" s="985"/>
      <c r="AU93" s="986"/>
      <c r="AV93" s="986"/>
      <c r="AW93" s="986"/>
      <c r="AX93" s="986"/>
      <c r="AY93" s="987"/>
      <c r="BA93" s="74">
        <f t="shared" si="43"/>
        <v>0</v>
      </c>
      <c r="BB93" s="61" t="s">
        <v>533</v>
      </c>
    </row>
    <row r="94" spans="1:56" x14ac:dyDescent="0.25">
      <c r="A94" s="61" t="str">
        <f t="shared" si="59"/>
        <v>CV4ELC</v>
      </c>
      <c r="B94" s="61" t="str">
        <f t="shared" si="45"/>
        <v>TFHCV4ELC-N</v>
      </c>
      <c r="C94" s="61" t="s">
        <v>501</v>
      </c>
      <c r="D94" s="61" t="str">
        <f t="shared" ref="D94:D99" si="68">D102</f>
        <v>TFHCV4</v>
      </c>
      <c r="E94" t="s">
        <v>1324</v>
      </c>
      <c r="F94" s="852">
        <f t="shared" ref="F94:F99" si="69">F76</f>
        <v>8.4999999999999992E-2</v>
      </c>
      <c r="G94" s="211">
        <f t="shared" ref="G94:G99" si="70">G93</f>
        <v>30805.1279861556</v>
      </c>
      <c r="H94" s="211">
        <f t="shared" ref="H94:M94" si="71">H102</f>
        <v>54512.527353451602</v>
      </c>
      <c r="I94" s="211">
        <f t="shared" si="71"/>
        <v>35638.643294750975</v>
      </c>
      <c r="J94" s="211">
        <f t="shared" si="71"/>
        <v>15232.488298570934</v>
      </c>
      <c r="K94" s="211">
        <f t="shared" si="71"/>
        <v>1189.3780636954896</v>
      </c>
      <c r="L94" s="211">
        <f t="shared" si="71"/>
        <v>16.965566906785078</v>
      </c>
      <c r="M94" s="211">
        <f t="shared" si="71"/>
        <v>1</v>
      </c>
      <c r="N94" s="211">
        <f t="shared" ref="N94:N99" si="72">I94/$G94</f>
        <v>1.1569061914226633</v>
      </c>
      <c r="O94" s="211">
        <f t="shared" ref="O94:O99" si="73">J94/$G94</f>
        <v>0.49447898107797827</v>
      </c>
      <c r="P94" s="211">
        <f t="shared" ref="P94:P99" si="74">K94/$G94</f>
        <v>3.8609742645121237E-2</v>
      </c>
      <c r="Q94" s="211">
        <f t="shared" ref="Q94:Q99" si="75">L94/$G94</f>
        <v>5.5073840025627295E-4</v>
      </c>
      <c r="R94" s="211">
        <f t="shared" ref="R94:R99" si="76">M94/$G94</f>
        <v>3.2462127748646868E-5</v>
      </c>
      <c r="S94" s="211"/>
      <c r="T94" s="211"/>
      <c r="U94" s="211"/>
      <c r="V94" s="211"/>
      <c r="W94" s="211"/>
      <c r="X94" s="878"/>
      <c r="Y94" s="211"/>
      <c r="Z94" s="855">
        <f t="shared" ref="Z94:Z99" si="77">(AA94/AB94)*AA94</f>
        <v>0.33464331559961874</v>
      </c>
      <c r="AA94" s="855">
        <f>1/SUMIFS('Vehicle data-proc2023'!AD$20:AD$117,'Vehicle data-proc2023'!$N$20:$N$117,Analytica!$C94,'Vehicle data-proc2023'!$Q$20:$Q$117,RIGHT(Analytica!$D94,3))</f>
        <v>0.33564925675777102</v>
      </c>
      <c r="AB94" s="855">
        <f>1/SUMIFS('Vehicle data-proc2023'!AE$20:AE$117,'Vehicle data-proc2023'!$N$20:$N$117,Analytica!$C94,'Vehicle data-proc2023'!$Q$20:$Q$117,RIGHT(Analytica!$D94,3))</f>
        <v>0.33665822178511923</v>
      </c>
      <c r="AC94" s="855">
        <f>1/SUMIFS('Vehicle data-proc2023'!AF$20:AF$117,'Vehicle data-proc2023'!$N$20:$N$117,Analytica!$C94,'Vehicle data-proc2023'!$Q$20:$Q$117,RIGHT(Analytica!$D94,3))</f>
        <v>0.35574708533694765</v>
      </c>
      <c r="AD94" s="855">
        <f>1/SUMIFS('Vehicle data-proc2023'!AG$20:AG$117,'Vehicle data-proc2023'!$N$20:$N$117,Analytica!$C94,'Vehicle data-proc2023'!$Q$20:$Q$117,RIGHT(Analytica!$D94,3))</f>
        <v>0.39335928383309055</v>
      </c>
      <c r="AE94" s="855">
        <f>1/SUMIFS('Vehicle data-proc2023'!AH$20:AH$117,'Vehicle data-proc2023'!$N$20:$N$117,Analytica!$C94,'Vehicle data-proc2023'!$Q$20:$Q$117,RIGHT(Analytica!$D94,3))</f>
        <v>0.43494812060407229</v>
      </c>
      <c r="AF94" s="855"/>
      <c r="AG94" s="211"/>
      <c r="AH94" s="211"/>
      <c r="AI94" s="211"/>
      <c r="AJ94" s="211"/>
      <c r="AK94" s="983"/>
      <c r="AL94" s="983"/>
      <c r="AM94" s="983"/>
      <c r="AN94" s="983"/>
      <c r="AO94" s="983"/>
      <c r="AP94" s="983"/>
      <c r="AQ94" s="983"/>
      <c r="AR94" s="986"/>
      <c r="AS94" s="984"/>
      <c r="AT94" s="985"/>
      <c r="AU94" s="986"/>
      <c r="AV94" s="986"/>
      <c r="AW94" s="986"/>
      <c r="AX94" s="986"/>
      <c r="AY94" s="987"/>
      <c r="BA94" s="74"/>
    </row>
    <row r="95" spans="1:56" x14ac:dyDescent="0.25">
      <c r="A95" s="61" t="str">
        <f t="shared" si="59"/>
        <v>CV5ELC</v>
      </c>
      <c r="B95" s="61" t="str">
        <f t="shared" si="45"/>
        <v>TFHCV5ELC-N</v>
      </c>
      <c r="C95" s="61" t="s">
        <v>501</v>
      </c>
      <c r="D95" s="61" t="str">
        <f t="shared" si="68"/>
        <v>TFHCV5</v>
      </c>
      <c r="E95" t="s">
        <v>1325</v>
      </c>
      <c r="F95" s="852">
        <f t="shared" si="69"/>
        <v>0.11</v>
      </c>
      <c r="G95" s="211">
        <f t="shared" si="70"/>
        <v>30805.1279861556</v>
      </c>
      <c r="H95" s="211">
        <f t="shared" ref="H95:M95" si="78">H103</f>
        <v>53608.118344618502</v>
      </c>
      <c r="I95" s="211">
        <f t="shared" si="78"/>
        <v>30929.193713782333</v>
      </c>
      <c r="J95" s="211">
        <f t="shared" si="78"/>
        <v>10295.434229414555</v>
      </c>
      <c r="K95" s="211">
        <f t="shared" si="78"/>
        <v>379.72822415195355</v>
      </c>
      <c r="L95" s="211">
        <f t="shared" si="78"/>
        <v>1.5518624608428848</v>
      </c>
      <c r="M95" s="211">
        <f t="shared" si="78"/>
        <v>1</v>
      </c>
      <c r="N95" s="211">
        <f t="shared" si="72"/>
        <v>1.0040274374994478</v>
      </c>
      <c r="O95" s="211">
        <f t="shared" si="73"/>
        <v>0.33421170118304705</v>
      </c>
      <c r="P95" s="211">
        <f t="shared" si="74"/>
        <v>1.232678612218753E-2</v>
      </c>
      <c r="Q95" s="211">
        <f t="shared" si="75"/>
        <v>5.037675745221123E-5</v>
      </c>
      <c r="R95" s="211">
        <f t="shared" si="76"/>
        <v>3.2462127748646868E-5</v>
      </c>
      <c r="S95" s="211"/>
      <c r="T95" s="211"/>
      <c r="U95" s="211"/>
      <c r="V95" s="211"/>
      <c r="W95" s="211"/>
      <c r="X95" s="878"/>
      <c r="Y95" s="211"/>
      <c r="Z95" s="855">
        <f t="shared" si="77"/>
        <v>0.30829299628460721</v>
      </c>
      <c r="AA95" s="855">
        <f>1/SUMIFS('Vehicle data-proc2023'!AD$20:AD$117,'Vehicle data-proc2023'!$N$20:$N$117,Analytica!$C95,'Vehicle data-proc2023'!$Q$20:$Q$117,RIGHT(Analytica!$D95,3))</f>
        <v>0.30921972811899956</v>
      </c>
      <c r="AB95" s="855">
        <f>1/SUMIFS('Vehicle data-proc2023'!AE$20:AE$117,'Vehicle data-proc2023'!$N$20:$N$117,Analytica!$C95,'Vehicle data-proc2023'!$Q$20:$Q$117,RIGHT(Analytica!$D95,3))</f>
        <v>0.31014924571856733</v>
      </c>
      <c r="AC95" s="855">
        <f>1/SUMIFS('Vehicle data-proc2023'!AF$20:AF$117,'Vehicle data-proc2023'!$N$20:$N$117,Analytica!$C95,'Vehicle data-proc2023'!$Q$20:$Q$117,RIGHT(Analytica!$D95,3))</f>
        <v>0.32773502336817151</v>
      </c>
      <c r="AD95" s="855">
        <f>1/SUMIFS('Vehicle data-proc2023'!AG$20:AG$117,'Vehicle data-proc2023'!$N$20:$N$117,Analytica!$C95,'Vehicle data-proc2023'!$Q$20:$Q$117,RIGHT(Analytica!$D95,3))</f>
        <v>0.36238558063524307</v>
      </c>
      <c r="AE95" s="855">
        <f>1/SUMIFS('Vehicle data-proc2023'!AH$20:AH$117,'Vehicle data-proc2023'!$N$20:$N$117,Analytica!$C95,'Vehicle data-proc2023'!$Q$20:$Q$117,RIGHT(Analytica!$D95,3))</f>
        <v>0.40069964968259153</v>
      </c>
      <c r="AF95" s="855"/>
      <c r="AG95" s="211"/>
      <c r="AH95" s="211"/>
      <c r="AI95" s="211"/>
      <c r="AJ95" s="211"/>
      <c r="AK95" s="983"/>
      <c r="AL95" s="983"/>
      <c r="AM95" s="983"/>
      <c r="AN95" s="983"/>
      <c r="AO95" s="983"/>
      <c r="AP95" s="983"/>
      <c r="AQ95" s="983"/>
      <c r="AR95" s="986"/>
      <c r="AS95" s="984"/>
      <c r="AT95" s="985"/>
      <c r="AU95" s="986"/>
      <c r="AV95" s="986"/>
      <c r="AW95" s="986"/>
      <c r="AX95" s="986"/>
      <c r="AY95" s="987"/>
      <c r="BA95" s="74"/>
    </row>
    <row r="96" spans="1:56" x14ac:dyDescent="0.25">
      <c r="A96" s="900" t="str">
        <f t="shared" si="59"/>
        <v>CV6ELC</v>
      </c>
      <c r="B96" s="900" t="str">
        <f t="shared" si="45"/>
        <v>TFHCV6ELC-N</v>
      </c>
      <c r="C96" s="900" t="s">
        <v>501</v>
      </c>
      <c r="D96" s="900" t="str">
        <f t="shared" si="68"/>
        <v>TFHCV6</v>
      </c>
      <c r="E96" s="901" t="s">
        <v>1326</v>
      </c>
      <c r="F96" s="902">
        <f t="shared" si="69"/>
        <v>0.11</v>
      </c>
      <c r="G96" s="900">
        <f t="shared" si="70"/>
        <v>30805.1279861556</v>
      </c>
      <c r="H96" s="900">
        <f t="shared" ref="H96:M96" si="79">H104</f>
        <v>56756.7653972318</v>
      </c>
      <c r="I96" s="900">
        <f t="shared" si="79"/>
        <v>32745.805033742654</v>
      </c>
      <c r="J96" s="900">
        <f t="shared" si="79"/>
        <v>10900.131608147945</v>
      </c>
      <c r="K96" s="900">
        <f t="shared" si="79"/>
        <v>402.03137879886822</v>
      </c>
      <c r="L96" s="900">
        <f t="shared" si="79"/>
        <v>1.6430103562415428</v>
      </c>
      <c r="M96" s="900">
        <f t="shared" si="79"/>
        <v>1</v>
      </c>
      <c r="N96" s="900">
        <f t="shared" si="72"/>
        <v>1.0629985062376377</v>
      </c>
      <c r="O96" s="900">
        <f t="shared" si="73"/>
        <v>0.35384146474076228</v>
      </c>
      <c r="P96" s="900">
        <f t="shared" si="74"/>
        <v>1.3050793977533502E-2</v>
      </c>
      <c r="Q96" s="900">
        <f t="shared" si="75"/>
        <v>5.3335612076662768E-5</v>
      </c>
      <c r="R96" s="900">
        <f t="shared" si="76"/>
        <v>3.2462127748646868E-5</v>
      </c>
      <c r="S96" s="900"/>
      <c r="T96" s="900"/>
      <c r="U96" s="900"/>
      <c r="V96" s="900"/>
      <c r="W96" s="900"/>
      <c r="X96" s="903"/>
      <c r="Y96" s="900"/>
      <c r="Z96" s="899">
        <f t="shared" si="77"/>
        <v>0.21264632170726872</v>
      </c>
      <c r="AA96" s="899">
        <f>1/SUMIFS('Vehicle data-proc2023'!AD$20:AD$117,'Vehicle data-proc2023'!$N$20:$N$117,Analytica!$C96,'Vehicle data-proc2023'!$Q$20:$Q$117,RIGHT(Analytica!$D96,3))</f>
        <v>0.21328553867997815</v>
      </c>
      <c r="AB96" s="899">
        <f>1/SUMIFS('Vehicle data-proc2023'!AE$20:AE$117,'Vehicle data-proc2023'!$N$20:$N$117,Analytica!$C96,'Vehicle data-proc2023'!$Q$20:$Q$117,RIGHT(Analytica!$D96,3))</f>
        <v>0.21392667714530933</v>
      </c>
      <c r="AC96" s="899">
        <f>1/SUMIFS('Vehicle data-proc2023'!AF$20:AF$117,'Vehicle data-proc2023'!$N$20:$N$117,Analytica!$C96,'Vehicle data-proc2023'!$Q$20:$Q$117,RIGHT(Analytica!$D96,3))</f>
        <v>0.22605653729982925</v>
      </c>
      <c r="AD96" s="899">
        <f>1/SUMIFS('Vehicle data-proc2023'!AG$20:AG$117,'Vehicle data-proc2023'!$N$20:$N$117,Analytica!$C96,'Vehicle data-proc2023'!$Q$20:$Q$117,RIGHT(Analytica!$D96,3))</f>
        <v>0.24995689714176231</v>
      </c>
      <c r="AE96" s="899">
        <f>1/SUMIFS('Vehicle data-proc2023'!AH$20:AH$117,'Vehicle data-proc2023'!$N$20:$N$117,Analytica!$C96,'Vehicle data-proc2023'!$Q$20:$Q$117,RIGHT(Analytica!$D96,3))</f>
        <v>0.27638417882102423</v>
      </c>
      <c r="AF96" s="855"/>
      <c r="AG96" s="211"/>
      <c r="AH96" s="211"/>
      <c r="AI96" s="211"/>
      <c r="AJ96" s="211"/>
      <c r="AK96" s="983"/>
      <c r="AL96" s="983"/>
      <c r="AM96" s="983"/>
      <c r="AN96" s="983"/>
      <c r="AO96" s="983"/>
      <c r="AP96" s="983"/>
      <c r="AQ96" s="983"/>
      <c r="AR96" s="986"/>
      <c r="AS96" s="984"/>
      <c r="AT96" s="985"/>
      <c r="AU96" s="986"/>
      <c r="AV96" s="986"/>
      <c r="AW96" s="986"/>
      <c r="AX96" s="986"/>
      <c r="AY96" s="987"/>
      <c r="BA96" s="74"/>
    </row>
    <row r="97" spans="1:55" x14ac:dyDescent="0.25">
      <c r="A97" s="61" t="str">
        <f t="shared" si="59"/>
        <v>CV7ELC</v>
      </c>
      <c r="B97" s="61" t="str">
        <f t="shared" si="45"/>
        <v>TFHCV7ELC-N</v>
      </c>
      <c r="C97" s="61" t="s">
        <v>501</v>
      </c>
      <c r="D97" s="61" t="str">
        <f t="shared" si="68"/>
        <v>TFHCV7</v>
      </c>
      <c r="E97" t="s">
        <v>1327</v>
      </c>
      <c r="F97" s="852">
        <f t="shared" si="69"/>
        <v>0.16</v>
      </c>
      <c r="G97" s="211">
        <f t="shared" si="70"/>
        <v>30805.1279861556</v>
      </c>
      <c r="H97" s="211">
        <f t="shared" ref="H97:M97" si="80">H105</f>
        <v>64512.330335483297</v>
      </c>
      <c r="I97" s="211">
        <f t="shared" si="80"/>
        <v>28987.258562430718</v>
      </c>
      <c r="J97" s="211">
        <f t="shared" si="80"/>
        <v>5852.4265699655216</v>
      </c>
      <c r="K97" s="211">
        <f t="shared" si="80"/>
        <v>48.163990293780166</v>
      </c>
      <c r="L97" s="211">
        <f t="shared" si="80"/>
        <v>1.6157218754222567E-2</v>
      </c>
      <c r="M97" s="211">
        <f t="shared" si="80"/>
        <v>1</v>
      </c>
      <c r="N97" s="211">
        <f t="shared" si="72"/>
        <v>0.94098809053668386</v>
      </c>
      <c r="O97" s="211">
        <f t="shared" si="73"/>
        <v>0.18998221895379599</v>
      </c>
      <c r="P97" s="211">
        <f t="shared" si="74"/>
        <v>1.5635056058012798E-3</v>
      </c>
      <c r="Q97" s="211">
        <f t="shared" si="75"/>
        <v>5.2449769926240608E-7</v>
      </c>
      <c r="R97" s="211">
        <f t="shared" si="76"/>
        <v>3.2462127748646868E-5</v>
      </c>
      <c r="S97" s="211"/>
      <c r="T97" s="211"/>
      <c r="U97" s="211"/>
      <c r="V97" s="211"/>
      <c r="W97" s="211"/>
      <c r="X97" s="878"/>
      <c r="Y97" s="211"/>
      <c r="Z97" s="855">
        <f t="shared" si="77"/>
        <v>0.22954886905081143</v>
      </c>
      <c r="AA97" s="855">
        <f>1/SUMIFS('Vehicle data-proc2023'!AD$20:AD$117,'Vehicle data-proc2023'!$N$20:$N$117,Analytica!$C97,'Vehicle data-proc2023'!$Q$20:$Q$117,RIGHT(Analytica!$D97,3))</f>
        <v>0.23023889525011493</v>
      </c>
      <c r="AB97" s="855">
        <f>1/SUMIFS('Vehicle data-proc2023'!AE$20:AE$117,'Vehicle data-proc2023'!$N$20:$N$117,Analytica!$C97,'Vehicle data-proc2023'!$Q$20:$Q$117,RIGHT(Analytica!$D97,3))</f>
        <v>0.23093099567508416</v>
      </c>
      <c r="AC97" s="855">
        <f>1/SUMIFS('Vehicle data-proc2023'!AF$20:AF$117,'Vehicle data-proc2023'!$N$20:$N$117,Analytica!$C97,'Vehicle data-proc2023'!$Q$20:$Q$117,RIGHT(Analytica!$D97,3))</f>
        <v>0.24402501798339188</v>
      </c>
      <c r="AD97" s="855">
        <f>1/SUMIFS('Vehicle data-proc2023'!AG$20:AG$117,'Vehicle data-proc2023'!$N$20:$N$117,Analytica!$C97,'Vehicle data-proc2023'!$Q$20:$Q$117,RIGHT(Analytica!$D97,3))</f>
        <v>0.26982513776715028</v>
      </c>
      <c r="AE97" s="855">
        <f>1/SUMIFS('Vehicle data-proc2023'!AH$20:AH$117,'Vehicle data-proc2023'!$N$20:$N$117,Analytica!$C97,'Vehicle data-proc2023'!$Q$20:$Q$117,RIGHT(Analytica!$D97,3))</f>
        <v>0.29835303598263324</v>
      </c>
      <c r="AF97" s="855"/>
      <c r="AG97" s="211"/>
      <c r="AH97" s="211"/>
      <c r="AI97" s="211"/>
      <c r="AJ97" s="211"/>
      <c r="AK97" s="983"/>
      <c r="AL97" s="983"/>
      <c r="AM97" s="983"/>
      <c r="AN97" s="983"/>
      <c r="AO97" s="983"/>
      <c r="AP97" s="983"/>
      <c r="AQ97" s="983"/>
      <c r="AR97" s="986"/>
      <c r="AS97" s="984"/>
      <c r="AT97" s="985"/>
      <c r="AU97" s="986"/>
      <c r="AV97" s="986"/>
      <c r="AW97" s="986"/>
      <c r="AX97" s="986"/>
      <c r="AY97" s="987"/>
      <c r="BA97" s="74"/>
    </row>
    <row r="98" spans="1:55" x14ac:dyDescent="0.25">
      <c r="A98" s="61" t="str">
        <f t="shared" si="59"/>
        <v>CV8ELC</v>
      </c>
      <c r="B98" s="61" t="str">
        <f t="shared" si="45"/>
        <v>TFHCV8ELC-N</v>
      </c>
      <c r="C98" s="61" t="s">
        <v>501</v>
      </c>
      <c r="D98" s="61" t="str">
        <f t="shared" si="68"/>
        <v>TFHCV8</v>
      </c>
      <c r="E98" t="s">
        <v>1328</v>
      </c>
      <c r="F98" s="852">
        <f t="shared" si="69"/>
        <v>0.16</v>
      </c>
      <c r="G98" s="211">
        <f t="shared" si="70"/>
        <v>30805.1279861556</v>
      </c>
      <c r="H98" s="211">
        <f t="shared" ref="H98:M98" si="81">H106</f>
        <v>92421.691229504097</v>
      </c>
      <c r="I98" s="211">
        <f t="shared" si="81"/>
        <v>41527.742782114779</v>
      </c>
      <c r="J98" s="211">
        <f t="shared" si="81"/>
        <v>8384.3066678866562</v>
      </c>
      <c r="K98" s="211">
        <f t="shared" si="81"/>
        <v>69.000723058119178</v>
      </c>
      <c r="L98" s="211">
        <f t="shared" si="81"/>
        <v>2.3147163884250102E-2</v>
      </c>
      <c r="M98" s="211">
        <f t="shared" si="81"/>
        <v>1</v>
      </c>
      <c r="N98" s="211">
        <f t="shared" si="72"/>
        <v>1.348078891305958</v>
      </c>
      <c r="O98" s="211">
        <f t="shared" si="73"/>
        <v>0.27217243413676839</v>
      </c>
      <c r="P98" s="211">
        <f t="shared" si="74"/>
        <v>2.2399102866616687E-3</v>
      </c>
      <c r="Q98" s="211">
        <f t="shared" si="75"/>
        <v>7.5140619102939197E-7</v>
      </c>
      <c r="R98" s="211">
        <f t="shared" si="76"/>
        <v>3.2462127748646868E-5</v>
      </c>
      <c r="S98" s="211"/>
      <c r="T98" s="211"/>
      <c r="U98" s="211"/>
      <c r="V98" s="211"/>
      <c r="W98" s="211"/>
      <c r="X98" s="878"/>
      <c r="Y98" s="211"/>
      <c r="Z98" s="855">
        <f t="shared" si="77"/>
        <v>0.22587886805273732</v>
      </c>
      <c r="AA98" s="855">
        <f>1/SUMIFS('Vehicle data-proc2023'!AD$20:AD$117,'Vehicle data-proc2023'!$N$20:$N$117,Analytica!$C98,'Vehicle data-proc2023'!$Q$20:$Q$117,RIGHT(Analytica!$D98,3))</f>
        <v>0.22655786219228544</v>
      </c>
      <c r="AB98" s="855">
        <f>1/SUMIFS('Vehicle data-proc2023'!AE$20:AE$117,'Vehicle data-proc2023'!$N$20:$N$117,Analytica!$C98,'Vehicle data-proc2023'!$Q$20:$Q$117,RIGHT(Analytica!$D98,3))</f>
        <v>0.22723889739501718</v>
      </c>
      <c r="AC98" s="855">
        <f>1/SUMIFS('Vehicle data-proc2023'!AF$20:AF$117,'Vehicle data-proc2023'!$N$20:$N$117,Analytica!$C98,'Vehicle data-proc2023'!$Q$20:$Q$117,RIGHT(Analytica!$D98,3))</f>
        <v>0.24012357397603376</v>
      </c>
      <c r="AD98" s="855">
        <f>1/SUMIFS('Vehicle data-proc2023'!AG$20:AG$117,'Vehicle data-proc2023'!$N$20:$N$117,Analytica!$C98,'Vehicle data-proc2023'!$Q$20:$Q$117,RIGHT(Analytica!$D98,3))</f>
        <v>0.26551120440295778</v>
      </c>
      <c r="AE98" s="855">
        <f>1/SUMIFS('Vehicle data-proc2023'!AH$20:AH$117,'Vehicle data-proc2023'!$N$20:$N$117,Analytica!$C98,'Vehicle data-proc2023'!$Q$20:$Q$117,RIGHT(Analytica!$D98,3))</f>
        <v>0.29358300185280983</v>
      </c>
      <c r="AF98" s="855"/>
      <c r="AG98" s="211"/>
      <c r="AH98" s="211"/>
      <c r="AI98" s="211"/>
      <c r="AJ98" s="211"/>
      <c r="AK98" s="983"/>
      <c r="AL98" s="983"/>
      <c r="AM98" s="983"/>
      <c r="AN98" s="983"/>
      <c r="AO98" s="983"/>
      <c r="AP98" s="983"/>
      <c r="AQ98" s="983"/>
      <c r="AR98" s="986"/>
      <c r="AS98" s="984"/>
      <c r="AT98" s="985"/>
      <c r="AU98" s="986"/>
      <c r="AV98" s="986"/>
      <c r="AW98" s="986"/>
      <c r="AX98" s="986"/>
      <c r="AY98" s="987"/>
      <c r="BA98" s="74"/>
    </row>
    <row r="99" spans="1:55" x14ac:dyDescent="0.25">
      <c r="A99" s="61" t="str">
        <f t="shared" si="59"/>
        <v>CV9ELC</v>
      </c>
      <c r="B99" s="61" t="str">
        <f t="shared" si="45"/>
        <v>TFHCV9ELC-N</v>
      </c>
      <c r="C99" s="61" t="s">
        <v>501</v>
      </c>
      <c r="D99" s="61" t="str">
        <f t="shared" si="68"/>
        <v>TFHCV9</v>
      </c>
      <c r="E99" t="s">
        <v>1329</v>
      </c>
      <c r="F99" s="852">
        <f t="shared" si="69"/>
        <v>0.18</v>
      </c>
      <c r="G99" s="211">
        <f t="shared" si="70"/>
        <v>30805.1279861556</v>
      </c>
      <c r="H99" s="211">
        <f t="shared" ref="H99:M99" si="82">H107</f>
        <v>116959.183879244</v>
      </c>
      <c r="I99" s="211">
        <f t="shared" si="82"/>
        <v>47552.055593322402</v>
      </c>
      <c r="J99" s="211">
        <f t="shared" si="82"/>
        <v>7860.3019222272696</v>
      </c>
      <c r="K99" s="211">
        <f t="shared" si="82"/>
        <v>35.501689865113427</v>
      </c>
      <c r="L99" s="211">
        <f t="shared" si="82"/>
        <v>4.3812565909997049E-3</v>
      </c>
      <c r="M99" s="211">
        <f t="shared" si="82"/>
        <v>1</v>
      </c>
      <c r="N99" s="211">
        <f t="shared" si="72"/>
        <v>1.5436409033811898</v>
      </c>
      <c r="O99" s="211">
        <f t="shared" si="73"/>
        <v>0.25516212514227621</v>
      </c>
      <c r="P99" s="211">
        <f t="shared" si="74"/>
        <v>1.152460391694154E-3</v>
      </c>
      <c r="Q99" s="211">
        <f t="shared" si="75"/>
        <v>1.4222491115663353E-7</v>
      </c>
      <c r="R99" s="211">
        <f t="shared" si="76"/>
        <v>3.2462127748646868E-5</v>
      </c>
      <c r="S99" s="211"/>
      <c r="T99" s="211"/>
      <c r="U99" s="211"/>
      <c r="V99" s="211"/>
      <c r="W99" s="211"/>
      <c r="X99" s="878"/>
      <c r="Y99" s="211"/>
      <c r="Z99" s="855">
        <f t="shared" si="77"/>
        <v>0.17749243814881846</v>
      </c>
      <c r="AA99" s="855">
        <f>1/SUMIFS('Vehicle data-proc2023'!AD$20:AD$117,'Vehicle data-proc2023'!$N$20:$N$117,Analytica!$C99,'Vehicle data-proc2023'!$Q$20:$Q$117,RIGHT(Analytica!$D99,3))</f>
        <v>0.17802598219548429</v>
      </c>
      <c r="AB99" s="855">
        <f>1/SUMIFS('Vehicle data-proc2023'!AE$20:AE$117,'Vehicle data-proc2023'!$N$20:$N$117,Analytica!$C99,'Vehicle data-proc2023'!$Q$20:$Q$117,RIGHT(Analytica!$D99,3))</f>
        <v>0.17856113008089788</v>
      </c>
      <c r="AC99" s="855">
        <f>1/SUMIFS('Vehicle data-proc2023'!AF$20:AF$117,'Vehicle data-proc2023'!$N$20:$N$117,Analytica!$C99,'Vehicle data-proc2023'!$Q$20:$Q$117,RIGHT(Analytica!$D99,3))</f>
        <v>0.18868572775060849</v>
      </c>
      <c r="AD99" s="855">
        <f>1/SUMIFS('Vehicle data-proc2023'!AG$20:AG$117,'Vehicle data-proc2023'!$N$20:$N$117,Analytica!$C99,'Vehicle data-proc2023'!$Q$20:$Q$117,RIGHT(Analytica!$D99,3))</f>
        <v>0.20863497073266474</v>
      </c>
      <c r="AE99" s="855">
        <f>1/SUMIFS('Vehicle data-proc2023'!AH$20:AH$117,'Vehicle data-proc2023'!$N$20:$N$117,Analytica!$C99,'Vehicle data-proc2023'!$Q$20:$Q$117,RIGHT(Analytica!$D99,3))</f>
        <v>0.23069339441588738</v>
      </c>
      <c r="AF99" s="855"/>
      <c r="AG99" s="211"/>
      <c r="AH99" s="211"/>
      <c r="AI99" s="211"/>
      <c r="AJ99" s="211"/>
      <c r="AK99" s="983"/>
      <c r="AL99" s="983"/>
      <c r="AM99" s="983"/>
      <c r="AN99" s="983"/>
      <c r="AO99" s="983"/>
      <c r="AP99" s="983"/>
      <c r="AQ99" s="983"/>
      <c r="AR99" s="986"/>
      <c r="AS99" s="984"/>
      <c r="AT99" s="985"/>
      <c r="AU99" s="986"/>
      <c r="AV99" s="986"/>
      <c r="AW99" s="986"/>
      <c r="AX99" s="986"/>
      <c r="AY99" s="987"/>
      <c r="BA99" s="74"/>
    </row>
    <row r="100" spans="1:55" x14ac:dyDescent="0.25">
      <c r="A100" s="61" t="str">
        <f t="shared" si="59"/>
        <v>CV2HGN</v>
      </c>
      <c r="B100" s="61" t="str">
        <f t="shared" si="45"/>
        <v>TFHCV2HGN-N</v>
      </c>
      <c r="C100" s="61" t="s">
        <v>504</v>
      </c>
      <c r="D100" s="61" t="str">
        <f t="shared" ref="D100:D107" si="83">D83</f>
        <v>TFHCV2</v>
      </c>
      <c r="E100" t="s">
        <v>996</v>
      </c>
      <c r="F100" s="852">
        <f t="shared" ref="F100:F107" si="84">F74</f>
        <v>4.8000000000000001E-2</v>
      </c>
      <c r="G100" s="211">
        <f t="shared" ref="G100:M107" si="85">G83</f>
        <v>17100.2801251579</v>
      </c>
      <c r="H100" s="211">
        <f t="shared" si="85"/>
        <v>17100.2801251579</v>
      </c>
      <c r="I100" s="211">
        <f t="shared" si="85"/>
        <v>13451.556778491855</v>
      </c>
      <c r="J100" s="211">
        <f t="shared" si="85"/>
        <v>8323.5999284680747</v>
      </c>
      <c r="K100" s="211">
        <f t="shared" si="85"/>
        <v>1972.0918752186101</v>
      </c>
      <c r="L100" s="211">
        <f t="shared" si="85"/>
        <v>178.90413861851181</v>
      </c>
      <c r="M100" s="211">
        <f t="shared" si="85"/>
        <v>1</v>
      </c>
      <c r="N100" s="211">
        <f t="shared" si="61"/>
        <v>0.78662786106655347</v>
      </c>
      <c r="O100" s="211">
        <f t="shared" si="62"/>
        <v>0.48675225595997168</v>
      </c>
      <c r="P100" s="211">
        <f t="shared" si="63"/>
        <v>0.11532512103806254</v>
      </c>
      <c r="Q100" s="211">
        <f t="shared" si="64"/>
        <v>1.0462058943426802E-2</v>
      </c>
      <c r="R100" s="211">
        <f t="shared" si="65"/>
        <v>5.8478574191822851E-5</v>
      </c>
      <c r="S100" s="879" t="s">
        <v>532</v>
      </c>
      <c r="T100" s="211"/>
      <c r="U100" s="211"/>
      <c r="V100" s="211"/>
      <c r="W100" s="211"/>
      <c r="X100" s="880" t="s">
        <v>532</v>
      </c>
      <c r="Y100" s="211"/>
      <c r="Z100" s="855">
        <f t="shared" si="66"/>
        <v>0.28848119537073613</v>
      </c>
      <c r="AA100" s="855">
        <f>1/SUMIFS('Vehicle data-proc2023'!AD$20:AD$117,'Vehicle data-proc2023'!$N$20:$N$117,Analytica!$C100,'Vehicle data-proc2023'!$Q$20:$Q$117,RIGHT(Analytica!$D100,3))</f>
        <v>0.28934837273316583</v>
      </c>
      <c r="AB100" s="855">
        <f>1/SUMIFS('Vehicle data-proc2023'!AE$20:AE$117,'Vehicle data-proc2023'!$N$20:$N$117,Analytica!$C100,'Vehicle data-proc2023'!$Q$20:$Q$117,RIGHT(Analytica!$D100,3))</f>
        <v>0.29021815683943175</v>
      </c>
      <c r="AC100" s="855">
        <f>1/SUMIFS('Vehicle data-proc2023'!AF$20:AF$117,'Vehicle data-proc2023'!$N$20:$N$117,Analytica!$C100,'Vehicle data-proc2023'!$Q$20:$Q$117,RIGHT(Analytica!$D100,3))</f>
        <v>0.3066738214799557</v>
      </c>
      <c r="AD100" s="855">
        <f>1/SUMIFS('Vehicle data-proc2023'!AG$20:AG$117,'Vehicle data-proc2023'!$N$20:$N$117,Analytica!$C100,'Vehicle data-proc2023'!$Q$20:$Q$117,RIGHT(Analytica!$D100,3))</f>
        <v>0.33909763357148603</v>
      </c>
      <c r="AE100" s="855">
        <f>1/SUMIFS('Vehicle data-proc2023'!AH$20:AH$117,'Vehicle data-proc2023'!$N$20:$N$117,Analytica!$C100,'Vehicle data-proc2023'!$Q$20:$Q$117,RIGHT(Analytica!$D100,3))</f>
        <v>0.37494952956490746</v>
      </c>
      <c r="AF100" s="855"/>
      <c r="AG100" s="211"/>
      <c r="AH100" s="211"/>
      <c r="AI100" s="211"/>
      <c r="AJ100" s="211"/>
      <c r="AK100" s="983"/>
      <c r="AL100" s="983"/>
      <c r="AM100" s="983"/>
      <c r="AN100" s="983"/>
      <c r="AO100" s="983"/>
      <c r="AP100" s="983"/>
      <c r="AQ100" s="983"/>
      <c r="AR100" s="986"/>
      <c r="AS100" s="984"/>
      <c r="AT100" s="985"/>
      <c r="AU100" s="986"/>
      <c r="AV100" s="986"/>
      <c r="AW100" s="986"/>
      <c r="AX100" s="986"/>
      <c r="AY100" s="987"/>
      <c r="BA100" s="74">
        <f t="shared" si="43"/>
        <v>0</v>
      </c>
      <c r="BB100" s="61" t="s">
        <v>531</v>
      </c>
    </row>
    <row r="101" spans="1:55" x14ac:dyDescent="0.25">
      <c r="A101" s="61" t="str">
        <f t="shared" si="59"/>
        <v>CV3HGN</v>
      </c>
      <c r="B101" s="61" t="str">
        <f t="shared" si="45"/>
        <v>TFHCV3HGN-N</v>
      </c>
      <c r="C101" s="61" t="s">
        <v>504</v>
      </c>
      <c r="D101" s="61" t="str">
        <f t="shared" si="83"/>
        <v>TFHCV3</v>
      </c>
      <c r="E101" t="s">
        <v>997</v>
      </c>
      <c r="F101" s="852">
        <f t="shared" si="84"/>
        <v>8.4999999999999992E-2</v>
      </c>
      <c r="G101" s="211">
        <f t="shared" si="85"/>
        <v>30096.280108149898</v>
      </c>
      <c r="H101" s="211">
        <f t="shared" si="85"/>
        <v>30096.280108149898</v>
      </c>
      <c r="I101" s="211">
        <f t="shared" si="85"/>
        <v>19676.038579512857</v>
      </c>
      <c r="J101" s="211">
        <f t="shared" si="85"/>
        <v>8409.8326904830083</v>
      </c>
      <c r="K101" s="211">
        <f t="shared" si="85"/>
        <v>656.65374726387358</v>
      </c>
      <c r="L101" s="211">
        <f t="shared" si="85"/>
        <v>9.3666626481927722</v>
      </c>
      <c r="M101" s="211">
        <f t="shared" si="85"/>
        <v>1</v>
      </c>
      <c r="N101" s="211">
        <f t="shared" si="61"/>
        <v>0.65376978512984729</v>
      </c>
      <c r="O101" s="211">
        <f t="shared" si="62"/>
        <v>0.27943096822140734</v>
      </c>
      <c r="P101" s="211">
        <f t="shared" si="63"/>
        <v>2.1818435531042773E-2</v>
      </c>
      <c r="Q101" s="211">
        <f t="shared" si="64"/>
        <v>3.112232679432145E-4</v>
      </c>
      <c r="R101" s="211">
        <f t="shared" si="65"/>
        <v>3.3226697665177755E-5</v>
      </c>
      <c r="S101" s="879"/>
      <c r="T101" s="211"/>
      <c r="U101" s="211"/>
      <c r="V101" s="211"/>
      <c r="W101" s="211"/>
      <c r="X101" s="880"/>
      <c r="Y101" s="211"/>
      <c r="Z101" s="855">
        <f t="shared" si="66"/>
        <v>0.25221788461106948</v>
      </c>
      <c r="AA101" s="855">
        <f>1/SUMIFS('Vehicle data-proc2023'!AD$20:AD$117,'Vehicle data-proc2023'!$N$20:$N$117,Analytica!$C101,'Vehicle data-proc2023'!$Q$20:$Q$117,RIGHT(Analytica!$D101,3))</f>
        <v>0.25297605409817775</v>
      </c>
      <c r="AB101" s="855">
        <f>1/SUMIFS('Vehicle data-proc2023'!AE$20:AE$117,'Vehicle data-proc2023'!$N$20:$N$117,Analytica!$C101,'Vehicle data-proc2023'!$Q$20:$Q$117,RIGHT(Analytica!$D101,3))</f>
        <v>0.25373650265035735</v>
      </c>
      <c r="AC101" s="855">
        <f>1/SUMIFS('Vehicle data-proc2023'!AF$20:AF$117,'Vehicle data-proc2023'!$N$20:$N$117,Analytica!$C101,'Vehicle data-proc2023'!$Q$20:$Q$117,RIGHT(Analytica!$D101,3))</f>
        <v>0.26812362039703852</v>
      </c>
      <c r="AD101" s="855">
        <f>1/SUMIFS('Vehicle data-proc2023'!AG$20:AG$117,'Vehicle data-proc2023'!$N$20:$N$117,Analytica!$C101,'Vehicle data-proc2023'!$Q$20:$Q$117,RIGHT(Analytica!$D101,3))</f>
        <v>0.29647162168094532</v>
      </c>
      <c r="AE101" s="855">
        <f>1/SUMIFS('Vehicle data-proc2023'!AH$20:AH$117,'Vehicle data-proc2023'!$N$20:$N$117,Analytica!$C101,'Vehicle data-proc2023'!$Q$20:$Q$117,RIGHT(Analytica!$D101,3))</f>
        <v>0.32781678216926086</v>
      </c>
      <c r="AF101" s="855"/>
      <c r="AG101" s="211"/>
      <c r="AH101" s="211"/>
      <c r="AI101" s="211"/>
      <c r="AJ101" s="211"/>
      <c r="AK101" s="983"/>
      <c r="AL101" s="983"/>
      <c r="AM101" s="983"/>
      <c r="AN101" s="983"/>
      <c r="AO101" s="983"/>
      <c r="AP101" s="983"/>
      <c r="AQ101" s="983"/>
      <c r="AR101" s="986"/>
      <c r="AS101" s="984"/>
      <c r="AT101" s="985"/>
      <c r="AU101" s="986"/>
      <c r="AV101" s="986"/>
      <c r="AW101" s="986"/>
      <c r="AX101" s="986"/>
      <c r="AY101" s="987"/>
      <c r="BA101" s="74">
        <f t="shared" si="43"/>
        <v>0</v>
      </c>
      <c r="BB101" s="61" t="s">
        <v>531</v>
      </c>
    </row>
    <row r="102" spans="1:55" x14ac:dyDescent="0.25">
      <c r="A102" s="61" t="str">
        <f t="shared" si="59"/>
        <v>CV4HGN</v>
      </c>
      <c r="B102" s="61" t="str">
        <f t="shared" si="45"/>
        <v>TFHCV4HGN-N</v>
      </c>
      <c r="C102" s="61" t="s">
        <v>504</v>
      </c>
      <c r="D102" s="61" t="str">
        <f t="shared" si="83"/>
        <v>TFHCV4</v>
      </c>
      <c r="E102" t="s">
        <v>998</v>
      </c>
      <c r="F102" s="852">
        <f t="shared" si="84"/>
        <v>8.4999999999999992E-2</v>
      </c>
      <c r="G102" s="211">
        <f t="shared" si="85"/>
        <v>54512.527353451602</v>
      </c>
      <c r="H102" s="211">
        <f t="shared" si="85"/>
        <v>54512.527353451602</v>
      </c>
      <c r="I102" s="211">
        <f t="shared" si="85"/>
        <v>35638.643294750975</v>
      </c>
      <c r="J102" s="211">
        <f t="shared" si="85"/>
        <v>15232.488298570934</v>
      </c>
      <c r="K102" s="211">
        <f t="shared" si="85"/>
        <v>1189.3780636954896</v>
      </c>
      <c r="L102" s="211">
        <f t="shared" si="85"/>
        <v>16.965566906785078</v>
      </c>
      <c r="M102" s="211">
        <f t="shared" si="85"/>
        <v>1</v>
      </c>
      <c r="N102" s="211">
        <f t="shared" si="61"/>
        <v>0.65376978512984729</v>
      </c>
      <c r="O102" s="211">
        <f t="shared" si="62"/>
        <v>0.27943096822140734</v>
      </c>
      <c r="P102" s="211">
        <f t="shared" si="63"/>
        <v>2.1818435531042773E-2</v>
      </c>
      <c r="Q102" s="211">
        <f t="shared" si="64"/>
        <v>3.112232679432145E-4</v>
      </c>
      <c r="R102" s="211">
        <f t="shared" si="65"/>
        <v>1.8344407213339054E-5</v>
      </c>
      <c r="S102" s="879"/>
      <c r="T102" s="211"/>
      <c r="U102" s="211"/>
      <c r="V102" s="211"/>
      <c r="W102" s="211"/>
      <c r="X102" s="881"/>
      <c r="Y102" s="211"/>
      <c r="Z102" s="855">
        <f t="shared" si="66"/>
        <v>0.21562320269889015</v>
      </c>
      <c r="AA102" s="855">
        <f>1/SUMIFS('Vehicle data-proc2023'!AD$20:AD$117,'Vehicle data-proc2023'!$N$20:$N$117,Analytica!$C102,'Vehicle data-proc2023'!$Q$20:$Q$117,RIGHT(Analytica!$D102,3))</f>
        <v>0.21627136820567391</v>
      </c>
      <c r="AB102" s="855">
        <f>1/SUMIFS('Vehicle data-proc2023'!AE$20:AE$117,'Vehicle data-proc2023'!$N$20:$N$117,Analytica!$C102,'Vehicle data-proc2023'!$Q$20:$Q$117,RIGHT(Analytica!$D102,3))</f>
        <v>0.21692148210446247</v>
      </c>
      <c r="AC102" s="855">
        <f>1/SUMIFS('Vehicle data-proc2023'!AF$20:AF$117,'Vehicle data-proc2023'!$N$20:$N$117,Analytica!$C102,'Vehicle data-proc2023'!$Q$20:$Q$117,RIGHT(Analytica!$D102,3))</f>
        <v>0.22922115074584032</v>
      </c>
      <c r="AD102" s="855">
        <f>1/SUMIFS('Vehicle data-proc2023'!AG$20:AG$117,'Vehicle data-proc2023'!$N$20:$N$117,Analytica!$C102,'Vehicle data-proc2023'!$Q$20:$Q$117,RIGHT(Analytica!$D102,3))</f>
        <v>0.25345609679803616</v>
      </c>
      <c r="AE102" s="855">
        <f>1/SUMIFS('Vehicle data-proc2023'!AH$20:AH$117,'Vehicle data-proc2023'!$N$20:$N$117,Analytica!$C102,'Vehicle data-proc2023'!$Q$20:$Q$117,RIGHT(Analytica!$D102,3))</f>
        <v>0.28025333960269916</v>
      </c>
      <c r="AF102" s="855"/>
      <c r="AG102" s="211"/>
      <c r="AH102" s="211"/>
      <c r="AI102" s="211"/>
      <c r="AJ102" s="211"/>
      <c r="AK102" s="983"/>
      <c r="AL102" s="983"/>
      <c r="AM102" s="983"/>
      <c r="AN102" s="983"/>
      <c r="AO102" s="983"/>
      <c r="AP102" s="983"/>
      <c r="AQ102" s="983"/>
      <c r="AR102" s="986"/>
      <c r="AS102" s="984"/>
      <c r="AT102" s="985"/>
      <c r="AU102" s="986"/>
      <c r="AV102" s="986"/>
      <c r="AW102" s="986"/>
      <c r="AX102" s="986"/>
      <c r="AY102" s="987"/>
      <c r="BA102" s="74">
        <f t="shared" si="43"/>
        <v>0</v>
      </c>
      <c r="BB102" s="61" t="s">
        <v>531</v>
      </c>
    </row>
    <row r="103" spans="1:55" x14ac:dyDescent="0.25">
      <c r="A103" s="61" t="str">
        <f t="shared" si="59"/>
        <v>CV5HGN</v>
      </c>
      <c r="B103" s="61" t="str">
        <f t="shared" si="45"/>
        <v>TFHCV5HGN-N</v>
      </c>
      <c r="C103" s="61" t="s">
        <v>504</v>
      </c>
      <c r="D103" s="61" t="str">
        <f t="shared" si="83"/>
        <v>TFHCV5</v>
      </c>
      <c r="E103" t="s">
        <v>999</v>
      </c>
      <c r="F103" s="852">
        <f t="shared" si="84"/>
        <v>0.11</v>
      </c>
      <c r="G103" s="211">
        <f t="shared" si="85"/>
        <v>53608.118344618502</v>
      </c>
      <c r="H103" s="211">
        <f t="shared" si="85"/>
        <v>53608.118344618502</v>
      </c>
      <c r="I103" s="211">
        <f t="shared" si="85"/>
        <v>30929.193713782333</v>
      </c>
      <c r="J103" s="211">
        <f t="shared" si="85"/>
        <v>10295.434229414555</v>
      </c>
      <c r="K103" s="211">
        <f t="shared" si="85"/>
        <v>379.72822415195355</v>
      </c>
      <c r="L103" s="211">
        <f t="shared" si="85"/>
        <v>1.5518624608428848</v>
      </c>
      <c r="M103" s="211">
        <f t="shared" si="85"/>
        <v>1</v>
      </c>
      <c r="N103" s="211">
        <f t="shared" si="61"/>
        <v>0.57694981038048665</v>
      </c>
      <c r="O103" s="211">
        <f t="shared" si="62"/>
        <v>0.19204990862075411</v>
      </c>
      <c r="P103" s="211">
        <f t="shared" si="63"/>
        <v>7.0834089290521219E-3</v>
      </c>
      <c r="Q103" s="211">
        <f t="shared" si="64"/>
        <v>2.8948273298211554E-5</v>
      </c>
      <c r="R103" s="211">
        <f t="shared" si="65"/>
        <v>1.8653891068728135E-5</v>
      </c>
      <c r="S103" s="879"/>
      <c r="T103" s="211"/>
      <c r="U103" s="211"/>
      <c r="V103" s="211"/>
      <c r="W103" s="211"/>
      <c r="X103" s="881"/>
      <c r="Y103" s="211"/>
      <c r="Z103" s="855">
        <f t="shared" si="66"/>
        <v>0.19864470655692903</v>
      </c>
      <c r="AA103" s="855">
        <f>1/SUMIFS('Vehicle data-proc2023'!AD$20:AD$117,'Vehicle data-proc2023'!$N$20:$N$117,Analytica!$C103,'Vehicle data-proc2023'!$Q$20:$Q$117,RIGHT(Analytica!$D103,3))</f>
        <v>0.19924183453427008</v>
      </c>
      <c r="AB103" s="855">
        <f>1/SUMIFS('Vehicle data-proc2023'!AE$20:AE$117,'Vehicle data-proc2023'!$N$20:$N$117,Analytica!$C103,'Vehicle data-proc2023'!$Q$20:$Q$117,RIGHT(Analytica!$D103,3))</f>
        <v>0.19984075748429125</v>
      </c>
      <c r="AC103" s="855">
        <f>1/SUMIFS('Vehicle data-proc2023'!AF$20:AF$117,'Vehicle data-proc2023'!$N$20:$N$117,Analytica!$C103,'Vehicle data-proc2023'!$Q$20:$Q$117,RIGHT(Analytica!$D103,3))</f>
        <v>0.21117193166885198</v>
      </c>
      <c r="AD103" s="855">
        <f>1/SUMIFS('Vehicle data-proc2023'!AG$20:AG$117,'Vehicle data-proc2023'!$N$20:$N$117,Analytica!$C103,'Vehicle data-proc2023'!$Q$20:$Q$117,RIGHT(Analytica!$D103,3))</f>
        <v>0.23349858152241262</v>
      </c>
      <c r="AE103" s="855">
        <f>1/SUMIFS('Vehicle data-proc2023'!AH$20:AH$117,'Vehicle data-proc2023'!$N$20:$N$117,Analytica!$C103,'Vehicle data-proc2023'!$Q$20:$Q$117,RIGHT(Analytica!$D103,3))</f>
        <v>0.25818576901818791</v>
      </c>
      <c r="AF103" s="855"/>
      <c r="AG103" s="211"/>
      <c r="AH103" s="211"/>
      <c r="AI103" s="211"/>
      <c r="AJ103" s="211"/>
      <c r="AK103" s="983"/>
      <c r="AL103" s="983"/>
      <c r="AM103" s="983"/>
      <c r="AN103" s="983"/>
      <c r="AO103" s="983"/>
      <c r="AP103" s="983"/>
      <c r="AQ103" s="983"/>
      <c r="AR103" s="986"/>
      <c r="AS103" s="984"/>
      <c r="AT103" s="985"/>
      <c r="AU103" s="986"/>
      <c r="AV103" s="986"/>
      <c r="AW103" s="986"/>
      <c r="AX103" s="986"/>
      <c r="AY103" s="987"/>
      <c r="BA103" s="74">
        <f t="shared" si="43"/>
        <v>0</v>
      </c>
      <c r="BB103" s="61" t="s">
        <v>531</v>
      </c>
    </row>
    <row r="104" spans="1:55" x14ac:dyDescent="0.25">
      <c r="A104" s="61" t="str">
        <f t="shared" si="59"/>
        <v>CV6HGN</v>
      </c>
      <c r="B104" s="61" t="str">
        <f t="shared" si="45"/>
        <v>TFHCV6HGN-N</v>
      </c>
      <c r="C104" s="61" t="s">
        <v>504</v>
      </c>
      <c r="D104" s="61" t="str">
        <f t="shared" si="83"/>
        <v>TFHCV6</v>
      </c>
      <c r="E104" t="s">
        <v>1000</v>
      </c>
      <c r="F104" s="852">
        <f t="shared" si="84"/>
        <v>0.11</v>
      </c>
      <c r="G104" s="211">
        <f t="shared" si="85"/>
        <v>56756.7653972318</v>
      </c>
      <c r="H104" s="211">
        <f t="shared" si="85"/>
        <v>56756.7653972318</v>
      </c>
      <c r="I104" s="211">
        <f t="shared" si="85"/>
        <v>32745.805033742654</v>
      </c>
      <c r="J104" s="211">
        <f t="shared" si="85"/>
        <v>10900.131608147945</v>
      </c>
      <c r="K104" s="211">
        <f t="shared" si="85"/>
        <v>402.03137879886822</v>
      </c>
      <c r="L104" s="211">
        <f t="shared" si="85"/>
        <v>1.6430103562415428</v>
      </c>
      <c r="M104" s="211">
        <f t="shared" si="85"/>
        <v>1</v>
      </c>
      <c r="N104" s="211">
        <f t="shared" si="61"/>
        <v>0.57694981038048665</v>
      </c>
      <c r="O104" s="211">
        <f t="shared" si="62"/>
        <v>0.19204990862075411</v>
      </c>
      <c r="P104" s="211">
        <f t="shared" si="63"/>
        <v>7.0834089290521219E-3</v>
      </c>
      <c r="Q104" s="211">
        <f t="shared" si="64"/>
        <v>2.8948273298211554E-5</v>
      </c>
      <c r="R104" s="211">
        <f t="shared" si="65"/>
        <v>1.761904493677811E-5</v>
      </c>
      <c r="S104" s="879"/>
      <c r="T104" s="211"/>
      <c r="U104" s="211"/>
      <c r="V104" s="211"/>
      <c r="W104" s="211"/>
      <c r="X104" s="881"/>
      <c r="Y104" s="211"/>
      <c r="Z104" s="855">
        <f t="shared" si="66"/>
        <v>0.13701597728465742</v>
      </c>
      <c r="AA104" s="855">
        <f>1/SUMIFS('Vehicle data-proc2023'!AD$20:AD$117,'Vehicle data-proc2023'!$N$20:$N$117,Analytica!$C104,'Vehicle data-proc2023'!$Q$20:$Q$117,RIGHT(Analytica!$D104,3))</f>
        <v>0.13742784868459301</v>
      </c>
      <c r="AB104" s="855">
        <f>1/SUMIFS('Vehicle data-proc2023'!AE$20:AE$117,'Vehicle data-proc2023'!$N$20:$N$117,Analytica!$C104,'Vehicle data-proc2023'!$Q$20:$Q$117,RIGHT(Analytica!$D104,3))</f>
        <v>0.13784095817408171</v>
      </c>
      <c r="AC104" s="855">
        <f>1/SUMIFS('Vehicle data-proc2023'!AF$20:AF$117,'Vehicle data-proc2023'!$N$20:$N$117,Analytica!$C104,'Vehicle data-proc2023'!$Q$20:$Q$117,RIGHT(Analytica!$D104,3))</f>
        <v>0.1456566806848415</v>
      </c>
      <c r="AD104" s="855">
        <f>1/SUMIFS('Vehicle data-proc2023'!AG$20:AG$117,'Vehicle data-proc2023'!$N$20:$N$117,Analytica!$C104,'Vehicle data-proc2023'!$Q$20:$Q$117,RIGHT(Analytica!$D104,3))</f>
        <v>0.16105657631861348</v>
      </c>
      <c r="AE104" s="855">
        <f>1/SUMIFS('Vehicle data-proc2023'!AH$20:AH$117,'Vehicle data-proc2023'!$N$20:$N$117,Analytica!$C104,'Vehicle data-proc2023'!$Q$20:$Q$117,RIGHT(Analytica!$D104,3))</f>
        <v>0.17808466218997712</v>
      </c>
      <c r="AF104" s="855"/>
      <c r="AG104" s="211"/>
      <c r="AH104" s="211"/>
      <c r="AI104" s="211"/>
      <c r="AJ104" s="211"/>
      <c r="AK104" s="983"/>
      <c r="AL104" s="983"/>
      <c r="AM104" s="983"/>
      <c r="AN104" s="983"/>
      <c r="AO104" s="983"/>
      <c r="AP104" s="983"/>
      <c r="AQ104" s="983"/>
      <c r="AR104" s="986"/>
      <c r="AS104" s="984"/>
      <c r="AT104" s="985"/>
      <c r="AU104" s="986"/>
      <c r="AV104" s="986"/>
      <c r="AW104" s="986"/>
      <c r="AX104" s="986"/>
      <c r="AY104" s="987"/>
      <c r="BA104" s="74">
        <f t="shared" si="43"/>
        <v>0</v>
      </c>
      <c r="BB104" s="61" t="s">
        <v>531</v>
      </c>
    </row>
    <row r="105" spans="1:55" x14ac:dyDescent="0.25">
      <c r="A105" s="61" t="str">
        <f t="shared" si="59"/>
        <v>CV7HGN</v>
      </c>
      <c r="B105" s="61" t="str">
        <f t="shared" si="45"/>
        <v>TFHCV7HGN-N</v>
      </c>
      <c r="C105" s="61" t="s">
        <v>504</v>
      </c>
      <c r="D105" s="61" t="str">
        <f t="shared" si="83"/>
        <v>TFHCV7</v>
      </c>
      <c r="E105" t="s">
        <v>1001</v>
      </c>
      <c r="F105" s="852">
        <f t="shared" si="84"/>
        <v>0.16</v>
      </c>
      <c r="G105" s="211">
        <f t="shared" si="85"/>
        <v>64512.330335483297</v>
      </c>
      <c r="H105" s="211">
        <f t="shared" si="85"/>
        <v>64512.330335483297</v>
      </c>
      <c r="I105" s="211">
        <f t="shared" si="85"/>
        <v>28987.258562430718</v>
      </c>
      <c r="J105" s="211">
        <f t="shared" si="85"/>
        <v>5852.4265699655216</v>
      </c>
      <c r="K105" s="211">
        <f t="shared" si="85"/>
        <v>48.163990293780166</v>
      </c>
      <c r="L105" s="211">
        <f t="shared" si="85"/>
        <v>1.6157218754222567E-2</v>
      </c>
      <c r="M105" s="211">
        <f t="shared" si="85"/>
        <v>1</v>
      </c>
      <c r="N105" s="211">
        <f t="shared" si="61"/>
        <v>0.44932896411722156</v>
      </c>
      <c r="O105" s="211">
        <f t="shared" si="62"/>
        <v>9.0717953289412484E-2</v>
      </c>
      <c r="P105" s="211">
        <f t="shared" si="63"/>
        <v>7.4658580837667931E-4</v>
      </c>
      <c r="Q105" s="211">
        <f t="shared" si="64"/>
        <v>2.5045163723276199E-7</v>
      </c>
      <c r="R105" s="211">
        <f t="shared" si="65"/>
        <v>1.5500912690639181E-5</v>
      </c>
      <c r="S105" s="879"/>
      <c r="T105" s="211"/>
      <c r="U105" s="211"/>
      <c r="V105" s="211"/>
      <c r="W105" s="211"/>
      <c r="X105" s="881"/>
      <c r="Y105" s="211"/>
      <c r="Z105" s="855">
        <f t="shared" si="66"/>
        <v>0.147603705383693</v>
      </c>
      <c r="AA105" s="855">
        <f>1/SUMIFS('Vehicle data-proc2023'!AD$20:AD$117,'Vehicle data-proc2023'!$N$20:$N$117,Analytica!$C105,'Vehicle data-proc2023'!$Q$20:$Q$117,RIGHT(Analytica!$D105,3))</f>
        <v>0.14804740360033058</v>
      </c>
      <c r="AB105" s="855">
        <f>1/SUMIFS('Vehicle data-proc2023'!AE$20:AE$117,'Vehicle data-proc2023'!$N$20:$N$117,Analytica!$C105,'Vehicle data-proc2023'!$Q$20:$Q$117,RIGHT(Analytica!$D105,3))</f>
        <v>0.14849243557825104</v>
      </c>
      <c r="AC105" s="855">
        <f>1/SUMIFS('Vehicle data-proc2023'!AF$20:AF$117,'Vehicle data-proc2023'!$N$20:$N$117,Analytica!$C105,'Vehicle data-proc2023'!$Q$20:$Q$117,RIGHT(Analytica!$D105,3))</f>
        <v>0.15691210769022793</v>
      </c>
      <c r="AD105" s="855">
        <f>1/SUMIFS('Vehicle data-proc2023'!AG$20:AG$117,'Vehicle data-proc2023'!$N$20:$N$117,Analytica!$C105,'Vehicle data-proc2023'!$Q$20:$Q$117,RIGHT(Analytica!$D105,3))</f>
        <v>0.17350200985429787</v>
      </c>
      <c r="AE105" s="855">
        <f>1/SUMIFS('Vehicle data-proc2023'!AH$20:AH$117,'Vehicle data-proc2023'!$N$20:$N$117,Analytica!$C105,'Vehicle data-proc2023'!$Q$20:$Q$117,RIGHT(Analytica!$D105,3))</f>
        <v>0.19184591849922369</v>
      </c>
      <c r="AF105" s="855"/>
      <c r="AG105" s="211"/>
      <c r="AH105" s="211"/>
      <c r="AI105" s="211"/>
      <c r="AJ105" s="211"/>
      <c r="AK105" s="983"/>
      <c r="AL105" s="983"/>
      <c r="AM105" s="983"/>
      <c r="AN105" s="983"/>
      <c r="AO105" s="983"/>
      <c r="AP105" s="983"/>
      <c r="AQ105" s="983"/>
      <c r="AR105" s="986"/>
      <c r="AS105" s="984"/>
      <c r="AT105" s="985"/>
      <c r="AU105" s="986"/>
      <c r="AV105" s="986"/>
      <c r="AW105" s="986"/>
      <c r="AX105" s="986"/>
      <c r="AY105" s="987"/>
      <c r="BA105" s="74">
        <f t="shared" si="43"/>
        <v>0</v>
      </c>
      <c r="BB105" s="61" t="s">
        <v>531</v>
      </c>
    </row>
    <row r="106" spans="1:55" x14ac:dyDescent="0.25">
      <c r="A106" s="61" t="str">
        <f t="shared" si="59"/>
        <v>CV8HGN</v>
      </c>
      <c r="B106" s="61" t="str">
        <f t="shared" si="45"/>
        <v>TFHCV8HGN-N</v>
      </c>
      <c r="C106" s="61" t="s">
        <v>504</v>
      </c>
      <c r="D106" s="61" t="str">
        <f t="shared" si="83"/>
        <v>TFHCV8</v>
      </c>
      <c r="E106" t="s">
        <v>1002</v>
      </c>
      <c r="F106" s="852">
        <f t="shared" si="84"/>
        <v>0.16</v>
      </c>
      <c r="G106" s="211">
        <f t="shared" si="85"/>
        <v>92421.691229504097</v>
      </c>
      <c r="H106" s="211">
        <f t="shared" si="85"/>
        <v>92421.691229504097</v>
      </c>
      <c r="I106" s="211">
        <f t="shared" si="85"/>
        <v>41527.742782114779</v>
      </c>
      <c r="J106" s="211">
        <f t="shared" si="85"/>
        <v>8384.3066678866562</v>
      </c>
      <c r="K106" s="211">
        <f t="shared" si="85"/>
        <v>69.000723058119178</v>
      </c>
      <c r="L106" s="211">
        <f t="shared" si="85"/>
        <v>2.3147163884250102E-2</v>
      </c>
      <c r="M106" s="211">
        <f t="shared" si="85"/>
        <v>1</v>
      </c>
      <c r="N106" s="211">
        <f t="shared" si="61"/>
        <v>0.44932896411722156</v>
      </c>
      <c r="O106" s="211">
        <f t="shared" si="62"/>
        <v>9.0717953289412484E-2</v>
      </c>
      <c r="P106" s="211">
        <f t="shared" si="63"/>
        <v>7.4658580837667942E-4</v>
      </c>
      <c r="Q106" s="211">
        <f t="shared" si="64"/>
        <v>2.5045163723276199E-7</v>
      </c>
      <c r="R106" s="211">
        <f t="shared" si="65"/>
        <v>1.0819970795781829E-5</v>
      </c>
      <c r="S106" s="879"/>
      <c r="T106" s="211"/>
      <c r="U106" s="211"/>
      <c r="V106" s="211"/>
      <c r="W106" s="211"/>
      <c r="X106" s="881"/>
      <c r="Y106" s="211"/>
      <c r="Z106" s="855">
        <f t="shared" si="66"/>
        <v>0.14524383426641169</v>
      </c>
      <c r="AA106" s="855">
        <f>1/SUMIFS('Vehicle data-proc2023'!AD$20:AD$117,'Vehicle data-proc2023'!$N$20:$N$117,Analytica!$C106,'Vehicle data-proc2023'!$Q$20:$Q$117,RIGHT(Analytica!$D106,3))</f>
        <v>0.14568043868683658</v>
      </c>
      <c r="AB106" s="855">
        <f>1/SUMIFS('Vehicle data-proc2023'!AE$20:AE$117,'Vehicle data-proc2023'!$N$20:$N$117,Analytica!$C106,'Vehicle data-proc2023'!$Q$20:$Q$117,RIGHT(Analytica!$D106,3))</f>
        <v>0.14611835554452188</v>
      </c>
      <c r="AC106" s="855">
        <f>1/SUMIFS('Vehicle data-proc2023'!AF$20:AF$117,'Vehicle data-proc2023'!$N$20:$N$117,Analytica!$C106,'Vehicle data-proc2023'!$Q$20:$Q$117,RIGHT(Analytica!$D106,3))</f>
        <v>0.15440341490418077</v>
      </c>
      <c r="AD106" s="855">
        <f>1/SUMIFS('Vehicle data-proc2023'!AG$20:AG$117,'Vehicle data-proc2023'!$N$20:$N$117,Analytica!$C106,'Vehicle data-proc2023'!$Q$20:$Q$117,RIGHT(Analytica!$D106,3))</f>
        <v>0.17072807961466688</v>
      </c>
      <c r="AE106" s="855">
        <f>1/SUMIFS('Vehicle data-proc2023'!AH$20:AH$117,'Vehicle data-proc2023'!$N$20:$N$117,Analytica!$C106,'Vehicle data-proc2023'!$Q$20:$Q$117,RIGHT(Analytica!$D106,3))</f>
        <v>0.18877870795150914</v>
      </c>
      <c r="AF106" s="855"/>
      <c r="AG106" s="211"/>
      <c r="AH106" s="211"/>
      <c r="AI106" s="211"/>
      <c r="AJ106" s="211"/>
      <c r="AK106" s="983"/>
      <c r="AL106" s="983"/>
      <c r="AM106" s="983"/>
      <c r="AN106" s="983"/>
      <c r="AO106" s="983"/>
      <c r="AP106" s="983"/>
      <c r="AQ106" s="983"/>
      <c r="AR106" s="986"/>
      <c r="AS106" s="984"/>
      <c r="AT106" s="985"/>
      <c r="AU106" s="986"/>
      <c r="AV106" s="986"/>
      <c r="AW106" s="986"/>
      <c r="AX106" s="986"/>
      <c r="AY106" s="987"/>
      <c r="BA106" s="74">
        <f t="shared" si="43"/>
        <v>0</v>
      </c>
      <c r="BB106" s="61" t="s">
        <v>531</v>
      </c>
    </row>
    <row r="107" spans="1:55" ht="15.6" customHeight="1" x14ac:dyDescent="0.25">
      <c r="A107" s="61" t="str">
        <f t="shared" si="59"/>
        <v>CV9HGN</v>
      </c>
      <c r="B107" s="61" t="str">
        <f t="shared" si="45"/>
        <v>TFHCV9HGN-N</v>
      </c>
      <c r="C107" s="61" t="s">
        <v>504</v>
      </c>
      <c r="D107" s="61" t="str">
        <f t="shared" si="83"/>
        <v>TFHCV9</v>
      </c>
      <c r="E107" t="s">
        <v>1003</v>
      </c>
      <c r="F107" s="852">
        <f t="shared" si="84"/>
        <v>0.18</v>
      </c>
      <c r="G107" s="211">
        <f t="shared" si="85"/>
        <v>116959.183879244</v>
      </c>
      <c r="H107" s="211">
        <f t="shared" si="85"/>
        <v>116959.183879244</v>
      </c>
      <c r="I107" s="211">
        <f t="shared" si="85"/>
        <v>47552.055593322402</v>
      </c>
      <c r="J107" s="211">
        <f t="shared" si="85"/>
        <v>7860.3019222272696</v>
      </c>
      <c r="K107" s="211">
        <f t="shared" si="85"/>
        <v>35.501689865113427</v>
      </c>
      <c r="L107" s="211">
        <f t="shared" si="85"/>
        <v>4.3812565909997049E-3</v>
      </c>
      <c r="M107" s="211">
        <f t="shared" si="85"/>
        <v>1</v>
      </c>
      <c r="N107" s="211">
        <f t="shared" si="61"/>
        <v>0.40656965974059917</v>
      </c>
      <c r="O107" s="211">
        <f t="shared" si="62"/>
        <v>6.7205512739749784E-2</v>
      </c>
      <c r="P107" s="211">
        <f t="shared" si="63"/>
        <v>3.0353913807886688E-4</v>
      </c>
      <c r="Q107" s="211">
        <f t="shared" si="64"/>
        <v>3.7459705562952537E-8</v>
      </c>
      <c r="R107" s="211">
        <f t="shared" si="65"/>
        <v>8.5499912604764987E-6</v>
      </c>
      <c r="S107" s="882" t="s">
        <v>532</v>
      </c>
      <c r="T107" s="883"/>
      <c r="U107" s="883"/>
      <c r="V107" s="883"/>
      <c r="W107" s="883"/>
      <c r="X107" s="884" t="s">
        <v>532</v>
      </c>
      <c r="Y107" s="211"/>
      <c r="Z107" s="855">
        <f t="shared" si="66"/>
        <v>0.1141305625102096</v>
      </c>
      <c r="AA107" s="855">
        <f>1/SUMIFS('Vehicle data-proc2023'!AD$20:AD$117,'Vehicle data-proc2023'!$N$20:$N$117,Analytica!$C107,'Vehicle data-proc2023'!$Q$20:$Q$117,RIGHT(Analytica!$D107,3))</f>
        <v>0.11447364012413526</v>
      </c>
      <c r="AB107" s="855">
        <f>1/SUMIFS('Vehicle data-proc2023'!AE$20:AE$117,'Vehicle data-proc2023'!$N$20:$N$117,Analytica!$C107,'Vehicle data-proc2023'!$Q$20:$Q$117,RIGHT(Analytica!$D107,3))</f>
        <v>0.11481774903280431</v>
      </c>
      <c r="AC107" s="855">
        <f>1/SUMIFS('Vehicle data-proc2023'!AF$20:AF$117,'Vehicle data-proc2023'!$N$20:$N$117,Analytica!$C107,'Vehicle data-proc2023'!$Q$20:$Q$117,RIGHT(Analytica!$D107,3))</f>
        <v>0.12132803217097823</v>
      </c>
      <c r="AD107" s="855">
        <f>1/SUMIFS('Vehicle data-proc2023'!AG$20:AG$117,'Vehicle data-proc2023'!$N$20:$N$117,Analytica!$C107,'Vehicle data-proc2023'!$Q$20:$Q$117,RIGHT(Analytica!$D107,3))</f>
        <v>0.13415572413882385</v>
      </c>
      <c r="AE107" s="855">
        <f>1/SUMIFS('Vehicle data-proc2023'!AH$20:AH$117,'Vehicle data-proc2023'!$N$20:$N$117,Analytica!$C107,'Vehicle data-proc2023'!$Q$20:$Q$117,RIGHT(Analytica!$D107,3))</f>
        <v>0.14833965405331348</v>
      </c>
      <c r="AF107" s="855"/>
      <c r="AG107" s="211"/>
      <c r="AH107" s="211"/>
      <c r="AI107" s="211"/>
      <c r="AJ107" s="211"/>
      <c r="AK107" s="983"/>
      <c r="AL107" s="983"/>
      <c r="AM107" s="983"/>
      <c r="AN107" s="983"/>
      <c r="AO107" s="983"/>
      <c r="AP107" s="983"/>
      <c r="AQ107" s="983"/>
      <c r="AR107" s="986"/>
      <c r="AS107" s="984"/>
      <c r="AT107" s="985"/>
      <c r="AU107" s="986"/>
      <c r="AV107" s="986"/>
      <c r="AW107" s="986"/>
      <c r="AX107" s="986"/>
      <c r="AY107" s="987"/>
      <c r="BA107" s="74">
        <f t="shared" si="43"/>
        <v>0</v>
      </c>
      <c r="BB107" s="61" t="s">
        <v>531</v>
      </c>
    </row>
    <row r="108" spans="1:55" x14ac:dyDescent="0.25">
      <c r="A108" s="61" t="str">
        <f t="shared" si="59"/>
        <v>LCVODS</v>
      </c>
      <c r="B108" s="61" t="str">
        <f t="shared" si="45"/>
        <v>TFLCVODS-N</v>
      </c>
      <c r="C108" s="61" t="s">
        <v>511</v>
      </c>
      <c r="D108" s="61" t="s">
        <v>527</v>
      </c>
      <c r="E108" s="61" t="s">
        <v>247</v>
      </c>
      <c r="F108" s="852">
        <f>INDEX($F$17:$F$49,MATCH($E108,$E$17:$E$49,0))</f>
        <v>0.04</v>
      </c>
      <c r="G108" s="853">
        <f>G33</f>
        <v>24753.4936084117</v>
      </c>
      <c r="H108" s="853">
        <f t="shared" ref="H108:L117" si="86">(EXP(-((H$58)*$F108))*G108)</f>
        <v>24753.4936084117</v>
      </c>
      <c r="I108" s="853">
        <f t="shared" si="86"/>
        <v>20266.446463325919</v>
      </c>
      <c r="J108" s="853">
        <f t="shared" si="86"/>
        <v>13585.00532627545</v>
      </c>
      <c r="K108" s="853">
        <f t="shared" si="86"/>
        <v>4091.7249730706026</v>
      </c>
      <c r="L108" s="853">
        <f t="shared" si="86"/>
        <v>553.75475815683149</v>
      </c>
      <c r="M108" s="853">
        <f t="shared" ref="M108:M130" si="87">H108/$G108</f>
        <v>1</v>
      </c>
      <c r="N108" s="853">
        <f t="shared" si="61"/>
        <v>0.81873075307798182</v>
      </c>
      <c r="O108" s="853">
        <f t="shared" si="62"/>
        <v>0.54881163609402639</v>
      </c>
      <c r="P108" s="853">
        <f t="shared" si="63"/>
        <v>0.16529888822158656</v>
      </c>
      <c r="Q108" s="853">
        <f t="shared" si="64"/>
        <v>2.2370771856165598E-2</v>
      </c>
      <c r="R108" s="853">
        <f t="shared" si="65"/>
        <v>4.0398337940474847E-5</v>
      </c>
      <c r="S108" s="870">
        <f>S122/S124*S110</f>
        <v>11.966666666666667</v>
      </c>
      <c r="T108" s="856">
        <f>W33</f>
        <v>11.124053535325499</v>
      </c>
      <c r="U108" s="853">
        <f t="shared" ref="U108:X113" si="88">T108/((1+U$53)^(U$58-T$58))</f>
        <v>10.478584785756766</v>
      </c>
      <c r="V108" s="853">
        <f t="shared" si="88"/>
        <v>9.7241597219628435</v>
      </c>
      <c r="W108" s="853">
        <f t="shared" si="88"/>
        <v>9.0240508839300659</v>
      </c>
      <c r="X108" s="853">
        <f t="shared" si="88"/>
        <v>8.3743476746720358</v>
      </c>
      <c r="Y108" s="211"/>
      <c r="Z108" s="855">
        <f>SUMIF($AC$56:$AC$57,$C108,$AD$56:$AD$57)/S108</f>
        <v>0.21292916829156933</v>
      </c>
      <c r="AA108" s="855">
        <f>1/SUMIFS('Vehicle data-proc2023'!AD$20:AD$117,'Vehicle data-proc2023'!$N$20:$N$117,Analytica!$C108,'Vehicle data-proc2023'!$Q$20:$Q$117,RIGHT(Analytica!$D108,3))</f>
        <v>0.23594563867169499</v>
      </c>
      <c r="AB108" s="855">
        <f>1/SUMIFS('Vehicle data-proc2023'!AE$20:AE$117,'Vehicle data-proc2023'!$N$20:$N$117,Analytica!$C108,'Vehicle data-proc2023'!$Q$20:$Q$117,RIGHT(Analytica!$D108,3))</f>
        <v>0.23665489362454264</v>
      </c>
      <c r="AC108" s="855">
        <f>1/SUMIFS('Vehicle data-proc2023'!AF$20:AF$117,'Vehicle data-proc2023'!$N$20:$N$117,Analytica!$C108,'Vehicle data-proc2023'!$Q$20:$Q$117,RIGHT(Analytica!$D108,3))</f>
        <v>0.25007346676770725</v>
      </c>
      <c r="AD108" s="855">
        <f>1/SUMIFS('Vehicle data-proc2023'!AG$20:AG$117,'Vehicle data-proc2023'!$N$20:$N$117,Analytica!$C108,'Vehicle data-proc2023'!$Q$20:$Q$117,RIGHT(Analytica!$D108,3))</f>
        <v>0.27651307304523115</v>
      </c>
      <c r="AE108" s="855">
        <f>1/SUMIFS('Vehicle data-proc2023'!AH$20:AH$117,'Vehicle data-proc2023'!$N$20:$N$117,Analytica!$C108,'Vehicle data-proc2023'!$Q$20:$Q$117,RIGHT(Analytica!$D108,3))</f>
        <v>0.30574806897022955</v>
      </c>
      <c r="AF108" s="855"/>
      <c r="AG108" s="211"/>
      <c r="AH108" s="885">
        <f>AH122/AH124*AH110</f>
        <v>64.352048125819607</v>
      </c>
      <c r="AI108" s="885">
        <v>285.80088368995087</v>
      </c>
      <c r="AJ108" s="856"/>
      <c r="AK108" s="983"/>
      <c r="AL108" s="983"/>
      <c r="AM108" s="983"/>
      <c r="AN108" s="983"/>
      <c r="AO108" s="983"/>
      <c r="AP108" s="983"/>
      <c r="AQ108" s="983"/>
      <c r="AR108" s="986"/>
      <c r="AS108" s="984"/>
      <c r="AT108" s="985"/>
      <c r="AU108" s="986"/>
      <c r="AV108" s="986"/>
      <c r="AW108" s="986"/>
      <c r="AX108" s="986"/>
      <c r="AY108" s="987"/>
      <c r="BA108" s="164">
        <f t="shared" si="43"/>
        <v>0.74392467269385154</v>
      </c>
      <c r="BC108" s="166"/>
    </row>
    <row r="109" spans="1:55" x14ac:dyDescent="0.25">
      <c r="A109" s="61" t="str">
        <f t="shared" si="59"/>
        <v>LCVODSH</v>
      </c>
      <c r="B109" s="61" t="str">
        <f t="shared" si="45"/>
        <v>TFLCVODSH-N</v>
      </c>
      <c r="C109" s="61" t="s">
        <v>521</v>
      </c>
      <c r="D109" s="61" t="s">
        <v>527</v>
      </c>
      <c r="E109" s="61" t="s">
        <v>530</v>
      </c>
      <c r="F109" s="852">
        <f>F108</f>
        <v>0.04</v>
      </c>
      <c r="G109" s="853">
        <f>$G$38/$G$39 * G108</f>
        <v>27649.267007664359</v>
      </c>
      <c r="H109" s="853">
        <f t="shared" si="86"/>
        <v>27649.267007664359</v>
      </c>
      <c r="I109" s="853">
        <f t="shared" si="86"/>
        <v>22637.305199239239</v>
      </c>
      <c r="J109" s="853">
        <f t="shared" si="86"/>
        <v>15174.239463276865</v>
      </c>
      <c r="K109" s="853">
        <f t="shared" si="86"/>
        <v>4570.393096508712</v>
      </c>
      <c r="L109" s="853">
        <f t="shared" si="86"/>
        <v>618.53544421866593</v>
      </c>
      <c r="M109" s="853">
        <f t="shared" si="87"/>
        <v>1</v>
      </c>
      <c r="N109" s="853">
        <f t="shared" si="61"/>
        <v>0.81873075307798193</v>
      </c>
      <c r="O109" s="853">
        <f t="shared" si="62"/>
        <v>0.5488116360940265</v>
      </c>
      <c r="P109" s="853">
        <f t="shared" si="63"/>
        <v>0.16529888822158656</v>
      </c>
      <c r="Q109" s="853">
        <f t="shared" si="64"/>
        <v>2.2370771856165601E-2</v>
      </c>
      <c r="R109" s="853">
        <f t="shared" si="65"/>
        <v>3.6167324064062912E-5</v>
      </c>
      <c r="S109" s="870">
        <f>S123/S125*S112</f>
        <v>15.751426694738184</v>
      </c>
      <c r="T109" s="856">
        <f>W34</f>
        <v>14.176565003733501</v>
      </c>
      <c r="U109" s="853">
        <f t="shared" si="88"/>
        <v>13.353975499189914</v>
      </c>
      <c r="V109" s="853">
        <f t="shared" si="88"/>
        <v>12.392531370630406</v>
      </c>
      <c r="W109" s="853">
        <f t="shared" si="88"/>
        <v>11.500308187728439</v>
      </c>
      <c r="X109" s="853">
        <f t="shared" si="88"/>
        <v>10.67232226066222</v>
      </c>
      <c r="Y109" s="211"/>
      <c r="Z109" s="855">
        <f>AA109/AA108 *Z108</f>
        <v>0.21837716429938203</v>
      </c>
      <c r="AA109" s="855">
        <f>1/SUMIFS('Vehicle data-proc2023'!AD$20:AD$117,'Vehicle data-proc2023'!$N$20:$N$117,Analytica!$C109,'Vehicle data-proc2023'!$Q$20:$Q$117,RIGHT(Analytica!$D109,3))</f>
        <v>0.24198253304299144</v>
      </c>
      <c r="AB109" s="855">
        <f>1/SUMIFS('Vehicle data-proc2023'!AE$20:AE$117,'Vehicle data-proc2023'!$N$20:$N$117,Analytica!$C109,'Vehicle data-proc2023'!$Q$20:$Q$117,RIGHT(Analytica!$D109,3))</f>
        <v>0.24270993496077886</v>
      </c>
      <c r="AC109" s="855">
        <f>1/SUMIFS('Vehicle data-proc2023'!AF$20:AF$117,'Vehicle data-proc2023'!$N$20:$N$117,Analytica!$C109,'Vehicle data-proc2023'!$Q$20:$Q$117,RIGHT(Analytica!$D109,3))</f>
        <v>0.25647183510559879</v>
      </c>
      <c r="AD109" s="855">
        <f>1/SUMIFS('Vehicle data-proc2023'!AG$20:AG$117,'Vehicle data-proc2023'!$N$20:$N$117,Analytica!$C109,'Vehicle data-proc2023'!$Q$20:$Q$117,RIGHT(Analytica!$D109,3))</f>
        <v>0.28358792394586324</v>
      </c>
      <c r="AE109" s="855">
        <f>1/SUMIFS('Vehicle data-proc2023'!AH$20:AH$117,'Vehicle data-proc2023'!$N$20:$N$117,Analytica!$C109,'Vehicle data-proc2023'!$Q$20:$Q$117,RIGHT(Analytica!$D109,3))</f>
        <v>0.31357092514588203</v>
      </c>
      <c r="AF109" s="855"/>
      <c r="AG109" s="211"/>
      <c r="AH109" s="885">
        <f>AH123/AH124*AH112</f>
        <v>156.3771639383817</v>
      </c>
      <c r="AI109" s="885">
        <v>286.80088368995098</v>
      </c>
      <c r="AJ109" s="856"/>
      <c r="AK109" s="983"/>
      <c r="AL109" s="983"/>
      <c r="AM109" s="983"/>
      <c r="AN109" s="983"/>
      <c r="AO109" s="983"/>
      <c r="AP109" s="983"/>
      <c r="AQ109" s="983"/>
      <c r="AR109" s="986"/>
      <c r="AS109" s="984"/>
      <c r="AT109" s="985"/>
      <c r="AU109" s="986"/>
      <c r="AV109" s="986"/>
      <c r="AW109" s="986"/>
      <c r="AX109" s="986"/>
      <c r="AY109" s="987"/>
      <c r="BA109" s="164">
        <f t="shared" si="43"/>
        <v>0</v>
      </c>
      <c r="BC109" s="166"/>
    </row>
    <row r="110" spans="1:55" x14ac:dyDescent="0.25">
      <c r="A110" s="61" t="str">
        <f t="shared" si="59"/>
        <v>LCVOGS</v>
      </c>
      <c r="B110" s="61" t="str">
        <f t="shared" si="45"/>
        <v>TFLCVOGS-N</v>
      </c>
      <c r="C110" s="61" t="s">
        <v>573</v>
      </c>
      <c r="D110" s="61" t="s">
        <v>527</v>
      </c>
      <c r="E110" s="61" t="s">
        <v>246</v>
      </c>
      <c r="F110" s="852">
        <f>INDEX($F$17:$F$49,MATCH($E110,$E$17:$E$49,0))</f>
        <v>3.4999999999999996E-2</v>
      </c>
      <c r="G110" s="853">
        <f>G34</f>
        <v>16984.001252855</v>
      </c>
      <c r="H110" s="853">
        <f t="shared" si="86"/>
        <v>16984.001252855</v>
      </c>
      <c r="I110" s="853">
        <f t="shared" si="86"/>
        <v>14257.339092462144</v>
      </c>
      <c r="J110" s="853">
        <f t="shared" si="86"/>
        <v>10046.977049539084</v>
      </c>
      <c r="K110" s="853">
        <f t="shared" si="86"/>
        <v>3515.8165340871446</v>
      </c>
      <c r="L110" s="853">
        <f t="shared" si="86"/>
        <v>610.95730357659954</v>
      </c>
      <c r="M110" s="853">
        <f t="shared" si="87"/>
        <v>1</v>
      </c>
      <c r="N110" s="853">
        <f t="shared" si="61"/>
        <v>0.83945702076920736</v>
      </c>
      <c r="O110" s="853">
        <f t="shared" si="62"/>
        <v>0.59155536436681511</v>
      </c>
      <c r="P110" s="853">
        <f t="shared" si="63"/>
        <v>0.2070075526811527</v>
      </c>
      <c r="Q110" s="853">
        <f t="shared" si="64"/>
        <v>3.5972518753429675E-2</v>
      </c>
      <c r="R110" s="853">
        <f t="shared" si="65"/>
        <v>5.8878940545997701E-5</v>
      </c>
      <c r="S110" s="211">
        <v>14.36</v>
      </c>
      <c r="T110" s="856">
        <f>W34</f>
        <v>14.176565003733501</v>
      </c>
      <c r="U110" s="853">
        <f t="shared" si="88"/>
        <v>13.353975499189914</v>
      </c>
      <c r="V110" s="853">
        <f t="shared" si="88"/>
        <v>12.392531370630406</v>
      </c>
      <c r="W110" s="853">
        <f t="shared" si="88"/>
        <v>11.500308187728439</v>
      </c>
      <c r="X110" s="853">
        <f t="shared" si="88"/>
        <v>10.67232226066222</v>
      </c>
      <c r="Y110" s="211"/>
      <c r="Z110" s="855">
        <f>SUMIF($AC$56:$AC$57,$C110,$AD$56:$AD$57)/S110</f>
        <v>0.20361954096010662</v>
      </c>
      <c r="AA110" s="855">
        <f>1/SUMIFS('Vehicle data-proc2023'!AD$20:AD$117,'Vehicle data-proc2023'!$N$20:$N$117,Analytica!$C110,'Vehicle data-proc2023'!$Q$20:$Q$117,RIGHT(Analytica!$D110,3))</f>
        <v>0.206254237709705</v>
      </c>
      <c r="AB110" s="855">
        <f>1/SUMIFS('Vehicle data-proc2023'!AE$20:AE$117,'Vehicle data-proc2023'!$N$20:$N$117,Analytica!$C110,'Vehicle data-proc2023'!$Q$20:$Q$117,RIGHT(Analytica!$D110,3))</f>
        <v>0.2068742400139009</v>
      </c>
      <c r="AC110" s="855">
        <f>1/SUMIFS('Vehicle data-proc2023'!AF$20:AF$117,'Vehicle data-proc2023'!$N$20:$N$117,Analytica!$C110,'Vehicle data-proc2023'!$Q$20:$Q$117,RIGHT(Analytica!$D110,3))</f>
        <v>0.21860421981084194</v>
      </c>
      <c r="AD110" s="855">
        <f>1/SUMIFS('Vehicle data-proc2023'!AG$20:AG$117,'Vehicle data-proc2023'!$N$20:$N$117,Analytica!$C110,'Vehicle data-proc2023'!$Q$20:$Q$117,RIGHT(Analytica!$D110,3))</f>
        <v>0.24171666583364532</v>
      </c>
      <c r="AE110" s="855">
        <f>1/SUMIFS('Vehicle data-proc2023'!AH$20:AH$117,'Vehicle data-proc2023'!$N$20:$N$117,Analytica!$C110,'Vehicle data-proc2023'!$Q$20:$Q$117,RIGHT(Analytica!$D110,3))</f>
        <v>0.26727272964945947</v>
      </c>
      <c r="AF110" s="855"/>
      <c r="AG110" s="211"/>
      <c r="AH110" s="856">
        <v>62.089100000000002</v>
      </c>
      <c r="AI110" s="856">
        <v>183.51728669017189</v>
      </c>
      <c r="AJ110" s="856"/>
      <c r="AK110" s="983"/>
      <c r="AL110" s="983"/>
      <c r="AM110" s="983"/>
      <c r="AN110" s="983"/>
      <c r="AO110" s="983"/>
      <c r="AP110" s="983"/>
      <c r="AQ110" s="983"/>
      <c r="AR110" s="986"/>
      <c r="AS110" s="984"/>
      <c r="AT110" s="985"/>
      <c r="AU110" s="986"/>
      <c r="AV110" s="986"/>
      <c r="AW110" s="986"/>
      <c r="AX110" s="986"/>
      <c r="AY110" s="987"/>
      <c r="BA110" s="164">
        <f t="shared" si="43"/>
        <v>0.25607532730614846</v>
      </c>
      <c r="BB110" s="61" t="s">
        <v>129</v>
      </c>
      <c r="BC110" s="166">
        <f>AJ110*1000</f>
        <v>0</v>
      </c>
    </row>
    <row r="111" spans="1:55" x14ac:dyDescent="0.25">
      <c r="A111" s="61" t="str">
        <f t="shared" si="59"/>
        <v>LCVOGSH</v>
      </c>
      <c r="B111" s="61" t="str">
        <f t="shared" si="45"/>
        <v>TFLCVOGSH-N</v>
      </c>
      <c r="C111" s="61" t="s">
        <v>519</v>
      </c>
      <c r="D111" s="61" t="s">
        <v>527</v>
      </c>
      <c r="E111" s="61" t="s">
        <v>529</v>
      </c>
      <c r="F111" s="852">
        <f>F110</f>
        <v>3.4999999999999996E-2</v>
      </c>
      <c r="G111" s="853">
        <f>$G$38/$G$39 * G110</f>
        <v>18970.86499899621</v>
      </c>
      <c r="H111" s="853">
        <f t="shared" si="86"/>
        <v>18970.86499899621</v>
      </c>
      <c r="I111" s="853">
        <f t="shared" si="86"/>
        <v>15925.225813472191</v>
      </c>
      <c r="J111" s="853">
        <f t="shared" si="86"/>
        <v>11222.316956834862</v>
      </c>
      <c r="K111" s="853">
        <f t="shared" si="86"/>
        <v>3927.1123356867433</v>
      </c>
      <c r="L111" s="853">
        <f t="shared" si="86"/>
        <v>682.42979694517373</v>
      </c>
      <c r="M111" s="853">
        <f t="shared" si="87"/>
        <v>1</v>
      </c>
      <c r="N111" s="853">
        <f t="shared" si="61"/>
        <v>0.83945702076920736</v>
      </c>
      <c r="O111" s="853">
        <f t="shared" si="62"/>
        <v>0.59155536436681511</v>
      </c>
      <c r="P111" s="853">
        <f t="shared" si="63"/>
        <v>0.20700755268115267</v>
      </c>
      <c r="Q111" s="853">
        <f t="shared" si="64"/>
        <v>3.5972518753429668E-2</v>
      </c>
      <c r="R111" s="853">
        <f t="shared" si="65"/>
        <v>5.2712409268260151E-5</v>
      </c>
      <c r="S111" s="211">
        <v>15.36</v>
      </c>
      <c r="T111" s="856">
        <f>W35</f>
        <v>11.0775109229247</v>
      </c>
      <c r="U111" s="853">
        <f t="shared" si="88"/>
        <v>10.434742789793365</v>
      </c>
      <c r="V111" s="853">
        <f t="shared" si="88"/>
        <v>9.6834742114674519</v>
      </c>
      <c r="W111" s="853">
        <f t="shared" si="88"/>
        <v>8.9862946019019283</v>
      </c>
      <c r="X111" s="853">
        <f t="shared" si="88"/>
        <v>8.3393097258978717</v>
      </c>
      <c r="Y111" s="211"/>
      <c r="Z111" s="855">
        <f>AA111/AA110*Z110</f>
        <v>0.26648447154333066</v>
      </c>
      <c r="AA111" s="855">
        <f>1/SUMIFS('Vehicle data-proc2023'!AD$20:AD$117,'Vehicle data-proc2023'!$N$20:$N$117,Analytica!$C111,'Vehicle data-proc2023'!$Q$20:$Q$117,RIGHT(Analytica!$D111,3))</f>
        <v>0.26993259723737301</v>
      </c>
      <c r="AB111" s="855">
        <f>1/SUMIFS('Vehicle data-proc2023'!AE$20:AE$117,'Vehicle data-proc2023'!$N$20:$N$117,Analytica!$C111,'Vehicle data-proc2023'!$Q$20:$Q$117,RIGHT(Analytica!$D111,3))</f>
        <v>0.2707440173280492</v>
      </c>
      <c r="AC111" s="855">
        <f>1/SUMIFS('Vehicle data-proc2023'!AF$20:AF$117,'Vehicle data-proc2023'!$N$20:$N$117,Analytica!$C111,'Vehicle data-proc2023'!$Q$20:$Q$117,RIGHT(Analytica!$D111,3))</f>
        <v>0.28609547845335548</v>
      </c>
      <c r="AD111" s="855">
        <f>1/SUMIFS('Vehicle data-proc2023'!AG$20:AG$117,'Vehicle data-proc2023'!$N$20:$N$117,Analytica!$C111,'Vehicle data-proc2023'!$Q$20:$Q$117,RIGHT(Analytica!$D111,3))</f>
        <v>0.31634359675977686</v>
      </c>
      <c r="AE111" s="855">
        <f>1/SUMIFS('Vehicle data-proc2023'!AH$20:AH$117,'Vehicle data-proc2023'!$N$20:$N$117,Analytica!$C111,'Vehicle data-proc2023'!$Q$20:$Q$117,RIGHT(Analytica!$D111,3))</f>
        <v>0.3497897686181996</v>
      </c>
      <c r="AF111" s="855"/>
      <c r="AG111" s="211"/>
      <c r="AH111" s="856">
        <v>62.089100000000002</v>
      </c>
      <c r="AI111" s="856">
        <v>183.51728669017189</v>
      </c>
      <c r="AJ111" s="856"/>
      <c r="AK111" s="983"/>
      <c r="AL111" s="983"/>
      <c r="AM111" s="983"/>
      <c r="AN111" s="983"/>
      <c r="AO111" s="983"/>
      <c r="AP111" s="983"/>
      <c r="AQ111" s="983"/>
      <c r="AR111" s="986"/>
      <c r="AS111" s="984"/>
      <c r="AT111" s="985"/>
      <c r="AU111" s="986"/>
      <c r="AV111" s="986"/>
      <c r="AW111" s="986"/>
      <c r="AX111" s="986"/>
      <c r="AY111" s="987"/>
      <c r="BA111" s="164">
        <f t="shared" si="43"/>
        <v>0</v>
      </c>
      <c r="BB111" s="61" t="s">
        <v>129</v>
      </c>
      <c r="BC111" s="166">
        <f>AJ111*1000</f>
        <v>0</v>
      </c>
    </row>
    <row r="112" spans="1:55" x14ac:dyDescent="0.25">
      <c r="A112" s="61" t="str">
        <f t="shared" si="59"/>
        <v>LCVGAS</v>
      </c>
      <c r="B112" s="61" t="str">
        <f t="shared" si="45"/>
        <v>TFLCVGAS-N</v>
      </c>
      <c r="C112" s="61" t="s">
        <v>509</v>
      </c>
      <c r="D112" s="61" t="s">
        <v>527</v>
      </c>
      <c r="E112" s="61" t="s">
        <v>528</v>
      </c>
      <c r="F112" s="852">
        <f>F110</f>
        <v>3.4999999999999996E-2</v>
      </c>
      <c r="G112" s="853">
        <f>G110</f>
        <v>16984.001252855</v>
      </c>
      <c r="H112" s="853">
        <f t="shared" si="86"/>
        <v>16984.001252855</v>
      </c>
      <c r="I112" s="853">
        <f t="shared" si="86"/>
        <v>14257.339092462144</v>
      </c>
      <c r="J112" s="853">
        <f t="shared" si="86"/>
        <v>10046.977049539084</v>
      </c>
      <c r="K112" s="853">
        <f t="shared" si="86"/>
        <v>3515.8165340871446</v>
      </c>
      <c r="L112" s="853">
        <f t="shared" si="86"/>
        <v>610.95730357659954</v>
      </c>
      <c r="M112" s="853">
        <f t="shared" si="87"/>
        <v>1</v>
      </c>
      <c r="N112" s="853">
        <f t="shared" si="61"/>
        <v>0.83945702076920736</v>
      </c>
      <c r="O112" s="853">
        <f t="shared" si="62"/>
        <v>0.59155536436681511</v>
      </c>
      <c r="P112" s="853">
        <f t="shared" si="63"/>
        <v>0.2070075526811527</v>
      </c>
      <c r="Q112" s="853">
        <f t="shared" si="64"/>
        <v>3.5972518753429675E-2</v>
      </c>
      <c r="R112" s="853">
        <f t="shared" si="65"/>
        <v>5.8878940545997701E-5</v>
      </c>
      <c r="S112" s="211">
        <f>S110*(1+$AJ$55)</f>
        <v>16.513999999999999</v>
      </c>
      <c r="T112" s="211">
        <f>T110*(1+$AJ$55)</f>
        <v>16.303049754293525</v>
      </c>
      <c r="U112" s="853">
        <f t="shared" si="88"/>
        <v>15.357071824068401</v>
      </c>
      <c r="V112" s="853">
        <f t="shared" si="88"/>
        <v>14.251411076224967</v>
      </c>
      <c r="W112" s="853">
        <f t="shared" si="88"/>
        <v>13.225354415887704</v>
      </c>
      <c r="X112" s="853">
        <f t="shared" si="88"/>
        <v>12.273170599761553</v>
      </c>
      <c r="Y112" s="211"/>
      <c r="Z112" s="855">
        <f t="shared" ref="Z112:Z120" si="89">(AA112/AB112)*AA112</f>
        <v>0.17525998848037599</v>
      </c>
      <c r="AA112" s="855">
        <f>1/SUMIFS('Vehicle data-proc2023'!AD$20:AD$117,'Vehicle data-proc2023'!$N$20:$N$117,Analytica!$C112,'Vehicle data-proc2023'!$Q$20:$Q$117,RIGHT(Analytica!$D112,3))</f>
        <v>0.17578682176098046</v>
      </c>
      <c r="AB112" s="855">
        <f>1/SUMIFS('Vehicle data-proc2023'!AE$20:AE$117,'Vehicle data-proc2023'!$N$20:$N$117,Analytica!$C112,'Vehicle data-proc2023'!$Q$20:$Q$117,RIGHT(Analytica!$D112,3))</f>
        <v>0.17631523870770266</v>
      </c>
      <c r="AC112" s="855">
        <f>1/SUMIFS('Vehicle data-proc2023'!AF$20:AF$117,'Vehicle data-proc2023'!$N$20:$N$117,Analytica!$C112,'Vehicle data-proc2023'!$Q$20:$Q$117,RIGHT(Analytica!$D112,3))</f>
        <v>0.1863124920525136</v>
      </c>
      <c r="AD112" s="855">
        <f>1/SUMIFS('Vehicle data-proc2023'!AG$20:AG$117,'Vehicle data-proc2023'!$N$20:$N$117,Analytica!$C112,'Vehicle data-proc2023'!$Q$20:$Q$117,RIGHT(Analytica!$D112,3))</f>
        <v>0.2060108191006548</v>
      </c>
      <c r="AE112" s="855">
        <f>1/SUMIFS('Vehicle data-proc2023'!AH$20:AH$117,'Vehicle data-proc2023'!$N$20:$N$117,Analytica!$C112,'Vehicle data-proc2023'!$Q$20:$Q$117,RIGHT(Analytica!$D112,3))</f>
        <v>0.22779179817186146</v>
      </c>
      <c r="AF112" s="855"/>
      <c r="AG112" s="211"/>
      <c r="AH112" s="856">
        <f>AH110*(1+$AR$57)</f>
        <v>68.298010000000005</v>
      </c>
      <c r="AI112" s="856">
        <f>AI110*(1+$AR$57)</f>
        <v>201.86901535918909</v>
      </c>
      <c r="AJ112" s="856"/>
      <c r="AK112" s="983"/>
      <c r="AL112" s="983"/>
      <c r="AM112" s="983"/>
      <c r="AN112" s="983"/>
      <c r="AO112" s="983"/>
      <c r="AP112" s="983"/>
      <c r="AQ112" s="983"/>
      <c r="AR112" s="986"/>
      <c r="AS112" s="984"/>
      <c r="AT112" s="985"/>
      <c r="AU112" s="986"/>
      <c r="AV112" s="986"/>
      <c r="AW112" s="986"/>
      <c r="AX112" s="986"/>
      <c r="AY112" s="987"/>
      <c r="BA112" s="164">
        <f t="shared" si="43"/>
        <v>0</v>
      </c>
      <c r="BB112" s="61" t="s">
        <v>524</v>
      </c>
      <c r="BC112" s="166">
        <f>AJ112*1000</f>
        <v>0</v>
      </c>
    </row>
    <row r="113" spans="1:57" x14ac:dyDescent="0.25">
      <c r="A113" s="900" t="str">
        <f t="shared" si="59"/>
        <v>LCVELC</v>
      </c>
      <c r="B113" s="900" t="str">
        <f t="shared" si="45"/>
        <v>TFLCVELC-N</v>
      </c>
      <c r="C113" s="900" t="s">
        <v>501</v>
      </c>
      <c r="D113" s="900" t="s">
        <v>527</v>
      </c>
      <c r="E113" s="901" t="s">
        <v>1004</v>
      </c>
      <c r="F113" s="902">
        <f>F110</f>
        <v>3.4999999999999996E-2</v>
      </c>
      <c r="G113" s="911">
        <f>G108</f>
        <v>24753.4936084117</v>
      </c>
      <c r="H113" s="911">
        <f t="shared" si="86"/>
        <v>24753.4936084117</v>
      </c>
      <c r="I113" s="911">
        <f t="shared" si="86"/>
        <v>20779.493998146903</v>
      </c>
      <c r="J113" s="911">
        <f t="shared" si="86"/>
        <v>14643.061930875612</v>
      </c>
      <c r="K113" s="911">
        <f t="shared" si="86"/>
        <v>5124.1601321858616</v>
      </c>
      <c r="L113" s="911">
        <f t="shared" si="86"/>
        <v>890.44551304149149</v>
      </c>
      <c r="M113" s="911">
        <f t="shared" si="87"/>
        <v>1</v>
      </c>
      <c r="N113" s="911">
        <f t="shared" si="61"/>
        <v>0.83945702076920736</v>
      </c>
      <c r="O113" s="911">
        <f t="shared" si="62"/>
        <v>0.59155536436681511</v>
      </c>
      <c r="P113" s="911">
        <f t="shared" si="63"/>
        <v>0.2070075526811527</v>
      </c>
      <c r="Q113" s="911">
        <f t="shared" si="64"/>
        <v>3.5972518753429675E-2</v>
      </c>
      <c r="R113" s="911">
        <f t="shared" si="65"/>
        <v>4.0398337940474847E-5</v>
      </c>
      <c r="S113" s="912">
        <v>23.5</v>
      </c>
      <c r="T113" s="900">
        <f>T112*(1+$AJ$55)</f>
        <v>18.748507217437552</v>
      </c>
      <c r="U113" s="911">
        <f t="shared" si="88"/>
        <v>17.66063259767866</v>
      </c>
      <c r="V113" s="911">
        <f t="shared" si="88"/>
        <v>16.38912273765871</v>
      </c>
      <c r="W113" s="911">
        <f t="shared" si="88"/>
        <v>15.209157578270858</v>
      </c>
      <c r="X113" s="911">
        <f t="shared" si="88"/>
        <v>14.114146189725783</v>
      </c>
      <c r="Y113" s="900"/>
      <c r="Z113" s="899">
        <f t="shared" si="89"/>
        <v>0.82174669541157208</v>
      </c>
      <c r="AA113" s="899">
        <f>1/SUMIFS('Vehicle data-proc2023'!AD$20:AD$117,'Vehicle data-proc2023'!$N$20:$N$117,Analytica!$C113,'Vehicle data-proc2023'!$Q$20:$Q$117,RIGHT(Analytica!$D113,3))</f>
        <v>0.82421687420778977</v>
      </c>
      <c r="AB113" s="899">
        <f>1/SUMIFS('Vehicle data-proc2023'!AE$20:AE$117,'Vehicle data-proc2023'!$N$20:$N$117,Analytica!$C113,'Vehicle data-proc2023'!$Q$20:$Q$117,RIGHT(Analytica!$D113,3))</f>
        <v>0.8266944783862078</v>
      </c>
      <c r="AC113" s="899">
        <f>1/SUMIFS('Vehicle data-proc2023'!AF$20:AF$117,'Vehicle data-proc2023'!$N$20:$N$117,Analytica!$C113,'Vehicle data-proc2023'!$Q$20:$Q$117,RIGHT(Analytica!$D113,3))</f>
        <v>0.87356889604720478</v>
      </c>
      <c r="AD113" s="899">
        <f>1/SUMIFS('Vehicle data-proc2023'!AG$20:AG$117,'Vehicle data-proc2023'!$N$20:$N$117,Analytica!$C113,'Vehicle data-proc2023'!$Q$20:$Q$117,RIGHT(Analytica!$D113,3))</f>
        <v>0.96592902511773071</v>
      </c>
      <c r="AE113" s="913">
        <f>1/SUMIFS('Vehicle data-proc2023'!AH$20:AH$117,'Vehicle data-proc2023'!$N$20:$N$117,Analytica!$C113,'Vehicle data-proc2023'!$Q$20:$Q$117,RIGHT(Analytica!$D113,3))</f>
        <v>1.068054146372071</v>
      </c>
      <c r="AF113" s="886"/>
      <c r="AG113" s="857"/>
      <c r="AH113" s="857">
        <f>AH112*(1+$AR$57)</f>
        <v>75.127811000000008</v>
      </c>
      <c r="AI113" s="857">
        <f>AI112*(1+$AR$57)</f>
        <v>222.05591689510803</v>
      </c>
      <c r="AJ113" s="857"/>
      <c r="AK113" s="983"/>
      <c r="AL113" s="983"/>
      <c r="AM113" s="983"/>
      <c r="AN113" s="983"/>
      <c r="AO113" s="983"/>
      <c r="AP113" s="983"/>
      <c r="AQ113" s="983"/>
      <c r="AR113" s="986"/>
      <c r="AS113" s="984"/>
      <c r="AT113" s="985"/>
      <c r="AU113" s="986"/>
      <c r="AV113" s="986"/>
      <c r="AW113" s="986"/>
      <c r="AX113" s="986"/>
      <c r="AY113" s="987"/>
      <c r="BA113" s="164">
        <f t="shared" si="43"/>
        <v>0</v>
      </c>
      <c r="BB113" s="61" t="str">
        <f>C113</f>
        <v>ELC</v>
      </c>
      <c r="BC113" s="166">
        <f>AJ113*1000</f>
        <v>0</v>
      </c>
    </row>
    <row r="114" spans="1:57" x14ac:dyDescent="0.25">
      <c r="A114" s="61" t="str">
        <f t="shared" si="59"/>
        <v>MBTODS</v>
      </c>
      <c r="B114" s="61" t="str">
        <f>D114&amp;C114&amp;"H-N"</f>
        <v>TPPUMBTODSH-N</v>
      </c>
      <c r="C114" s="61" t="s">
        <v>511</v>
      </c>
      <c r="D114" s="61" t="s">
        <v>523</v>
      </c>
      <c r="E114" s="61" t="s">
        <v>526</v>
      </c>
      <c r="F114" s="852">
        <f>F115</f>
        <v>3.4999999999999996E-2</v>
      </c>
      <c r="G114" s="853">
        <f>G115</f>
        <v>30917.830131483901</v>
      </c>
      <c r="H114" s="853">
        <f t="shared" si="86"/>
        <v>30917.830131483901</v>
      </c>
      <c r="I114" s="853">
        <f t="shared" si="86"/>
        <v>25954.189570823906</v>
      </c>
      <c r="J114" s="853">
        <f t="shared" si="86"/>
        <v>18289.608268861255</v>
      </c>
      <c r="K114" s="853">
        <f t="shared" si="86"/>
        <v>6400.2243497300842</v>
      </c>
      <c r="L114" s="853">
        <f t="shared" si="86"/>
        <v>1112.1922242201579</v>
      </c>
      <c r="M114" s="853">
        <f t="shared" si="87"/>
        <v>1</v>
      </c>
      <c r="N114" s="853">
        <f t="shared" si="61"/>
        <v>0.83945702076920736</v>
      </c>
      <c r="O114" s="853">
        <f t="shared" si="62"/>
        <v>0.59155536436681511</v>
      </c>
      <c r="P114" s="853">
        <f t="shared" si="63"/>
        <v>0.2070075526811527</v>
      </c>
      <c r="Q114" s="853">
        <f t="shared" si="64"/>
        <v>3.5972518753429682E-2</v>
      </c>
      <c r="R114" s="853">
        <f t="shared" si="65"/>
        <v>3.2343796306122114E-5</v>
      </c>
      <c r="S114" s="211">
        <f>S115/1.3</f>
        <v>8.8076923076923066</v>
      </c>
      <c r="T114" s="853">
        <f>S114/((1+T$57)^(T$58-S$58))</f>
        <v>8.0550062340997179</v>
      </c>
      <c r="U114" s="853">
        <f>T114/((1+U$57)^(U$58-T$58))</f>
        <v>7.1505186362966207</v>
      </c>
      <c r="V114" s="853">
        <f>U114/((1+V$57)^(V$58-U$58))</f>
        <v>6.1613675987156</v>
      </c>
      <c r="W114" s="853">
        <f>V114/((1+W$57)^(W$58-V$58))</f>
        <v>5.3090485624080355</v>
      </c>
      <c r="X114" s="853">
        <f>W114/((1+X$57)^(X$58-W$58))</f>
        <v>4.5746331778487761</v>
      </c>
      <c r="Y114" s="211"/>
      <c r="Z114" s="855">
        <f t="shared" si="89"/>
        <v>0.23340065991082923</v>
      </c>
      <c r="AA114" s="855">
        <f>1/SUMIFS('Vehicle data-proc2023'!AD$20:AD$117,'Vehicle data-proc2023'!$N$20:$N$117,Analytica!$C114,'Vehicle data-proc2023'!$Q$20:$Q$117,RIGHT(Analytica!$D114,3))</f>
        <v>0.23693697386285403</v>
      </c>
      <c r="AB114" s="855">
        <f>1/SUMIFS('Vehicle data-proc2023'!AE$20:AE$117,'Vehicle data-proc2023'!$N$20:$N$117,Analytica!$C114,'Vehicle data-proc2023'!$Q$20:$Q$117,RIGHT(Analytica!$D114,3))</f>
        <v>0.24052686742503102</v>
      </c>
      <c r="AC114" s="855">
        <f>1/SUMIFS('Vehicle data-proc2023'!AF$20:AF$117,'Vehicle data-proc2023'!$N$20:$N$117,Analytica!$C114,'Vehicle data-proc2023'!$Q$20:$Q$117,RIGHT(Analytica!$D114,3))</f>
        <v>0.25933339216798273</v>
      </c>
      <c r="AD114" s="855">
        <f>1/SUMIFS('Vehicle data-proc2023'!AG$20:AG$117,'Vehicle data-proc2023'!$N$20:$N$117,Analytica!$C114,'Vehicle data-proc2023'!$Q$20:$Q$117,RIGHT(Analytica!$D114,3))</f>
        <v>0.28675202586855569</v>
      </c>
      <c r="AE114" s="886">
        <f>1/SUMIFS('Vehicle data-proc2023'!AH$20:AH$117,'Vehicle data-proc2023'!$N$20:$N$117,Analytica!$C114,'Vehicle data-proc2023'!$Q$20:$Q$117,RIGHT(Analytica!$D114,3))</f>
        <v>0.31706955919682966</v>
      </c>
      <c r="AF114" s="886"/>
      <c r="AG114" s="857">
        <v>1</v>
      </c>
      <c r="AH114" s="857">
        <f>AH66/AH67*AH115</f>
        <v>487.93844290017597</v>
      </c>
      <c r="AI114" s="857">
        <f>AI66/AI67*AI115</f>
        <v>911.62921065175237</v>
      </c>
      <c r="AJ114" s="857"/>
      <c r="AK114" s="983"/>
      <c r="AL114" s="983"/>
      <c r="AM114" s="983"/>
      <c r="AN114" s="983"/>
      <c r="AO114" s="983"/>
      <c r="AP114" s="983"/>
      <c r="AQ114" s="983"/>
      <c r="AR114" s="986"/>
      <c r="AS114" s="984"/>
      <c r="AT114" s="985"/>
      <c r="AU114" s="986"/>
      <c r="AV114" s="986"/>
      <c r="AW114" s="986"/>
      <c r="AX114" s="986"/>
      <c r="AY114" s="987"/>
      <c r="BA114" s="164">
        <f t="shared" si="43"/>
        <v>0</v>
      </c>
      <c r="BC114" s="168">
        <f>BC112-BC110</f>
        <v>0</v>
      </c>
      <c r="BD114" s="166">
        <f>BC114/5.5</f>
        <v>0</v>
      </c>
      <c r="BE114" s="61" t="s">
        <v>63</v>
      </c>
    </row>
    <row r="115" spans="1:57" x14ac:dyDescent="0.25">
      <c r="A115" s="61" t="str">
        <f t="shared" si="59"/>
        <v>MBTODS</v>
      </c>
      <c r="B115" s="61" t="str">
        <f>D115&amp;C115&amp;"-N"</f>
        <v>TPPUMBTODS-N</v>
      </c>
      <c r="C115" s="61" t="s">
        <v>511</v>
      </c>
      <c r="D115" s="61" t="s">
        <v>523</v>
      </c>
      <c r="E115" s="61" t="s">
        <v>305</v>
      </c>
      <c r="F115" s="852">
        <f>INDEX($F$17:$F$49,MATCH($E115,$E$17:$E$49,0))</f>
        <v>3.4999999999999996E-2</v>
      </c>
      <c r="G115" s="853">
        <f>G35</f>
        <v>30917.830131483901</v>
      </c>
      <c r="H115" s="853">
        <f t="shared" si="86"/>
        <v>30917.830131483901</v>
      </c>
      <c r="I115" s="853">
        <f t="shared" si="86"/>
        <v>25954.189570823906</v>
      </c>
      <c r="J115" s="853">
        <f t="shared" si="86"/>
        <v>18289.608268861255</v>
      </c>
      <c r="K115" s="853">
        <f t="shared" si="86"/>
        <v>6400.2243497300842</v>
      </c>
      <c r="L115" s="853">
        <f t="shared" si="86"/>
        <v>1112.1922242201579</v>
      </c>
      <c r="M115" s="853">
        <f t="shared" si="87"/>
        <v>1</v>
      </c>
      <c r="N115" s="853">
        <f t="shared" si="61"/>
        <v>0.83945702076920736</v>
      </c>
      <c r="O115" s="853">
        <f t="shared" si="62"/>
        <v>0.59155536436681511</v>
      </c>
      <c r="P115" s="853">
        <f t="shared" si="63"/>
        <v>0.2070075526811527</v>
      </c>
      <c r="Q115" s="853">
        <f t="shared" si="64"/>
        <v>3.5972518753429682E-2</v>
      </c>
      <c r="R115" s="853">
        <f t="shared" si="65"/>
        <v>3.2343796306122114E-5</v>
      </c>
      <c r="S115" s="211">
        <v>11.45</v>
      </c>
      <c r="T115" s="856">
        <f>W35</f>
        <v>11.0775109229247</v>
      </c>
      <c r="U115" s="853">
        <f t="shared" ref="U115:X117" si="90">T115/((1+U$57)^(U$58-T$58))</f>
        <v>9.8336296703072001</v>
      </c>
      <c r="V115" s="853">
        <f t="shared" si="90"/>
        <v>8.4733164557947447</v>
      </c>
      <c r="W115" s="853">
        <f t="shared" si="90"/>
        <v>7.3011791339706908</v>
      </c>
      <c r="X115" s="853">
        <f t="shared" si="90"/>
        <v>6.2911868126763029</v>
      </c>
      <c r="Y115" s="211"/>
      <c r="Z115" s="855">
        <f t="shared" si="89"/>
        <v>0.23340065991082923</v>
      </c>
      <c r="AA115" s="855">
        <f>1/SUMIFS('Vehicle data-proc2023'!AD$20:AD$117,'Vehicle data-proc2023'!$N$20:$N$117,Analytica!$C115,'Vehicle data-proc2023'!$Q$20:$Q$117,RIGHT(Analytica!$D115,3))</f>
        <v>0.23693697386285403</v>
      </c>
      <c r="AB115" s="855">
        <f>1/SUMIFS('Vehicle data-proc2023'!AE$20:AE$117,'Vehicle data-proc2023'!$N$20:$N$117,Analytica!$C115,'Vehicle data-proc2023'!$Q$20:$Q$117,RIGHT(Analytica!$D115,3))</f>
        <v>0.24052686742503102</v>
      </c>
      <c r="AC115" s="855">
        <f>1/SUMIFS('Vehicle data-proc2023'!AF$20:AF$117,'Vehicle data-proc2023'!$N$20:$N$117,Analytica!$C115,'Vehicle data-proc2023'!$Q$20:$Q$117,RIGHT(Analytica!$D115,3))</f>
        <v>0.25933339216798273</v>
      </c>
      <c r="AD115" s="855">
        <f>1/SUMIFS('Vehicle data-proc2023'!AG$20:AG$117,'Vehicle data-proc2023'!$N$20:$N$117,Analytica!$C115,'Vehicle data-proc2023'!$Q$20:$Q$117,RIGHT(Analytica!$D115,3))</f>
        <v>0.28675202586855569</v>
      </c>
      <c r="AE115" s="886">
        <f>1/SUMIFS('Vehicle data-proc2023'!AH$20:AH$117,'Vehicle data-proc2023'!$N$20:$N$117,Analytica!$C115,'Vehicle data-proc2023'!$Q$20:$Q$117,RIGHT(Analytica!$D115,3))</f>
        <v>0.31706955919682966</v>
      </c>
      <c r="AF115" s="886"/>
      <c r="AG115" s="857"/>
      <c r="AH115" s="857">
        <v>213.108</v>
      </c>
      <c r="AI115" s="857">
        <v>487.2057272727273</v>
      </c>
      <c r="AJ115" s="857"/>
      <c r="AK115" s="983"/>
      <c r="AL115" s="983"/>
      <c r="AM115" s="983"/>
      <c r="AN115" s="983"/>
      <c r="AO115" s="983"/>
      <c r="AP115" s="983"/>
      <c r="AQ115" s="983"/>
      <c r="AR115" s="986"/>
      <c r="AS115" s="984"/>
      <c r="AT115" s="985"/>
      <c r="AU115" s="986"/>
      <c r="AV115" s="986"/>
      <c r="AW115" s="986"/>
      <c r="AX115" s="986"/>
      <c r="AY115" s="987"/>
      <c r="BA115" s="164">
        <f t="shared" si="43"/>
        <v>0.58515987307786188</v>
      </c>
    </row>
    <row r="116" spans="1:57" x14ac:dyDescent="0.25">
      <c r="A116" s="61" t="str">
        <f t="shared" si="59"/>
        <v>MBTOGS</v>
      </c>
      <c r="B116" s="61" t="str">
        <f>D116&amp;C116&amp;"-N"</f>
        <v>TPPUMBTOGS-N</v>
      </c>
      <c r="C116" s="61" t="s">
        <v>573</v>
      </c>
      <c r="D116" s="61" t="s">
        <v>523</v>
      </c>
      <c r="E116" s="61" t="s">
        <v>304</v>
      </c>
      <c r="F116" s="852">
        <f>INDEX($F$17:$F$49,MATCH($E116,$E$17:$E$49,0))</f>
        <v>3.4999999999999996E-2</v>
      </c>
      <c r="G116" s="853">
        <f>G36</f>
        <v>20965.008962084201</v>
      </c>
      <c r="H116" s="853">
        <f t="shared" si="86"/>
        <v>20965.008962084201</v>
      </c>
      <c r="I116" s="853">
        <f t="shared" si="86"/>
        <v>17599.223963710934</v>
      </c>
      <c r="J116" s="853">
        <f t="shared" si="86"/>
        <v>12401.963515519263</v>
      </c>
      <c r="K116" s="853">
        <f t="shared" si="86"/>
        <v>4339.9151971794827</v>
      </c>
      <c r="L116" s="853">
        <f t="shared" si="86"/>
        <v>754.16417805439505</v>
      </c>
      <c r="M116" s="853">
        <f t="shared" si="87"/>
        <v>1</v>
      </c>
      <c r="N116" s="853">
        <f t="shared" si="61"/>
        <v>0.83945702076920725</v>
      </c>
      <c r="O116" s="853">
        <f t="shared" si="62"/>
        <v>0.59155536436681511</v>
      </c>
      <c r="P116" s="853">
        <f t="shared" si="63"/>
        <v>0.20700755268115265</v>
      </c>
      <c r="Q116" s="853">
        <f t="shared" si="64"/>
        <v>3.5972518753429675E-2</v>
      </c>
      <c r="R116" s="853">
        <f t="shared" si="65"/>
        <v>4.7698524804283543E-5</v>
      </c>
      <c r="S116" s="211">
        <v>14.36</v>
      </c>
      <c r="T116" s="856">
        <f>W36</f>
        <v>14.5644836562465</v>
      </c>
      <c r="U116" s="853">
        <f t="shared" si="90"/>
        <v>12.929054154067694</v>
      </c>
      <c r="V116" s="853">
        <f t="shared" si="90"/>
        <v>11.140542301721721</v>
      </c>
      <c r="W116" s="853">
        <f t="shared" si="90"/>
        <v>9.5994402450084504</v>
      </c>
      <c r="X116" s="853">
        <f t="shared" si="90"/>
        <v>8.2715231019989606</v>
      </c>
      <c r="Y116" s="211"/>
      <c r="Z116" s="855">
        <f t="shared" si="89"/>
        <v>0.19776436705859718</v>
      </c>
      <c r="AA116" s="855">
        <f>1/SUMIFS('Vehicle data-proc2023'!AD$20:AD$117,'Vehicle data-proc2023'!$N$20:$N$117,Analytica!$C116,'Vehicle data-proc2023'!$Q$20:$Q$117,RIGHT(Analytica!$D116,3))</f>
        <v>0.20076074629210003</v>
      </c>
      <c r="AB116" s="855">
        <f>1/SUMIFS('Vehicle data-proc2023'!AE$20:AE$117,'Vehicle data-proc2023'!$N$20:$N$117,Analytica!$C116,'Vehicle data-proc2023'!$Q$20:$Q$117,RIGHT(Analytica!$D116,3))</f>
        <v>0.2038025244447535</v>
      </c>
      <c r="AC116" s="855">
        <f>1/SUMIFS('Vehicle data-proc2023'!AF$20:AF$117,'Vehicle data-proc2023'!$N$20:$N$117,Analytica!$C116,'Vehicle data-proc2023'!$Q$20:$Q$117,RIGHT(Analytica!$D116,3))</f>
        <v>0.21973761419035504</v>
      </c>
      <c r="AD116" s="855">
        <f>1/SUMIFS('Vehicle data-proc2023'!AG$20:AG$117,'Vehicle data-proc2023'!$N$20:$N$117,Analytica!$C116,'Vehicle data-proc2023'!$Q$20:$Q$117,RIGHT(Analytica!$D116,3))</f>
        <v>0.24296989100344107</v>
      </c>
      <c r="AE116" s="886">
        <f>1/SUMIFS('Vehicle data-proc2023'!AH$20:AH$117,'Vehicle data-proc2023'!$N$20:$N$117,Analytica!$C116,'Vehicle data-proc2023'!$Q$20:$Q$117,RIGHT(Analytica!$D116,3))</f>
        <v>0.26865845500208052</v>
      </c>
      <c r="AF116" s="886"/>
      <c r="AG116" s="857"/>
      <c r="AH116" s="857">
        <v>170.4864</v>
      </c>
      <c r="AI116" s="857">
        <v>433.22666666666669</v>
      </c>
      <c r="AJ116" s="857"/>
      <c r="AK116" s="983"/>
      <c r="AL116" s="983"/>
      <c r="AM116" s="983"/>
      <c r="AN116" s="983"/>
      <c r="AO116" s="983"/>
      <c r="AP116" s="983"/>
      <c r="AQ116" s="983"/>
      <c r="AR116" s="986"/>
      <c r="AS116" s="984"/>
      <c r="AT116" s="985"/>
      <c r="AU116" s="986"/>
      <c r="AV116" s="986"/>
      <c r="AW116" s="986"/>
      <c r="AX116" s="986"/>
      <c r="AY116" s="987"/>
      <c r="BA116" s="164">
        <f t="shared" si="43"/>
        <v>0.41484012692213817</v>
      </c>
      <c r="BB116" s="61" t="s">
        <v>129</v>
      </c>
      <c r="BC116" s="166">
        <f>AJ116*1000</f>
        <v>0</v>
      </c>
    </row>
    <row r="117" spans="1:57" x14ac:dyDescent="0.25">
      <c r="A117" s="61" t="str">
        <f t="shared" si="59"/>
        <v>MBTGAS</v>
      </c>
      <c r="B117" s="61" t="str">
        <f>D117&amp;C117&amp;"-N"</f>
        <v>TPPUMBTGAS-N</v>
      </c>
      <c r="C117" s="61" t="s">
        <v>509</v>
      </c>
      <c r="D117" s="61" t="s">
        <v>523</v>
      </c>
      <c r="E117" s="61" t="s">
        <v>525</v>
      </c>
      <c r="F117" s="852">
        <f>F116</f>
        <v>3.4999999999999996E-2</v>
      </c>
      <c r="G117" s="853">
        <f>G116</f>
        <v>20965.008962084201</v>
      </c>
      <c r="H117" s="853">
        <f t="shared" si="86"/>
        <v>20965.008962084201</v>
      </c>
      <c r="I117" s="853">
        <f t="shared" si="86"/>
        <v>17599.223963710934</v>
      </c>
      <c r="J117" s="853">
        <f t="shared" si="86"/>
        <v>12401.963515519263</v>
      </c>
      <c r="K117" s="853">
        <f t="shared" si="86"/>
        <v>4339.9151971794827</v>
      </c>
      <c r="L117" s="853">
        <f t="shared" si="86"/>
        <v>754.16417805439505</v>
      </c>
      <c r="M117" s="853">
        <f t="shared" si="87"/>
        <v>1</v>
      </c>
      <c r="N117" s="853">
        <f t="shared" si="61"/>
        <v>0.83945702076920725</v>
      </c>
      <c r="O117" s="853">
        <f t="shared" si="62"/>
        <v>0.59155536436681511</v>
      </c>
      <c r="P117" s="853">
        <f t="shared" si="63"/>
        <v>0.20700755268115265</v>
      </c>
      <c r="Q117" s="853">
        <f t="shared" si="64"/>
        <v>3.5972518753429675E-2</v>
      </c>
      <c r="R117" s="853">
        <f t="shared" si="65"/>
        <v>4.7698524804283543E-5</v>
      </c>
      <c r="S117" s="211">
        <f>S70/S67*S116</f>
        <v>14.661861861861862</v>
      </c>
      <c r="T117" s="211">
        <f>T70/T67*T116</f>
        <v>13.817957687727693</v>
      </c>
      <c r="U117" s="853">
        <f t="shared" si="90"/>
        <v>12.266354747607245</v>
      </c>
      <c r="V117" s="853">
        <f t="shared" si="90"/>
        <v>10.569515938693012</v>
      </c>
      <c r="W117" s="853">
        <f t="shared" si="90"/>
        <v>9.1074055395371154</v>
      </c>
      <c r="X117" s="853">
        <f t="shared" si="90"/>
        <v>7.8475529194242357</v>
      </c>
      <c r="Y117" s="211"/>
      <c r="Z117" s="855">
        <f t="shared" si="89"/>
        <v>0.16855105586597574</v>
      </c>
      <c r="AA117" s="855">
        <f>1/SUMIFS('Vehicle data-proc2023'!AD$20:AD$117,'Vehicle data-proc2023'!$N$20:$N$117,Analytica!$C117,'Vehicle data-proc2023'!$Q$20:$Q$117,RIGHT(Analytica!$D117,3))</f>
        <v>0.17110481664246663</v>
      </c>
      <c r="AB117" s="855">
        <f>1/SUMIFS('Vehicle data-proc2023'!AE$20:AE$117,'Vehicle data-proc2023'!$N$20:$N$117,Analytica!$C117,'Vehicle data-proc2023'!$Q$20:$Q$117,RIGHT(Analytica!$D117,3))</f>
        <v>0.17369727011103256</v>
      </c>
      <c r="AC117" s="855">
        <f>1/SUMIFS('Vehicle data-proc2023'!AF$20:AF$117,'Vehicle data-proc2023'!$N$20:$N$117,Analytica!$C117,'Vehicle data-proc2023'!$Q$20:$Q$117,RIGHT(Analytica!$D117,3))</f>
        <v>0.18727846394229747</v>
      </c>
      <c r="AD117" s="855">
        <f>1/SUMIFS('Vehicle data-proc2023'!AG$20:AG$117,'Vehicle data-proc2023'!$N$20:$N$117,Analytica!$C117,'Vehicle data-proc2023'!$Q$20:$Q$117,RIGHT(Analytica!$D117,3))</f>
        <v>0.20707892064366076</v>
      </c>
      <c r="AE117" s="886">
        <f>1/SUMIFS('Vehicle data-proc2023'!AH$20:AH$117,'Vehicle data-proc2023'!$N$20:$N$117,Analytica!$C117,'Vehicle data-proc2023'!$Q$20:$Q$117,RIGHT(Analytica!$D117,3))</f>
        <v>0.22897282726622464</v>
      </c>
      <c r="AF117" s="886"/>
      <c r="AG117" s="857"/>
      <c r="AH117" s="857">
        <f>AH116*(1+$AR$57)</f>
        <v>187.53504000000001</v>
      </c>
      <c r="AI117" s="857">
        <f>AI116*(1+$AR$57)</f>
        <v>476.54933333333338</v>
      </c>
      <c r="AJ117" s="857"/>
      <c r="AK117" s="983"/>
      <c r="AL117" s="983"/>
      <c r="AM117" s="983"/>
      <c r="AN117" s="983"/>
      <c r="AO117" s="983"/>
      <c r="AP117" s="983"/>
      <c r="AQ117" s="983"/>
      <c r="AR117" s="986"/>
      <c r="AS117" s="984"/>
      <c r="AT117" s="985"/>
      <c r="AU117" s="986"/>
      <c r="AV117" s="986"/>
      <c r="AW117" s="986"/>
      <c r="AX117" s="986"/>
      <c r="AY117" s="987"/>
      <c r="BA117" s="164">
        <f t="shared" si="43"/>
        <v>0</v>
      </c>
      <c r="BB117" s="61" t="s">
        <v>524</v>
      </c>
      <c r="BC117" s="166">
        <f>AJ117*1000</f>
        <v>0</v>
      </c>
    </row>
    <row r="118" spans="1:57" x14ac:dyDescent="0.25">
      <c r="A118" s="61" t="str">
        <f t="shared" si="59"/>
        <v>MBTHGN</v>
      </c>
      <c r="B118" s="61" t="str">
        <f>D118&amp;C118&amp;"F-N"</f>
        <v>TPPUMBTHGNF-N</v>
      </c>
      <c r="C118" s="61" t="s">
        <v>504</v>
      </c>
      <c r="D118" s="61" t="s">
        <v>523</v>
      </c>
      <c r="E118" s="61" t="s">
        <v>1005</v>
      </c>
      <c r="F118" s="852">
        <f>F116</f>
        <v>3.4999999999999996E-2</v>
      </c>
      <c r="G118" s="853">
        <f>G117</f>
        <v>20965.008962084201</v>
      </c>
      <c r="H118" s="853">
        <f t="shared" ref="H118:L127" si="91">(EXP(-((H$58)*$F118))*G118)</f>
        <v>20965.008962084201</v>
      </c>
      <c r="I118" s="853">
        <f t="shared" si="91"/>
        <v>17599.223963710934</v>
      </c>
      <c r="J118" s="853">
        <f t="shared" si="91"/>
        <v>12401.963515519263</v>
      </c>
      <c r="K118" s="853">
        <f t="shared" si="91"/>
        <v>4339.9151971794827</v>
      </c>
      <c r="L118" s="853">
        <f t="shared" si="91"/>
        <v>754.16417805439505</v>
      </c>
      <c r="M118" s="853">
        <f t="shared" si="87"/>
        <v>1</v>
      </c>
      <c r="N118" s="853">
        <f t="shared" si="61"/>
        <v>0.83945702076920725</v>
      </c>
      <c r="O118" s="853">
        <f t="shared" si="62"/>
        <v>0.59155536436681511</v>
      </c>
      <c r="P118" s="853">
        <f t="shared" si="63"/>
        <v>0.20700755268115265</v>
      </c>
      <c r="Q118" s="853">
        <f t="shared" si="64"/>
        <v>3.5972518753429675E-2</v>
      </c>
      <c r="R118" s="853">
        <f t="shared" si="65"/>
        <v>4.7698524804283543E-5</v>
      </c>
      <c r="S118" s="853">
        <f t="shared" ref="S118:X118" si="92">S116*S71/S67</f>
        <v>8.1485879482876076</v>
      </c>
      <c r="T118" s="853">
        <f t="shared" si="92"/>
        <v>7.679573341026396</v>
      </c>
      <c r="U118" s="853">
        <f t="shared" si="92"/>
        <v>7.336597135278125</v>
      </c>
      <c r="V118" s="853">
        <f t="shared" si="92"/>
        <v>6.32170534381601</v>
      </c>
      <c r="W118" s="853">
        <f t="shared" si="92"/>
        <v>5.4472063433692828</v>
      </c>
      <c r="X118" s="853">
        <f t="shared" si="92"/>
        <v>4.6936792105105329</v>
      </c>
      <c r="Y118" s="211"/>
      <c r="Z118" s="855">
        <f t="shared" si="89"/>
        <v>0.40137480683209231</v>
      </c>
      <c r="AA118" s="855">
        <f>1/SUMIFS('Vehicle data-proc2023'!AD$20:AD$117,'Vehicle data-proc2023'!$N$20:$N$117,Analytica!$C118,'Vehicle data-proc2023'!$Q$20:$Q$117,RIGHT(Analytica!$D118,3))</f>
        <v>0.40745614066351282</v>
      </c>
      <c r="AB118" s="855">
        <f>1/SUMIFS('Vehicle data-proc2023'!AE$20:AE$117,'Vehicle data-proc2023'!$N$20:$N$117,Analytica!$C118,'Vehicle data-proc2023'!$Q$20:$Q$117,RIGHT(Analytica!$D118,3))</f>
        <v>0.41362961436156093</v>
      </c>
      <c r="AC118" s="855">
        <f>1/SUMIFS('Vehicle data-proc2023'!AF$20:AF$117,'Vehicle data-proc2023'!$N$20:$N$117,Analytica!$C118,'Vehicle data-proc2023'!$Q$20:$Q$117,RIGHT(Analytica!$D118,3))</f>
        <v>0.44597084783866037</v>
      </c>
      <c r="AD118" s="855">
        <f>1/SUMIFS('Vehicle data-proc2023'!AG$20:AG$117,'Vehicle data-proc2023'!$N$20:$N$117,Analytica!$C118,'Vehicle data-proc2023'!$Q$20:$Q$117,RIGHT(Analytica!$D118,3))</f>
        <v>0.49312216613129889</v>
      </c>
      <c r="AE118" s="886">
        <f>1/SUMIFS('Vehicle data-proc2023'!AH$20:AH$117,'Vehicle data-proc2023'!$N$20:$N$117,Analytica!$C118,'Vehicle data-proc2023'!$Q$20:$Q$117,RIGHT(Analytica!$D118,3))</f>
        <v>0.54525866860695826</v>
      </c>
      <c r="AF118" s="886"/>
      <c r="AG118" s="857"/>
      <c r="AH118" s="857"/>
      <c r="AI118" s="857"/>
      <c r="AJ118" s="857"/>
      <c r="AK118" s="983"/>
      <c r="AL118" s="983"/>
      <c r="AM118" s="983"/>
      <c r="AN118" s="983"/>
      <c r="AO118" s="983"/>
      <c r="AP118" s="983"/>
      <c r="AQ118" s="983"/>
      <c r="AR118" s="986"/>
      <c r="AS118" s="984"/>
      <c r="AT118" s="985"/>
      <c r="AU118" s="986"/>
      <c r="AV118" s="986"/>
      <c r="AW118" s="986"/>
      <c r="AX118" s="986"/>
      <c r="AY118" s="987"/>
      <c r="BA118" s="164">
        <v>0</v>
      </c>
      <c r="BC118" s="168">
        <f>BC117-BC116</f>
        <v>0</v>
      </c>
      <c r="BD118" s="166">
        <f>BC118/5.5</f>
        <v>0</v>
      </c>
      <c r="BE118" s="61" t="s">
        <v>522</v>
      </c>
    </row>
    <row r="119" spans="1:57" x14ac:dyDescent="0.25">
      <c r="A119" s="61" t="str">
        <f t="shared" si="59"/>
        <v>MBTBGS</v>
      </c>
      <c r="B119" s="61" t="str">
        <f t="shared" ref="B119:B125" si="93">D119&amp;C119&amp;"-N"</f>
        <v>TPPUMBTBGS-N</v>
      </c>
      <c r="C119" s="61" t="s">
        <v>506</v>
      </c>
      <c r="D119" s="61" t="s">
        <v>523</v>
      </c>
      <c r="E119" s="61" t="s">
        <v>1006</v>
      </c>
      <c r="F119" s="852">
        <f>F116</f>
        <v>3.4999999999999996E-2</v>
      </c>
      <c r="G119" s="853">
        <f>G118</f>
        <v>20965.008962084201</v>
      </c>
      <c r="H119" s="853">
        <f t="shared" si="91"/>
        <v>20965.008962084201</v>
      </c>
      <c r="I119" s="853">
        <f t="shared" si="91"/>
        <v>17599.223963710934</v>
      </c>
      <c r="J119" s="853">
        <f t="shared" si="91"/>
        <v>12401.963515519263</v>
      </c>
      <c r="K119" s="853">
        <f t="shared" si="91"/>
        <v>4339.9151971794827</v>
      </c>
      <c r="L119" s="853">
        <f t="shared" si="91"/>
        <v>754.16417805439505</v>
      </c>
      <c r="M119" s="853">
        <f t="shared" si="87"/>
        <v>1</v>
      </c>
      <c r="N119" s="853">
        <f t="shared" si="61"/>
        <v>0.83945702076920725</v>
      </c>
      <c r="O119" s="853">
        <f t="shared" si="62"/>
        <v>0.59155536436681511</v>
      </c>
      <c r="P119" s="853">
        <f t="shared" si="63"/>
        <v>0.20700755268115265</v>
      </c>
      <c r="Q119" s="853">
        <f t="shared" si="64"/>
        <v>3.5972518753429675E-2</v>
      </c>
      <c r="R119" s="853">
        <f t="shared" si="65"/>
        <v>4.7698524804283543E-5</v>
      </c>
      <c r="S119" s="853">
        <v>19.333899391304378</v>
      </c>
      <c r="T119" s="853">
        <f>S119</f>
        <v>19.333899391304378</v>
      </c>
      <c r="U119" s="853">
        <f t="shared" ref="U119:X124" si="94">T119/((1+U$57)^(U$58-T$58))</f>
        <v>17.162917556110038</v>
      </c>
      <c r="V119" s="853">
        <f t="shared" si="94"/>
        <v>14.788723658849419</v>
      </c>
      <c r="W119" s="853">
        <f t="shared" si="94"/>
        <v>12.742958575825156</v>
      </c>
      <c r="X119" s="853">
        <f t="shared" si="94"/>
        <v>10.980189839981735</v>
      </c>
      <c r="Y119" s="211"/>
      <c r="Z119" s="855">
        <f t="shared" si="89"/>
        <v>0.19776436705859718</v>
      </c>
      <c r="AA119" s="855">
        <f>1/SUMIFS('Vehicle data-proc2023'!AD$20:AD$117,'Vehicle data-proc2023'!$N$20:$N$117,Analytica!$C119,'Vehicle data-proc2023'!$Q$20:$Q$117,RIGHT(Analytica!$D119,3))</f>
        <v>0.20076074629210003</v>
      </c>
      <c r="AB119" s="855">
        <f>1/SUMIFS('Vehicle data-proc2023'!AE$20:AE$117,'Vehicle data-proc2023'!$N$20:$N$117,Analytica!$C119,'Vehicle data-proc2023'!$Q$20:$Q$117,RIGHT(Analytica!$D119,3))</f>
        <v>0.2038025244447535</v>
      </c>
      <c r="AC119" s="855">
        <f>1/SUMIFS('Vehicle data-proc2023'!AF$20:AF$117,'Vehicle data-proc2023'!$N$20:$N$117,Analytica!$C119,'Vehicle data-proc2023'!$Q$20:$Q$117,RIGHT(Analytica!$D119,3))</f>
        <v>0.21973761419035504</v>
      </c>
      <c r="AD119" s="855">
        <f>1/SUMIFS('Vehicle data-proc2023'!AG$20:AG$117,'Vehicle data-proc2023'!$N$20:$N$117,Analytica!$C119,'Vehicle data-proc2023'!$Q$20:$Q$117,RIGHT(Analytica!$D119,3))</f>
        <v>0.24296989100344107</v>
      </c>
      <c r="AE119" s="886">
        <f>1/SUMIFS('Vehicle data-proc2023'!AH$20:AH$117,'Vehicle data-proc2023'!$N$20:$N$117,Analytica!$C119,'Vehicle data-proc2023'!$Q$20:$Q$117,RIGHT(Analytica!$D119,3))</f>
        <v>0.26865845500208052</v>
      </c>
      <c r="AF119" s="886"/>
      <c r="AG119" s="857"/>
      <c r="AH119" s="857"/>
      <c r="AI119" s="857"/>
      <c r="AJ119" s="857"/>
      <c r="AK119" s="983"/>
      <c r="AL119" s="983"/>
      <c r="AM119" s="983"/>
      <c r="AN119" s="983"/>
      <c r="AO119" s="983"/>
      <c r="AP119" s="983"/>
      <c r="AQ119" s="983"/>
      <c r="AR119" s="986"/>
      <c r="AS119" s="984"/>
      <c r="AT119" s="985"/>
      <c r="AU119" s="986"/>
      <c r="AV119" s="986"/>
      <c r="AW119" s="986"/>
      <c r="AX119" s="986"/>
      <c r="AY119" s="987"/>
      <c r="BA119" s="164">
        <v>1</v>
      </c>
      <c r="BC119" s="166">
        <f>BC118-BC117</f>
        <v>0</v>
      </c>
      <c r="BD119" s="166">
        <f>BC119/5.5</f>
        <v>0</v>
      </c>
      <c r="BE119" s="61" t="s">
        <v>522</v>
      </c>
    </row>
    <row r="120" spans="1:57" x14ac:dyDescent="0.25">
      <c r="A120" s="61" t="str">
        <f t="shared" si="59"/>
        <v>MBTELC</v>
      </c>
      <c r="B120" s="61" t="str">
        <f t="shared" si="93"/>
        <v>TPPUMBTELC-N</v>
      </c>
      <c r="C120" s="61" t="s">
        <v>501</v>
      </c>
      <c r="D120" s="61" t="s">
        <v>523</v>
      </c>
      <c r="E120" t="s">
        <v>500</v>
      </c>
      <c r="F120" s="852">
        <f>F117</f>
        <v>3.4999999999999996E-2</v>
      </c>
      <c r="G120" s="853">
        <f>G119</f>
        <v>20965.008962084201</v>
      </c>
      <c r="H120" s="853">
        <f t="shared" si="91"/>
        <v>20965.008962084201</v>
      </c>
      <c r="I120" s="853">
        <f t="shared" si="91"/>
        <v>17599.223963710934</v>
      </c>
      <c r="J120" s="853">
        <f t="shared" si="91"/>
        <v>12401.963515519263</v>
      </c>
      <c r="K120" s="853">
        <f t="shared" si="91"/>
        <v>4339.9151971794827</v>
      </c>
      <c r="L120" s="853">
        <f t="shared" si="91"/>
        <v>754.16417805439505</v>
      </c>
      <c r="M120" s="853">
        <f t="shared" si="87"/>
        <v>1</v>
      </c>
      <c r="N120" s="853">
        <f t="shared" si="61"/>
        <v>0.83945702076920725</v>
      </c>
      <c r="O120" s="853">
        <f t="shared" si="62"/>
        <v>0.59155536436681511</v>
      </c>
      <c r="P120" s="853">
        <f t="shared" si="63"/>
        <v>0.20700755268115265</v>
      </c>
      <c r="Q120" s="853">
        <f t="shared" si="64"/>
        <v>3.5972518753429675E-2</v>
      </c>
      <c r="R120" s="853">
        <f t="shared" si="65"/>
        <v>4.7698524804283543E-5</v>
      </c>
      <c r="S120" s="864">
        <v>19.333899391304378</v>
      </c>
      <c r="T120" s="211">
        <f>S120</f>
        <v>19.333899391304378</v>
      </c>
      <c r="U120" s="853">
        <f t="shared" si="94"/>
        <v>17.162917556110038</v>
      </c>
      <c r="V120" s="853">
        <f t="shared" si="94"/>
        <v>14.788723658849419</v>
      </c>
      <c r="W120" s="853">
        <f t="shared" si="94"/>
        <v>12.742958575825156</v>
      </c>
      <c r="X120" s="853">
        <f t="shared" si="94"/>
        <v>10.980189839981735</v>
      </c>
      <c r="Y120" s="211"/>
      <c r="Z120" s="855">
        <f t="shared" si="89"/>
        <v>0.79029032448844172</v>
      </c>
      <c r="AA120" s="855">
        <f>1/SUMIFS('Vehicle data-proc2023'!AD$20:AD$117,'Vehicle data-proc2023'!$N$20:$N$117,Analytica!$C120,'Vehicle data-proc2023'!$Q$20:$Q$117,RIGHT(Analytica!$D120,3))</f>
        <v>0.80226421822852978</v>
      </c>
      <c r="AB120" s="855">
        <f>1/SUMIFS('Vehicle data-proc2023'!AE$20:AE$117,'Vehicle data-proc2023'!$N$20:$N$117,Analytica!$C120,'Vehicle data-proc2023'!$Q$20:$Q$117,RIGHT(Analytica!$D120,3))</f>
        <v>0.81441953153919366</v>
      </c>
      <c r="AC120" s="855">
        <f>1/SUMIFS('Vehicle data-proc2023'!AF$20:AF$117,'Vehicle data-proc2023'!$N$20:$N$117,Analytica!$C120,'Vehicle data-proc2023'!$Q$20:$Q$117,RIGHT(Analytica!$D120,3))</f>
        <v>0.87809807703810294</v>
      </c>
      <c r="AD120" s="855">
        <f>1/SUMIFS('Vehicle data-proc2023'!AG$20:AG$117,'Vehicle data-proc2023'!$N$20:$N$117,Analytica!$C120,'Vehicle data-proc2023'!$Q$20:$Q$117,RIGHT(Analytica!$D120,3))</f>
        <v>0.9709370644365708</v>
      </c>
      <c r="AE120" s="886">
        <f>1/SUMIFS('Vehicle data-proc2023'!AH$20:AH$117,'Vehicle data-proc2023'!$N$20:$N$117,Analytica!$C120,'Vehicle data-proc2023'!$Q$20:$Q$117,RIGHT(Analytica!$D120,3))</f>
        <v>1.07359167244344</v>
      </c>
      <c r="AF120" s="886"/>
      <c r="AG120" s="857"/>
      <c r="AH120" s="886"/>
      <c r="AI120" s="857"/>
      <c r="AJ120" s="857"/>
      <c r="AK120" s="983"/>
      <c r="AL120" s="983"/>
      <c r="AM120" s="983"/>
      <c r="AN120" s="983"/>
      <c r="AO120" s="983"/>
      <c r="AP120" s="983"/>
      <c r="AQ120" s="983"/>
      <c r="AR120" s="986"/>
      <c r="AS120" s="984"/>
      <c r="AT120" s="985"/>
      <c r="AU120" s="986"/>
      <c r="AV120" s="986"/>
      <c r="AW120" s="986"/>
      <c r="AX120" s="986"/>
      <c r="AY120" s="987"/>
      <c r="BA120" s="164">
        <v>1</v>
      </c>
      <c r="BC120" s="166">
        <f>BC119-BC118</f>
        <v>0</v>
      </c>
      <c r="BD120" s="61">
        <f>BC120/5.5</f>
        <v>0</v>
      </c>
      <c r="BE120" s="61" t="s">
        <v>522</v>
      </c>
    </row>
    <row r="121" spans="1:57" x14ac:dyDescent="0.25">
      <c r="A121" s="61" t="str">
        <f t="shared" si="59"/>
        <v>SUVODSH</v>
      </c>
      <c r="B121" s="61" t="str">
        <f t="shared" si="93"/>
        <v>TPPRSUVODSH-N</v>
      </c>
      <c r="C121" s="61" t="s">
        <v>521</v>
      </c>
      <c r="D121" s="61" t="s">
        <v>516</v>
      </c>
      <c r="E121" s="61" t="s">
        <v>520</v>
      </c>
      <c r="F121" s="852">
        <f>F122</f>
        <v>2.4E-2</v>
      </c>
      <c r="G121" s="853">
        <f>G123</f>
        <v>22250.436222693301</v>
      </c>
      <c r="H121" s="853">
        <f t="shared" si="91"/>
        <v>22250.436222693301</v>
      </c>
      <c r="I121" s="853">
        <f t="shared" si="91"/>
        <v>19734.366611778401</v>
      </c>
      <c r="J121" s="853">
        <f t="shared" si="91"/>
        <v>15523.602597326451</v>
      </c>
      <c r="K121" s="853">
        <f t="shared" si="91"/>
        <v>7556.1485848747261</v>
      </c>
      <c r="L121" s="853">
        <f t="shared" si="91"/>
        <v>2275.8682181128447</v>
      </c>
      <c r="M121" s="853">
        <f t="shared" si="87"/>
        <v>1</v>
      </c>
      <c r="N121" s="853">
        <f t="shared" si="61"/>
        <v>0.88692043671715748</v>
      </c>
      <c r="O121" s="853">
        <f t="shared" si="62"/>
        <v>0.69767632607103103</v>
      </c>
      <c r="P121" s="853">
        <f t="shared" si="63"/>
        <v>0.33959552564493917</v>
      </c>
      <c r="Q121" s="853">
        <f t="shared" si="64"/>
        <v>0.10228420671553749</v>
      </c>
      <c r="R121" s="853">
        <f t="shared" si="65"/>
        <v>4.4942939095283732E-5</v>
      </c>
      <c r="S121" s="211">
        <f>S122/1.3</f>
        <v>9.2051282051282044</v>
      </c>
      <c r="T121" s="211">
        <f>T122/1.3</f>
        <v>8.6630075528088462</v>
      </c>
      <c r="U121" s="853">
        <f t="shared" si="94"/>
        <v>7.6902481702003831</v>
      </c>
      <c r="V121" s="853">
        <f t="shared" si="94"/>
        <v>6.6264348520731602</v>
      </c>
      <c r="W121" s="853">
        <f t="shared" si="94"/>
        <v>5.7097817751732842</v>
      </c>
      <c r="X121" s="853">
        <f t="shared" si="94"/>
        <v>4.9199318559513454</v>
      </c>
      <c r="Y121" s="211"/>
      <c r="Z121" s="855">
        <f>Z64/Z65 *Z122</f>
        <v>0.29845274217055912</v>
      </c>
      <c r="AA121" s="855">
        <f>1/SUMIFS('Vehicle data-proc2023'!AD$20:AD$117,'Vehicle data-proc2023'!$N$20:$N$117,Analytica!$C121,'Vehicle data-proc2023'!$Q$20:$Q$117,RIGHT(Analytica!$D121,3))</f>
        <v>0.50166252636530251</v>
      </c>
      <c r="AB121" s="855">
        <f>1/SUMIFS('Vehicle data-proc2023'!AE$20:AE$117,'Vehicle data-proc2023'!$N$20:$N$117,Analytica!$C121,'Vehicle data-proc2023'!$Q$20:$Q$117,RIGHT(Analytica!$D121,3))</f>
        <v>0.50926334545412344</v>
      </c>
      <c r="AC121" s="855">
        <f>1/SUMIFS('Vehicle data-proc2023'!AF$20:AF$117,'Vehicle data-proc2023'!$N$20:$N$117,Analytica!$C121,'Vehicle data-proc2023'!$Q$20:$Q$117,RIGHT(Analytica!$D121,3))</f>
        <v>0.54908207260711606</v>
      </c>
      <c r="AD121" s="855">
        <f>1/SUMIFS('Vehicle data-proc2023'!AG$20:AG$117,'Vehicle data-proc2023'!$N$20:$N$117,Analytica!$C121,'Vehicle data-proc2023'!$Q$20:$Q$117,RIGHT(Analytica!$D121,3))</f>
        <v>0.60713506799852335</v>
      </c>
      <c r="AE121" s="855">
        <f>1/SUMIFS('Vehicle data-proc2023'!AH$20:AH$117,'Vehicle data-proc2023'!$N$20:$N$117,Analytica!$C121,'Vehicle data-proc2023'!$Q$20:$Q$117,RIGHT(Analytica!$D121,3))</f>
        <v>0.67132585306117754</v>
      </c>
      <c r="AF121" s="855"/>
      <c r="AG121" s="857">
        <v>1</v>
      </c>
      <c r="AH121" s="857">
        <f>AH64/AH65*AH122</f>
        <v>783.91454624056792</v>
      </c>
      <c r="AI121" s="857">
        <f>AI64/AI65*AI122</f>
        <v>0</v>
      </c>
      <c r="AJ121" s="857"/>
      <c r="AK121" s="983"/>
      <c r="AL121" s="983"/>
      <c r="AM121" s="983"/>
      <c r="AN121" s="983"/>
      <c r="AO121" s="983"/>
      <c r="AP121" s="983"/>
      <c r="AQ121" s="983"/>
      <c r="AR121" s="986"/>
      <c r="AS121" s="984"/>
      <c r="AT121" s="985"/>
      <c r="AU121" s="986"/>
      <c r="AV121" s="986"/>
      <c r="AW121" s="986"/>
      <c r="AX121" s="986"/>
      <c r="AY121" s="987"/>
      <c r="BA121" s="164">
        <f t="shared" ref="BA121:BA130" si="95">SUMIF($E$17:$E$41,E121,$AR$17:$AR$41)/SUMIF($D$17:$D$41,D121,$AR$17:$AR$41)</f>
        <v>0</v>
      </c>
      <c r="BC121" s="168" t="e">
        <f>#REF!-#REF!</f>
        <v>#REF!</v>
      </c>
      <c r="BD121" s="169" t="e">
        <f>BC121/5.5</f>
        <v>#REF!</v>
      </c>
    </row>
    <row r="122" spans="1:57" x14ac:dyDescent="0.25">
      <c r="A122" s="61" t="str">
        <f t="shared" si="59"/>
        <v>SUVODS</v>
      </c>
      <c r="B122" s="61" t="str">
        <f t="shared" si="93"/>
        <v>TPPRSUVODS-N</v>
      </c>
      <c r="C122" s="61" t="s">
        <v>511</v>
      </c>
      <c r="D122" s="61" t="s">
        <v>516</v>
      </c>
      <c r="E122" s="61" t="s">
        <v>301</v>
      </c>
      <c r="F122" s="852">
        <f>INDEX($F$17:$F$49,MATCH($E122,$E$17:$E$49,0))</f>
        <v>2.4E-2</v>
      </c>
      <c r="G122" s="853">
        <f>G37</f>
        <v>20405.076992301299</v>
      </c>
      <c r="H122" s="853">
        <f t="shared" si="91"/>
        <v>20405.076992301299</v>
      </c>
      <c r="I122" s="853">
        <f t="shared" si="91"/>
        <v>18097.67979725909</v>
      </c>
      <c r="J122" s="853">
        <f t="shared" si="91"/>
        <v>14236.139149185296</v>
      </c>
      <c r="K122" s="853">
        <f t="shared" si="91"/>
        <v>6929.4728470260143</v>
      </c>
      <c r="L122" s="853">
        <f t="shared" si="91"/>
        <v>2087.1171131270039</v>
      </c>
      <c r="M122" s="853">
        <f t="shared" si="87"/>
        <v>1</v>
      </c>
      <c r="N122" s="853">
        <f t="shared" si="61"/>
        <v>0.88692043671715748</v>
      </c>
      <c r="O122" s="853">
        <f t="shared" si="62"/>
        <v>0.69767632607103103</v>
      </c>
      <c r="P122" s="853">
        <f t="shared" si="63"/>
        <v>0.33959552564493917</v>
      </c>
      <c r="Q122" s="853">
        <f t="shared" si="64"/>
        <v>0.10228420671553748</v>
      </c>
      <c r="R122" s="853">
        <f t="shared" si="65"/>
        <v>4.9007411262270333E-5</v>
      </c>
      <c r="S122" s="211">
        <f>S124/1.2</f>
        <v>11.966666666666667</v>
      </c>
      <c r="T122" s="856">
        <f>W37</f>
        <v>11.2619098186515</v>
      </c>
      <c r="U122" s="853">
        <f t="shared" si="94"/>
        <v>9.9973226212604978</v>
      </c>
      <c r="V122" s="853">
        <f t="shared" si="94"/>
        <v>8.6143653076951079</v>
      </c>
      <c r="W122" s="853">
        <f t="shared" si="94"/>
        <v>7.4227163077252687</v>
      </c>
      <c r="X122" s="853">
        <f t="shared" si="94"/>
        <v>6.3959114127367478</v>
      </c>
      <c r="Y122" s="211"/>
      <c r="Z122" s="855">
        <f>(AA122/AB122)*AA122</f>
        <v>0.22957903243889161</v>
      </c>
      <c r="AA122" s="855">
        <f>1/SUMIFS('Vehicle data-proc2023'!AD$20:AD$117,'Vehicle data-proc2023'!$N$20:$N$117,Analytica!$C122,'Vehicle data-proc2023'!$Q$20:$Q$117,RIGHT(Analytica!$D122,3))</f>
        <v>0.23305744392160199</v>
      </c>
      <c r="AB122" s="855">
        <f>1/SUMIFS('Vehicle data-proc2023'!AE$20:AE$117,'Vehicle data-proc2023'!$N$20:$N$117,Analytica!$C122,'Vehicle data-proc2023'!$Q$20:$Q$117,RIGHT(Analytica!$D122,3))</f>
        <v>0.23658855771912971</v>
      </c>
      <c r="AC122" s="855">
        <f>1/SUMIFS('Vehicle data-proc2023'!AF$20:AF$117,'Vehicle data-proc2023'!$N$20:$N$117,Analytica!$C122,'Vehicle data-proc2023'!$Q$20:$Q$117,RIGHT(Analytica!$D122,3))</f>
        <v>0.25508715046378805</v>
      </c>
      <c r="AD122" s="855">
        <f>1/SUMIFS('Vehicle data-proc2023'!AG$20:AG$117,'Vehicle data-proc2023'!$N$20:$N$117,Analytica!$C122,'Vehicle data-proc2023'!$Q$20:$Q$117,RIGHT(Analytica!$D122,3))</f>
        <v>0.28205684025891897</v>
      </c>
      <c r="AE122" s="886">
        <f>1/SUMIFS('Vehicle data-proc2023'!AH$20:AH$117,'Vehicle data-proc2023'!$N$20:$N$117,Analytica!$C122,'Vehicle data-proc2023'!$Q$20:$Q$117,RIGHT(Analytica!$D122,3))</f>
        <v>0.31187796402994067</v>
      </c>
      <c r="AF122" s="886"/>
      <c r="AG122" s="857"/>
      <c r="AH122" s="857">
        <v>342.37610000000001</v>
      </c>
      <c r="AI122" s="857">
        <v>578.12285436396212</v>
      </c>
      <c r="AJ122" s="857"/>
      <c r="AK122" s="983"/>
      <c r="AL122" s="983"/>
      <c r="AM122" s="983"/>
      <c r="AN122" s="983"/>
      <c r="AO122" s="983"/>
      <c r="AP122" s="983"/>
      <c r="AQ122" s="983"/>
      <c r="AR122" s="986"/>
      <c r="AS122" s="984"/>
      <c r="AT122" s="985"/>
      <c r="AU122" s="986"/>
      <c r="AV122" s="986"/>
      <c r="AW122" s="986"/>
      <c r="AX122" s="986"/>
      <c r="AY122" s="987"/>
      <c r="BA122" s="164">
        <f t="shared" si="95"/>
        <v>0.46134144546391248</v>
      </c>
    </row>
    <row r="123" spans="1:57" x14ac:dyDescent="0.25">
      <c r="A123" s="61" t="str">
        <f t="shared" si="59"/>
        <v>SUVOGSH</v>
      </c>
      <c r="B123" s="61" t="str">
        <f t="shared" si="93"/>
        <v>TPPRSUVOGSH-N</v>
      </c>
      <c r="C123" s="61" t="s">
        <v>519</v>
      </c>
      <c r="D123" s="61" t="s">
        <v>516</v>
      </c>
      <c r="E123" s="61" t="s">
        <v>298</v>
      </c>
      <c r="F123" s="852">
        <f>INDEX($F$17:$F$49,MATCH($E123,$E$17:$E$49,0))</f>
        <v>2.4E-2</v>
      </c>
      <c r="G123" s="853">
        <f>G38</f>
        <v>22250.436222693301</v>
      </c>
      <c r="H123" s="853">
        <f t="shared" si="91"/>
        <v>22250.436222693301</v>
      </c>
      <c r="I123" s="853">
        <f t="shared" si="91"/>
        <v>19734.366611778401</v>
      </c>
      <c r="J123" s="853">
        <f t="shared" si="91"/>
        <v>15523.602597326451</v>
      </c>
      <c r="K123" s="853">
        <f t="shared" si="91"/>
        <v>7556.1485848747261</v>
      </c>
      <c r="L123" s="853">
        <f t="shared" si="91"/>
        <v>2275.8682181128447</v>
      </c>
      <c r="M123" s="853">
        <f t="shared" si="87"/>
        <v>1</v>
      </c>
      <c r="N123" s="853">
        <f t="shared" si="61"/>
        <v>0.88692043671715748</v>
      </c>
      <c r="O123" s="853">
        <f t="shared" si="62"/>
        <v>0.69767632607103103</v>
      </c>
      <c r="P123" s="853">
        <f t="shared" si="63"/>
        <v>0.33959552564493917</v>
      </c>
      <c r="Q123" s="853">
        <f t="shared" si="64"/>
        <v>0.10228420671553749</v>
      </c>
      <c r="R123" s="853">
        <f t="shared" si="65"/>
        <v>4.4942939095283732E-5</v>
      </c>
      <c r="S123" s="211">
        <f>S124/1.3</f>
        <v>11.046153846153846</v>
      </c>
      <c r="T123" s="211">
        <f>W38</f>
        <v>6.8382247609900997</v>
      </c>
      <c r="U123" s="853">
        <f t="shared" si="94"/>
        <v>6.0703681873822601</v>
      </c>
      <c r="V123" s="853">
        <f t="shared" si="94"/>
        <v>5.230637351556088</v>
      </c>
      <c r="W123" s="853">
        <f t="shared" si="94"/>
        <v>4.507068806857994</v>
      </c>
      <c r="X123" s="853">
        <f t="shared" si="94"/>
        <v>3.8835935019867374</v>
      </c>
      <c r="Y123" s="211"/>
      <c r="Z123" s="855">
        <f>Z66/Z67 *Z124</f>
        <v>0.53073323251120075</v>
      </c>
      <c r="AA123" s="855">
        <f>1/SUMIFS('Vehicle data-proc2023'!AD$20:AD$117,'Vehicle data-proc2023'!$N$20:$N$117,Analytica!$C123,'Vehicle data-proc2023'!$Q$20:$Q$117,RIGHT(Analytica!$D123,3))</f>
        <v>0.55960679052148743</v>
      </c>
      <c r="AB123" s="855">
        <f>1/SUMIFS('Vehicle data-proc2023'!AE$20:AE$117,'Vehicle data-proc2023'!$N$20:$N$117,Analytica!$C123,'Vehicle data-proc2023'!$Q$20:$Q$117,RIGHT(Analytica!$D123,3))</f>
        <v>0.56808553818966034</v>
      </c>
      <c r="AC123" s="855">
        <f>1/SUMIFS('Vehicle data-proc2023'!AF$20:AF$117,'Vehicle data-proc2023'!$N$20:$N$117,Analytica!$C123,'Vehicle data-proc2023'!$Q$20:$Q$117,RIGHT(Analytica!$D123,3))</f>
        <v>0.61250350631293804</v>
      </c>
      <c r="AD123" s="855">
        <f>1/SUMIFS('Vehicle data-proc2023'!AG$20:AG$117,'Vehicle data-proc2023'!$N$20:$N$117,Analytica!$C123,'Vehicle data-proc2023'!$Q$20:$Q$117,RIGHT(Analytica!$D123,3))</f>
        <v>0.67726188216078398</v>
      </c>
      <c r="AE123" s="855">
        <f>1/SUMIFS('Vehicle data-proc2023'!AH$20:AH$117,'Vehicle data-proc2023'!$N$20:$N$117,Analytica!$C123,'Vehicle data-proc2023'!$Q$20:$Q$117,RIGHT(Analytica!$D123,3))</f>
        <v>0.74886698982196298</v>
      </c>
      <c r="AF123" s="855"/>
      <c r="AG123" s="857">
        <v>1</v>
      </c>
      <c r="AH123" s="857">
        <f>AH121/AH122*AH124</f>
        <v>756.34808946285307</v>
      </c>
      <c r="AI123" s="857">
        <v>869.57249999999999</v>
      </c>
      <c r="AJ123" s="857"/>
      <c r="AK123" s="983"/>
      <c r="AL123" s="983"/>
      <c r="AM123" s="983"/>
      <c r="AN123" s="983"/>
      <c r="AO123" s="983"/>
      <c r="AP123" s="983"/>
      <c r="AQ123" s="983"/>
      <c r="AR123" s="986"/>
      <c r="AS123" s="984"/>
      <c r="AT123" s="985"/>
      <c r="AU123" s="986"/>
      <c r="AV123" s="986"/>
      <c r="AW123" s="986"/>
      <c r="AX123" s="986"/>
      <c r="AY123" s="987"/>
      <c r="BA123" s="164">
        <f t="shared" si="95"/>
        <v>7.1635346646386339E-4</v>
      </c>
    </row>
    <row r="124" spans="1:57" x14ac:dyDescent="0.25">
      <c r="A124" s="61" t="str">
        <f t="shared" si="59"/>
        <v>SUVOGS</v>
      </c>
      <c r="B124" s="61" t="str">
        <f t="shared" si="93"/>
        <v>TPPRSUVOGS-N</v>
      </c>
      <c r="C124" s="61" t="s">
        <v>573</v>
      </c>
      <c r="D124" s="61" t="s">
        <v>516</v>
      </c>
      <c r="E124" s="61" t="s">
        <v>295</v>
      </c>
      <c r="F124" s="852">
        <f>INDEX($F$17:$F$49,MATCH($E124,$E$17:$E$49,0))</f>
        <v>2.4E-2</v>
      </c>
      <c r="G124" s="853">
        <f>G39</f>
        <v>19920.095193486901</v>
      </c>
      <c r="H124" s="853">
        <f t="shared" si="91"/>
        <v>19920.095193486901</v>
      </c>
      <c r="I124" s="853">
        <f t="shared" si="91"/>
        <v>17667.539528454752</v>
      </c>
      <c r="J124" s="853">
        <f t="shared" si="91"/>
        <v>13897.778829577146</v>
      </c>
      <c r="K124" s="853">
        <f t="shared" si="91"/>
        <v>6764.7751981294105</v>
      </c>
      <c r="L124" s="853">
        <f t="shared" si="91"/>
        <v>2037.5111345637988</v>
      </c>
      <c r="M124" s="853">
        <f t="shared" si="87"/>
        <v>1</v>
      </c>
      <c r="N124" s="853">
        <f t="shared" si="61"/>
        <v>0.88692043671715748</v>
      </c>
      <c r="O124" s="853">
        <f t="shared" si="62"/>
        <v>0.69767632607103114</v>
      </c>
      <c r="P124" s="853">
        <f t="shared" si="63"/>
        <v>0.33959552564493917</v>
      </c>
      <c r="Q124" s="853">
        <f t="shared" si="64"/>
        <v>0.10228420671553748</v>
      </c>
      <c r="R124" s="853">
        <f t="shared" si="65"/>
        <v>5.020056331492639E-5</v>
      </c>
      <c r="S124" s="211">
        <v>14.36</v>
      </c>
      <c r="T124" s="853">
        <f>W39</f>
        <v>13.551554667779801</v>
      </c>
      <c r="U124" s="853">
        <f t="shared" si="94"/>
        <v>12.029865823385324</v>
      </c>
      <c r="V124" s="853">
        <f t="shared" si="94"/>
        <v>10.365741182025751</v>
      </c>
      <c r="W124" s="853">
        <f t="shared" si="94"/>
        <v>8.9318195090647752</v>
      </c>
      <c r="X124" s="853">
        <f t="shared" si="94"/>
        <v>7.6962561906180467</v>
      </c>
      <c r="Y124" s="211"/>
      <c r="Z124" s="855">
        <f t="shared" ref="Z124:Z135" si="96">(AA124/AB124)*AA124</f>
        <v>0.42121105878886406</v>
      </c>
      <c r="AA124" s="855">
        <f>1/SUMIFS('Vehicle data-proc2023'!AD$20:AD$117,'Vehicle data-proc2023'!$N$20:$N$117,Analytica!$C124,'Vehicle data-proc2023'!$Q$20:$Q$117,RIGHT(Analytica!$D124,3))</f>
        <v>0.42759293682001998</v>
      </c>
      <c r="AB124" s="855">
        <f>1/SUMIFS('Vehicle data-proc2023'!AE$20:AE$117,'Vehicle data-proc2023'!$N$20:$N$117,Analytica!$C124,'Vehicle data-proc2023'!$Q$20:$Q$117,RIGHT(Analytica!$D124,3))</f>
        <v>0.43407150834094715</v>
      </c>
      <c r="AC124" s="855">
        <f>1/SUMIFS('Vehicle data-proc2023'!AF$20:AF$117,'Vehicle data-proc2023'!$N$20:$N$117,Analytica!$C124,'Vehicle data-proc2023'!$Q$20:$Q$117,RIGHT(Analytica!$D124,3))</f>
        <v>0.46801107047476492</v>
      </c>
      <c r="AD124" s="855">
        <f>1/SUMIFS('Vehicle data-proc2023'!AG$20:AG$117,'Vehicle data-proc2023'!$N$20:$N$117,Analytica!$C124,'Vehicle data-proc2023'!$Q$20:$Q$117,RIGHT(Analytica!$D124,3))</f>
        <v>0.51749264321742416</v>
      </c>
      <c r="AE124" s="886">
        <f>1/SUMIFS('Vehicle data-proc2023'!AH$20:AH$117,'Vehicle data-proc2023'!$N$20:$N$117,Analytica!$C124,'Vehicle data-proc2023'!$Q$20:$Q$117,RIGHT(Analytica!$D124,3))</f>
        <v>0.57220577178333198</v>
      </c>
      <c r="AF124" s="886"/>
      <c r="AG124" s="857"/>
      <c r="AH124" s="857">
        <v>330.33640000000003</v>
      </c>
      <c r="AI124" s="857">
        <v>528.97889091362958</v>
      </c>
      <c r="AJ124" s="857"/>
      <c r="AK124" s="983"/>
      <c r="AL124" s="983"/>
      <c r="AM124" s="983"/>
      <c r="AN124" s="983"/>
      <c r="AO124" s="983"/>
      <c r="AP124" s="983"/>
      <c r="AQ124" s="983"/>
      <c r="AR124" s="986"/>
      <c r="AS124" s="984"/>
      <c r="AT124" s="985"/>
      <c r="AU124" s="986"/>
      <c r="AV124" s="986"/>
      <c r="AW124" s="986"/>
      <c r="AX124" s="986"/>
      <c r="AY124" s="987"/>
      <c r="BA124" s="164">
        <f t="shared" si="95"/>
        <v>0.53794220106962365</v>
      </c>
      <c r="BB124" s="61" t="s">
        <v>129</v>
      </c>
      <c r="BC124" s="166">
        <f>AJ124*1000</f>
        <v>0</v>
      </c>
    </row>
    <row r="125" spans="1:57" x14ac:dyDescent="0.25">
      <c r="A125" s="61" t="str">
        <f t="shared" si="59"/>
        <v>SUVGAS</v>
      </c>
      <c r="B125" s="61" t="str">
        <f t="shared" si="93"/>
        <v>TPPRSUVGAS-N</v>
      </c>
      <c r="C125" s="61" t="s">
        <v>509</v>
      </c>
      <c r="D125" s="61" t="s">
        <v>516</v>
      </c>
      <c r="E125" s="61" t="s">
        <v>518</v>
      </c>
      <c r="F125" s="852">
        <f>F124</f>
        <v>2.4E-2</v>
      </c>
      <c r="G125" s="853">
        <f>G123</f>
        <v>22250.436222693301</v>
      </c>
      <c r="H125" s="853">
        <f t="shared" si="91"/>
        <v>22250.436222693301</v>
      </c>
      <c r="I125" s="853">
        <f t="shared" si="91"/>
        <v>19734.366611778401</v>
      </c>
      <c r="J125" s="853">
        <f t="shared" si="91"/>
        <v>15523.602597326451</v>
      </c>
      <c r="K125" s="853">
        <f t="shared" si="91"/>
        <v>7556.1485848747261</v>
      </c>
      <c r="L125" s="853">
        <f t="shared" si="91"/>
        <v>2275.8682181128447</v>
      </c>
      <c r="M125" s="853">
        <f t="shared" si="87"/>
        <v>1</v>
      </c>
      <c r="N125" s="853">
        <f t="shared" si="61"/>
        <v>0.88692043671715748</v>
      </c>
      <c r="O125" s="853">
        <f t="shared" si="62"/>
        <v>0.69767632607103103</v>
      </c>
      <c r="P125" s="853">
        <f t="shared" si="63"/>
        <v>0.33959552564493917</v>
      </c>
      <c r="Q125" s="853">
        <f t="shared" si="64"/>
        <v>0.10228420671553749</v>
      </c>
      <c r="R125" s="853">
        <f t="shared" si="65"/>
        <v>4.4942939095283732E-5</v>
      </c>
      <c r="S125" s="853">
        <f t="shared" ref="S125:X126" si="97">(1+(S123/S66-1)/2)*S70</f>
        <v>11.580930930930931</v>
      </c>
      <c r="T125" s="853">
        <f t="shared" si="97"/>
        <v>8.3076372083499201</v>
      </c>
      <c r="U125" s="853">
        <f t="shared" si="97"/>
        <v>7.4790422203301672</v>
      </c>
      <c r="V125" s="853">
        <f t="shared" si="97"/>
        <v>6.4444456059252362</v>
      </c>
      <c r="W125" s="853">
        <f t="shared" si="97"/>
        <v>5.5529676052417951</v>
      </c>
      <c r="X125" s="853">
        <f t="shared" si="97"/>
        <v>4.7848102242516664</v>
      </c>
      <c r="Y125" s="211"/>
      <c r="Z125" s="855">
        <f t="shared" si="96"/>
        <v>0.35899070068700906</v>
      </c>
      <c r="AA125" s="855">
        <f>1/SUMIFS('Vehicle data-proc2023'!AD$20:AD$117,'Vehicle data-proc2023'!$N$20:$N$117,Analytica!$C125,'Vehicle data-proc2023'!$Q$20:$Q$117,RIGHT(Analytica!$D125,3))</f>
        <v>0.36442986193004773</v>
      </c>
      <c r="AB125" s="855">
        <f>1/SUMIFS('Vehicle data-proc2023'!AE$20:AE$117,'Vehicle data-proc2023'!$N$20:$N$117,Analytica!$C125,'Vehicle data-proc2023'!$Q$20:$Q$117,RIGHT(Analytica!$D125,3))</f>
        <v>0.36995143331622149</v>
      </c>
      <c r="AC125" s="855">
        <f>1/SUMIFS('Vehicle data-proc2023'!AF$20:AF$117,'Vehicle data-proc2023'!$N$20:$N$117,Analytica!$C125,'Vehicle data-proc2023'!$Q$20:$Q$117,RIGHT(Analytica!$D125,3))</f>
        <v>0.39887751903311353</v>
      </c>
      <c r="AD125" s="855">
        <f>1/SUMIFS('Vehicle data-proc2023'!AG$20:AG$117,'Vehicle data-proc2023'!$N$20:$N$117,Analytica!$C125,'Vehicle data-proc2023'!$Q$20:$Q$117,RIGHT(Analytica!$D125,3))</f>
        <v>0.4410497842178378</v>
      </c>
      <c r="AE125" s="886">
        <f>1/SUMIFS('Vehicle data-proc2023'!AH$20:AH$117,'Vehicle data-proc2023'!$N$20:$N$117,Analytica!$C125,'Vehicle data-proc2023'!$Q$20:$Q$117,RIGHT(Analytica!$D125,3))</f>
        <v>0.48768081146847597</v>
      </c>
      <c r="AF125" s="886"/>
      <c r="AG125" s="857"/>
      <c r="AH125" s="857"/>
      <c r="AI125" s="857"/>
      <c r="AJ125" s="857"/>
      <c r="AK125" s="983"/>
      <c r="AL125" s="983"/>
      <c r="AM125" s="983"/>
      <c r="AN125" s="983"/>
      <c r="AO125" s="983"/>
      <c r="AP125" s="983"/>
      <c r="AQ125" s="983"/>
      <c r="AR125" s="986"/>
      <c r="AS125" s="984"/>
      <c r="AT125" s="985"/>
      <c r="AU125" s="986"/>
      <c r="AV125" s="986"/>
      <c r="AW125" s="986"/>
      <c r="AX125" s="986"/>
      <c r="AY125" s="987"/>
      <c r="BA125" s="164">
        <f t="shared" si="95"/>
        <v>0</v>
      </c>
      <c r="BC125" s="168" t="e">
        <f>#REF!-BC123</f>
        <v>#REF!</v>
      </c>
      <c r="BE125" s="61" t="s">
        <v>515</v>
      </c>
    </row>
    <row r="126" spans="1:57" x14ac:dyDescent="0.25">
      <c r="A126" s="61" t="str">
        <f t="shared" si="59"/>
        <v>SUVHGN</v>
      </c>
      <c r="B126" s="61" t="str">
        <f>D126&amp;C126&amp;"F-N"</f>
        <v>TPPRSUVHGNF-N</v>
      </c>
      <c r="C126" s="61" t="s">
        <v>504</v>
      </c>
      <c r="D126" s="61" t="s">
        <v>516</v>
      </c>
      <c r="E126" s="61" t="s">
        <v>517</v>
      </c>
      <c r="F126" s="852">
        <f>F125</f>
        <v>2.4E-2</v>
      </c>
      <c r="G126" s="853">
        <f>G123</f>
        <v>22250.436222693301</v>
      </c>
      <c r="H126" s="853">
        <f t="shared" si="91"/>
        <v>22250.436222693301</v>
      </c>
      <c r="I126" s="853">
        <f t="shared" si="91"/>
        <v>19734.366611778401</v>
      </c>
      <c r="J126" s="853">
        <f t="shared" si="91"/>
        <v>15523.602597326451</v>
      </c>
      <c r="K126" s="853">
        <f t="shared" si="91"/>
        <v>7556.1485848747261</v>
      </c>
      <c r="L126" s="853">
        <f t="shared" si="91"/>
        <v>2275.8682181128447</v>
      </c>
      <c r="M126" s="853">
        <f t="shared" si="87"/>
        <v>1</v>
      </c>
      <c r="N126" s="853">
        <f t="shared" si="61"/>
        <v>0.88692043671715748</v>
      </c>
      <c r="O126" s="853">
        <f t="shared" si="62"/>
        <v>0.69767632607103103</v>
      </c>
      <c r="P126" s="853">
        <f t="shared" si="63"/>
        <v>0.33959552564493917</v>
      </c>
      <c r="Q126" s="853">
        <f t="shared" si="64"/>
        <v>0.10228420671553749</v>
      </c>
      <c r="R126" s="853">
        <f t="shared" si="65"/>
        <v>4.4942939095283732E-5</v>
      </c>
      <c r="S126" s="853">
        <f t="shared" si="97"/>
        <v>6.4363063233601805</v>
      </c>
      <c r="T126" s="853">
        <f t="shared" si="97"/>
        <v>5.7328975934466984</v>
      </c>
      <c r="U126" s="853">
        <f t="shared" si="97"/>
        <v>5.3307741914008675</v>
      </c>
      <c r="V126" s="853">
        <f t="shared" si="97"/>
        <v>4.5933534404404526</v>
      </c>
      <c r="W126" s="853">
        <f t="shared" si="97"/>
        <v>3.957942143345897</v>
      </c>
      <c r="X126" s="853">
        <f t="shared" si="97"/>
        <v>3.4104290499734287</v>
      </c>
      <c r="Y126" s="211"/>
      <c r="Z126" s="855">
        <f t="shared" si="96"/>
        <v>0.85487345304641404</v>
      </c>
      <c r="AA126" s="855">
        <f>1/SUMIFS('Vehicle data-proc2023'!AD$20:AD$117,'Vehicle data-proc2023'!$N$20:$N$117,Analytica!$C126,'Vehicle data-proc2023'!$Q$20:$Q$117,RIGHT(Analytica!$D126,3))</f>
        <v>0.86782586252279958</v>
      </c>
      <c r="AB126" s="855">
        <f>1/SUMIFS('Vehicle data-proc2023'!AE$20:AE$117,'Vehicle data-proc2023'!$N$20:$N$117,Analytica!$C126,'Vehicle data-proc2023'!$Q$20:$Q$117,RIGHT(Analytica!$D126,3))</f>
        <v>0.88097451731554877</v>
      </c>
      <c r="AC126" s="855">
        <f>1/SUMIFS('Vehicle data-proc2023'!AF$20:AF$117,'Vehicle data-proc2023'!$N$20:$N$117,Analytica!$C126,'Vehicle data-proc2023'!$Q$20:$Q$117,RIGHT(Analytica!$D126,3))</f>
        <v>0.94985692215944351</v>
      </c>
      <c r="AD126" s="855">
        <f>1/SUMIFS('Vehicle data-proc2023'!AG$20:AG$117,'Vehicle data-proc2023'!$N$20:$N$117,Analytica!$C126,'Vehicle data-proc2023'!$Q$20:$Q$117,RIGHT(Analytica!$D126,3))</f>
        <v>1.050282782473543</v>
      </c>
      <c r="AE126" s="886">
        <f>1/SUMIFS('Vehicle data-proc2023'!AH$20:AH$117,'Vehicle data-proc2023'!$N$20:$N$117,Analytica!$C126,'Vehicle data-proc2023'!$Q$20:$Q$117,RIGHT(Analytica!$D126,3))</f>
        <v>1.1613264034045769</v>
      </c>
      <c r="AF126" s="886"/>
      <c r="AG126" s="857"/>
      <c r="AH126" s="857"/>
      <c r="AI126" s="857"/>
      <c r="AJ126" s="857"/>
      <c r="AK126" s="983"/>
      <c r="AL126" s="983"/>
      <c r="AM126" s="983"/>
      <c r="AN126" s="983"/>
      <c r="AO126" s="983"/>
      <c r="AP126" s="983"/>
      <c r="AQ126" s="983"/>
      <c r="AR126" s="986"/>
      <c r="AS126" s="984"/>
      <c r="AT126" s="985"/>
      <c r="AU126" s="986"/>
      <c r="AV126" s="986"/>
      <c r="AW126" s="986"/>
      <c r="AX126" s="986"/>
      <c r="AY126" s="987"/>
      <c r="BA126" s="164">
        <f t="shared" si="95"/>
        <v>0</v>
      </c>
      <c r="BC126" s="168" t="e">
        <f>#REF!-BC124</f>
        <v>#REF!</v>
      </c>
      <c r="BE126" s="61" t="s">
        <v>515</v>
      </c>
    </row>
    <row r="127" spans="1:57" x14ac:dyDescent="0.25">
      <c r="A127" s="61" t="str">
        <f t="shared" si="59"/>
        <v>SUVBGS</v>
      </c>
      <c r="B127" s="61" t="str">
        <f>D127&amp;C127&amp;"-N"</f>
        <v>TPPRSUVBGS-N</v>
      </c>
      <c r="C127" s="61" t="s">
        <v>506</v>
      </c>
      <c r="D127" s="61" t="s">
        <v>516</v>
      </c>
      <c r="E127" s="61" t="s">
        <v>1007</v>
      </c>
      <c r="F127" s="852">
        <f>F124</f>
        <v>2.4E-2</v>
      </c>
      <c r="G127" s="853">
        <f>G124</f>
        <v>19920.095193486901</v>
      </c>
      <c r="H127" s="853">
        <f t="shared" si="91"/>
        <v>19920.095193486901</v>
      </c>
      <c r="I127" s="853">
        <f t="shared" si="91"/>
        <v>17667.539528454752</v>
      </c>
      <c r="J127" s="853">
        <f t="shared" si="91"/>
        <v>13897.778829577146</v>
      </c>
      <c r="K127" s="853">
        <f t="shared" si="91"/>
        <v>6764.7751981294105</v>
      </c>
      <c r="L127" s="853">
        <f t="shared" si="91"/>
        <v>2037.5111345637988</v>
      </c>
      <c r="M127" s="853">
        <f t="shared" si="87"/>
        <v>1</v>
      </c>
      <c r="N127" s="853">
        <f t="shared" si="61"/>
        <v>0.88692043671715748</v>
      </c>
      <c r="O127" s="853">
        <f t="shared" si="62"/>
        <v>0.69767632607103114</v>
      </c>
      <c r="P127" s="853">
        <f t="shared" si="63"/>
        <v>0.33959552564493917</v>
      </c>
      <c r="Q127" s="853">
        <f t="shared" si="64"/>
        <v>0.10228420671553748</v>
      </c>
      <c r="R127" s="853">
        <f t="shared" si="65"/>
        <v>5.020056331492639E-5</v>
      </c>
      <c r="S127" s="853">
        <v>19.276653567548493</v>
      </c>
      <c r="T127" s="853">
        <f>S127</f>
        <v>19.276653567548493</v>
      </c>
      <c r="U127" s="853">
        <f t="shared" ref="U127:X130" si="98">T127/((1+U$57)^(U$58-T$58))</f>
        <v>17.112099801570785</v>
      </c>
      <c r="V127" s="853">
        <f t="shared" si="98"/>
        <v>14.744935664973244</v>
      </c>
      <c r="W127" s="853">
        <f t="shared" si="98"/>
        <v>12.705227896359204</v>
      </c>
      <c r="X127" s="853">
        <f t="shared" si="98"/>
        <v>10.947678549855311</v>
      </c>
      <c r="Y127" s="211"/>
      <c r="Z127" s="855">
        <f t="shared" si="96"/>
        <v>0.42121105878886406</v>
      </c>
      <c r="AA127" s="855">
        <f>1/SUMIFS('Vehicle data-proc2023'!AD$20:AD$117,'Vehicle data-proc2023'!$N$20:$N$117,Analytica!$C127,'Vehicle data-proc2023'!$Q$20:$Q$117,RIGHT(Analytica!$D127,3))</f>
        <v>0.42759293682001998</v>
      </c>
      <c r="AB127" s="855">
        <f>1/SUMIFS('Vehicle data-proc2023'!AE$20:AE$117,'Vehicle data-proc2023'!$N$20:$N$117,Analytica!$C127,'Vehicle data-proc2023'!$Q$20:$Q$117,RIGHT(Analytica!$D127,3))</f>
        <v>0.43407150834094715</v>
      </c>
      <c r="AC127" s="855">
        <f>1/SUMIFS('Vehicle data-proc2023'!AF$20:AF$117,'Vehicle data-proc2023'!$N$20:$N$117,Analytica!$C127,'Vehicle data-proc2023'!$Q$20:$Q$117,RIGHT(Analytica!$D127,3))</f>
        <v>0.46801107047476492</v>
      </c>
      <c r="AD127" s="855">
        <f>1/SUMIFS('Vehicle data-proc2023'!AG$20:AG$117,'Vehicle data-proc2023'!$N$20:$N$117,Analytica!$C127,'Vehicle data-proc2023'!$Q$20:$Q$117,RIGHT(Analytica!$D127,3))</f>
        <v>0.51749264321742416</v>
      </c>
      <c r="AE127" s="886">
        <f>1/SUMIFS('Vehicle data-proc2023'!AH$20:AH$117,'Vehicle data-proc2023'!$N$20:$N$117,Analytica!$C127,'Vehicle data-proc2023'!$Q$20:$Q$117,RIGHT(Analytica!$D127,3))</f>
        <v>0.57220577178333198</v>
      </c>
      <c r="AF127" s="886"/>
      <c r="AG127" s="857"/>
      <c r="AH127" s="857"/>
      <c r="AI127" s="857"/>
      <c r="AJ127" s="857"/>
      <c r="AK127" s="983"/>
      <c r="AL127" s="983"/>
      <c r="AM127" s="983"/>
      <c r="AN127" s="983"/>
      <c r="AO127" s="983"/>
      <c r="AP127" s="983"/>
      <c r="AQ127" s="983"/>
      <c r="AR127" s="986"/>
      <c r="AS127" s="984"/>
      <c r="AT127" s="985"/>
      <c r="AU127" s="986"/>
      <c r="AV127" s="986"/>
      <c r="AW127" s="986"/>
      <c r="AX127" s="986"/>
      <c r="AY127" s="987"/>
      <c r="BA127" s="164">
        <f t="shared" si="95"/>
        <v>0</v>
      </c>
      <c r="BC127" s="166" t="e">
        <f>#REF!-BC125</f>
        <v>#REF!</v>
      </c>
      <c r="BD127" s="166"/>
      <c r="BE127" s="61" t="s">
        <v>515</v>
      </c>
    </row>
    <row r="128" spans="1:57" x14ac:dyDescent="0.25">
      <c r="A128" s="61" t="str">
        <f t="shared" si="59"/>
        <v>SUVELC</v>
      </c>
      <c r="B128" s="61" t="str">
        <f>D128&amp;C128&amp;"-N"</f>
        <v>TPPRSUVELC-N</v>
      </c>
      <c r="C128" s="61" t="s">
        <v>501</v>
      </c>
      <c r="D128" s="61" t="s">
        <v>516</v>
      </c>
      <c r="E128" t="s">
        <v>499</v>
      </c>
      <c r="F128" s="852">
        <f>F125</f>
        <v>2.4E-2</v>
      </c>
      <c r="G128" s="853">
        <f>G125</f>
        <v>22250.436222693301</v>
      </c>
      <c r="H128" s="853">
        <f t="shared" ref="H128:L135" si="99">(EXP(-((H$58)*$F128))*G128)</f>
        <v>22250.436222693301</v>
      </c>
      <c r="I128" s="853">
        <f t="shared" si="99"/>
        <v>19734.366611778401</v>
      </c>
      <c r="J128" s="853">
        <f t="shared" si="99"/>
        <v>15523.602597326451</v>
      </c>
      <c r="K128" s="853">
        <f t="shared" si="99"/>
        <v>7556.1485848747261</v>
      </c>
      <c r="L128" s="853">
        <f t="shared" si="99"/>
        <v>2275.8682181128447</v>
      </c>
      <c r="M128" s="853">
        <f t="shared" si="87"/>
        <v>1</v>
      </c>
      <c r="N128" s="853">
        <f t="shared" si="61"/>
        <v>0.88692043671715748</v>
      </c>
      <c r="O128" s="853">
        <f t="shared" si="62"/>
        <v>0.69767632607103103</v>
      </c>
      <c r="P128" s="853">
        <f t="shared" si="63"/>
        <v>0.33959552564493917</v>
      </c>
      <c r="Q128" s="853">
        <f t="shared" si="64"/>
        <v>0.10228420671553749</v>
      </c>
      <c r="R128" s="853">
        <f t="shared" si="65"/>
        <v>4.4942939095283732E-5</v>
      </c>
      <c r="S128" s="864">
        <v>20.2766535675485</v>
      </c>
      <c r="T128" s="211">
        <f>S128</f>
        <v>20.2766535675485</v>
      </c>
      <c r="U128" s="853">
        <f t="shared" si="98"/>
        <v>17.999810925371779</v>
      </c>
      <c r="V128" s="853">
        <f t="shared" si="98"/>
        <v>15.509847251587836</v>
      </c>
      <c r="W128" s="853">
        <f t="shared" si="98"/>
        <v>13.364327145709623</v>
      </c>
      <c r="X128" s="853">
        <f t="shared" si="98"/>
        <v>11.515602775473257</v>
      </c>
      <c r="Y128" s="211"/>
      <c r="Z128" s="855">
        <f t="shared" si="96"/>
        <v>1.4549555903750002</v>
      </c>
      <c r="AA128" s="855">
        <f>1/SUMIFS('Vehicle data-proc2023'!AD$20:AD$117,'Vehicle data-proc2023'!$N$20:$N$117,Analytica!$C128,'Vehicle data-proc2023'!$Q$20:$Q$117,RIGHT(Analytica!$D128,3))</f>
        <v>1.4770000000000001</v>
      </c>
      <c r="AB128" s="855">
        <f>1/SUMIFS('Vehicle data-proc2023'!AE$20:AE$117,'Vehicle data-proc2023'!$N$20:$N$117,Analytica!$C128,'Vehicle data-proc2023'!$Q$20:$Q$117,RIGHT(Analytica!$D128,3))</f>
        <v>1.4993784101944536</v>
      </c>
      <c r="AC128" s="855">
        <f>1/SUMIFS('Vehicle data-proc2023'!AF$20:AF$117,'Vehicle data-proc2023'!$N$20:$N$117,Analytica!$C128,'Vehicle data-proc2023'!$Q$20:$Q$117,RIGHT(Analytica!$D128,3))</f>
        <v>1.6166131186170316</v>
      </c>
      <c r="AD128" s="855">
        <f>1/SUMIFS('Vehicle data-proc2023'!AG$20:AG$117,'Vehicle data-proc2023'!$N$20:$N$117,Analytica!$C128,'Vehicle data-proc2023'!$Q$20:$Q$117,RIGHT(Analytica!$D128,3))</f>
        <v>1.7875333482270686</v>
      </c>
      <c r="AE128" s="886">
        <f>1/SUMIFS('Vehicle data-proc2023'!AH$20:AH$117,'Vehicle data-proc2023'!$N$20:$N$117,Analytica!$C128,'Vehicle data-proc2023'!$Q$20:$Q$117,RIGHT(Analytica!$D128,3))</f>
        <v>1.9765245216847829</v>
      </c>
      <c r="AF128" s="886"/>
      <c r="AG128" s="857"/>
      <c r="AH128" s="886"/>
      <c r="AI128" s="857"/>
      <c r="AJ128" s="857"/>
      <c r="AK128" s="983"/>
      <c r="AL128" s="983"/>
      <c r="AM128" s="983"/>
      <c r="AN128" s="983"/>
      <c r="AO128" s="983"/>
      <c r="AP128" s="983"/>
      <c r="AQ128" s="983"/>
      <c r="AR128" s="986"/>
      <c r="AS128" s="984"/>
      <c r="AT128" s="985"/>
      <c r="AU128" s="986"/>
      <c r="AV128" s="986"/>
      <c r="AW128" s="986"/>
      <c r="AX128" s="986"/>
      <c r="AY128" s="987"/>
      <c r="BA128" s="164">
        <f t="shared" si="95"/>
        <v>0</v>
      </c>
      <c r="BC128" s="166" t="e">
        <f>#REF!-BC126</f>
        <v>#REF!</v>
      </c>
      <c r="BE128" s="61" t="s">
        <v>515</v>
      </c>
    </row>
    <row r="129" spans="1:56" x14ac:dyDescent="0.25">
      <c r="A129" s="61" t="str">
        <f t="shared" ref="A129:A135" si="100">RIGHT(D129,3)&amp;C129</f>
        <v>MOTOGS</v>
      </c>
      <c r="B129" s="61" t="s">
        <v>514</v>
      </c>
      <c r="C129" s="61" t="s">
        <v>573</v>
      </c>
      <c r="D129" s="61" t="s">
        <v>512</v>
      </c>
      <c r="E129" s="61" t="s">
        <v>513</v>
      </c>
      <c r="F129" s="852">
        <f>INDEX($F$17:$F$49,MATCH($E129,$E$17:$E$49,0))</f>
        <v>1.4999999999999999E-2</v>
      </c>
      <c r="G129" s="853">
        <f>G41</f>
        <v>11451.6721676383</v>
      </c>
      <c r="H129" s="853">
        <f t="shared" si="99"/>
        <v>11451.6721676383</v>
      </c>
      <c r="I129" s="853">
        <f t="shared" si="99"/>
        <v>10624.214261096413</v>
      </c>
      <c r="J129" s="853">
        <f t="shared" si="99"/>
        <v>9144.3459577745343</v>
      </c>
      <c r="K129" s="853">
        <f t="shared" si="99"/>
        <v>5830.6924108458106</v>
      </c>
      <c r="L129" s="853">
        <f t="shared" si="99"/>
        <v>2754.2240742044319</v>
      </c>
      <c r="M129" s="853">
        <f t="shared" si="87"/>
        <v>1</v>
      </c>
      <c r="N129" s="853">
        <f t="shared" si="61"/>
        <v>0.92774348632855286</v>
      </c>
      <c r="O129" s="853">
        <f t="shared" si="62"/>
        <v>0.79851621875937706</v>
      </c>
      <c r="P129" s="853">
        <f t="shared" si="63"/>
        <v>0.50915642060754918</v>
      </c>
      <c r="Q129" s="853">
        <f t="shared" si="64"/>
        <v>0.24050846320834215</v>
      </c>
      <c r="R129" s="853">
        <f t="shared" si="65"/>
        <v>8.7323491745243691E-5</v>
      </c>
      <c r="S129" s="211">
        <f>W41</f>
        <v>4.9995594866529798</v>
      </c>
      <c r="T129" s="853">
        <f>S129/((1+T$57)^(T$58-S$58))</f>
        <v>4.572308094547143</v>
      </c>
      <c r="U129" s="853">
        <f t="shared" si="98"/>
        <v>4.0588887569747962</v>
      </c>
      <c r="V129" s="853">
        <f t="shared" si="98"/>
        <v>3.4974114390907718</v>
      </c>
      <c r="W129" s="853">
        <f t="shared" si="98"/>
        <v>3.0136048329148473</v>
      </c>
      <c r="X129" s="853">
        <f t="shared" si="98"/>
        <v>2.596724533882333</v>
      </c>
      <c r="Y129" s="211"/>
      <c r="Z129" s="855">
        <f t="shared" si="96"/>
        <v>0.57611793589061622</v>
      </c>
      <c r="AA129" s="855">
        <f>1/SUMIFS('Vehicle data-proc2023'!AD$20:AD$117,'Vehicle data-proc2023'!$N$20:$N$117,Analytica!$C129,'Vehicle data-proc2023'!$Q$20:$Q$117,RIGHT(Analytica!$D129,3))</f>
        <v>0.58484684820594601</v>
      </c>
      <c r="AB129" s="855">
        <f>1/SUMIFS('Vehicle data-proc2023'!AE$20:AE$117,'Vehicle data-proc2023'!$N$20:$N$117,Analytica!$C129,'Vehicle data-proc2023'!$Q$20:$Q$117,RIGHT(Analytica!$D129,3))</f>
        <v>0.59370801453640365</v>
      </c>
      <c r="AC129" s="855">
        <f>1/SUMIFS('Vehicle data-proc2023'!AF$20:AF$117,'Vehicle data-proc2023'!$N$20:$N$117,Analytica!$C129,'Vehicle data-proc2023'!$Q$20:$Q$117,RIGHT(Analytica!$D129,3))</f>
        <v>0.64012937521432356</v>
      </c>
      <c r="AD129" s="855">
        <f>1/SUMIFS('Vehicle data-proc2023'!AG$20:AG$117,'Vehicle data-proc2023'!$N$20:$N$117,Analytica!$C129,'Vehicle data-proc2023'!$Q$20:$Q$117,RIGHT(Analytica!$D129,3))</f>
        <v>0.7078085611195819</v>
      </c>
      <c r="AE129" s="886">
        <f>1/SUMIFS('Vehicle data-proc2023'!AH$20:AH$117,'Vehicle data-proc2023'!$N$20:$N$117,Analytica!$C129,'Vehicle data-proc2023'!$Q$20:$Q$117,RIGHT(Analytica!$D129,3))</f>
        <v>0.7826432883609411</v>
      </c>
      <c r="AF129" s="886"/>
      <c r="AG129" s="857"/>
      <c r="AH129" s="857">
        <v>332.33640000000003</v>
      </c>
      <c r="AI129" s="857">
        <v>332.33640000000003</v>
      </c>
      <c r="AJ129" s="857"/>
      <c r="AK129" s="983"/>
      <c r="AL129" s="983"/>
      <c r="AM129" s="983"/>
      <c r="AN129" s="983"/>
      <c r="AO129" s="983"/>
      <c r="AP129" s="983"/>
      <c r="AQ129" s="983"/>
      <c r="AR129" s="986"/>
      <c r="AS129" s="984"/>
      <c r="AT129" s="985"/>
      <c r="AU129" s="986"/>
      <c r="AV129" s="986"/>
      <c r="AW129" s="986"/>
      <c r="AX129" s="986"/>
      <c r="AY129" s="987"/>
      <c r="BA129" s="164">
        <f t="shared" si="95"/>
        <v>1</v>
      </c>
    </row>
    <row r="130" spans="1:56" x14ac:dyDescent="0.25">
      <c r="A130" s="61" t="str">
        <f t="shared" si="100"/>
        <v>MOTELC</v>
      </c>
      <c r="B130" s="61" t="str">
        <f>D130&amp;C130&amp;"-N"</f>
        <v>TPPRMOTELC-N</v>
      </c>
      <c r="C130" s="61" t="s">
        <v>501</v>
      </c>
      <c r="D130" s="61" t="s">
        <v>512</v>
      </c>
      <c r="E130" t="s">
        <v>498</v>
      </c>
      <c r="F130" s="852">
        <f>INDEX($F$17:$F$49,MATCH($E129,$E$17:$E$49,0))</f>
        <v>1.4999999999999999E-2</v>
      </c>
      <c r="G130" s="862">
        <f>G41</f>
        <v>11451.6721676383</v>
      </c>
      <c r="H130" s="853">
        <f t="shared" si="99"/>
        <v>11451.6721676383</v>
      </c>
      <c r="I130" s="853">
        <f t="shared" si="99"/>
        <v>10624.214261096413</v>
      </c>
      <c r="J130" s="853">
        <f t="shared" si="99"/>
        <v>9144.3459577745343</v>
      </c>
      <c r="K130" s="853">
        <f t="shared" si="99"/>
        <v>5830.6924108458106</v>
      </c>
      <c r="L130" s="853">
        <f t="shared" si="99"/>
        <v>2754.2240742044319</v>
      </c>
      <c r="M130" s="853">
        <f t="shared" si="87"/>
        <v>1</v>
      </c>
      <c r="N130" s="853">
        <f t="shared" si="61"/>
        <v>0.92774348632855286</v>
      </c>
      <c r="O130" s="853">
        <f t="shared" si="62"/>
        <v>0.79851621875937706</v>
      </c>
      <c r="P130" s="853">
        <f t="shared" si="63"/>
        <v>0.50915642060754918</v>
      </c>
      <c r="Q130" s="853">
        <f t="shared" si="64"/>
        <v>0.24050846320834215</v>
      </c>
      <c r="R130" s="853">
        <f t="shared" si="65"/>
        <v>8.7323491745243691E-5</v>
      </c>
      <c r="S130" s="864">
        <f>W41</f>
        <v>4.9995594866529798</v>
      </c>
      <c r="T130" s="211">
        <f>S130/((1+T$57)^(T$58-S$58))</f>
        <v>4.572308094547143</v>
      </c>
      <c r="U130" s="853">
        <f t="shared" si="98"/>
        <v>4.0588887569747962</v>
      </c>
      <c r="V130" s="853">
        <f t="shared" si="98"/>
        <v>3.4974114390907718</v>
      </c>
      <c r="W130" s="853">
        <f t="shared" si="98"/>
        <v>3.0136048329148473</v>
      </c>
      <c r="X130" s="853">
        <f t="shared" si="98"/>
        <v>2.596724533882333</v>
      </c>
      <c r="Y130" s="211"/>
      <c r="Z130" s="855">
        <f t="shared" si="96"/>
        <v>2.8573689373918016</v>
      </c>
      <c r="AA130" s="855">
        <f>1/SUMIFS('Vehicle data-proc2023'!AD$20:AD$117,'Vehicle data-proc2023'!$N$20:$N$117,Analytica!$C130,'Vehicle data-proc2023'!$Q$20:$Q$117,RIGHT(Analytica!$D130,3))</f>
        <v>2.9006616754810661</v>
      </c>
      <c r="AB130" s="855">
        <f>1/SUMIFS('Vehicle data-proc2023'!AE$20:AE$117,'Vehicle data-proc2023'!$N$20:$N$117,Analytica!$C130,'Vehicle data-proc2023'!$Q$20:$Q$117,RIGHT(Analytica!$D130,3))</f>
        <v>2.9446103530770351</v>
      </c>
      <c r="AC130" s="855">
        <f>1/SUMIFS('Vehicle data-proc2023'!AF$20:AF$117,'Vehicle data-proc2023'!$N$20:$N$117,Analytica!$C130,'Vehicle data-proc2023'!$Q$20:$Q$117,RIGHT(Analytica!$D130,3))</f>
        <v>3.1748461186542651</v>
      </c>
      <c r="AD130" s="855">
        <f>1/SUMIFS('Vehicle data-proc2023'!AG$20:AG$117,'Vehicle data-proc2023'!$N$20:$N$117,Analytica!$C130,'Vehicle data-proc2023'!$Q$20:$Q$117,RIGHT(Analytica!$D130,3))</f>
        <v>3.510514202333519</v>
      </c>
      <c r="AE130" s="886">
        <f>1/SUMIFS('Vehicle data-proc2023'!AH$20:AH$117,'Vehicle data-proc2023'!$N$20:$N$117,Analytica!$C130,'Vehicle data-proc2023'!$Q$20:$Q$117,RIGHT(Analytica!$D130,3))</f>
        <v>3.8816715847661438</v>
      </c>
      <c r="AF130" s="886"/>
      <c r="AG130" s="857"/>
      <c r="AH130" s="886">
        <v>332.33640000000003</v>
      </c>
      <c r="AI130" s="857">
        <v>332.33640000000003</v>
      </c>
      <c r="AJ130" s="857"/>
      <c r="AK130" s="983"/>
      <c r="AL130" s="983"/>
      <c r="AM130" s="983"/>
      <c r="AN130" s="983"/>
      <c r="AO130" s="983"/>
      <c r="AP130" s="983"/>
      <c r="AQ130" s="983"/>
      <c r="AR130" s="986"/>
      <c r="AS130" s="984"/>
      <c r="AT130" s="985"/>
      <c r="AU130" s="986"/>
      <c r="AV130" s="986"/>
      <c r="AW130" s="986"/>
      <c r="AX130" s="986"/>
      <c r="AY130" s="987"/>
      <c r="BA130" s="164">
        <f t="shared" si="95"/>
        <v>0</v>
      </c>
      <c r="BC130" s="166"/>
    </row>
    <row r="131" spans="1:56" x14ac:dyDescent="0.25">
      <c r="A131" s="61" t="str">
        <f t="shared" si="100"/>
        <v>BRTODS</v>
      </c>
      <c r="B131" s="61" t="s">
        <v>650</v>
      </c>
      <c r="C131" s="61" t="s">
        <v>511</v>
      </c>
      <c r="D131" s="61" t="str">
        <f>LEFT(B131,7)</f>
        <v>TPPUBRT</v>
      </c>
      <c r="E131" s="61" t="s">
        <v>510</v>
      </c>
      <c r="F131" s="852">
        <f>F59</f>
        <v>0.06</v>
      </c>
      <c r="G131" s="853">
        <f>G59</f>
        <v>53296.583187381897</v>
      </c>
      <c r="H131" s="853">
        <f t="shared" si="99"/>
        <v>53296.583187381897</v>
      </c>
      <c r="I131" s="853">
        <f t="shared" si="99"/>
        <v>39483.079925291415</v>
      </c>
      <c r="J131" s="853">
        <f t="shared" si="99"/>
        <v>21668.773691830389</v>
      </c>
      <c r="K131" s="853">
        <f t="shared" si="99"/>
        <v>3581.8242003847272</v>
      </c>
      <c r="L131" s="853">
        <f t="shared" si="99"/>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01">S59/1.15</f>
        <v>27.147826086956524</v>
      </c>
      <c r="T131" s="211">
        <f t="shared" si="101"/>
        <v>35.468256497682354</v>
      </c>
      <c r="U131" s="211">
        <f t="shared" si="101"/>
        <v>33.410225124654424</v>
      </c>
      <c r="V131" s="211">
        <f t="shared" si="101"/>
        <v>31.004794263867016</v>
      </c>
      <c r="W131" s="211">
        <f t="shared" si="101"/>
        <v>28.77254684031897</v>
      </c>
      <c r="X131" s="211">
        <f t="shared" si="101"/>
        <v>26.70101419260622</v>
      </c>
      <c r="Y131" s="211"/>
      <c r="Z131" s="855">
        <f t="shared" si="96"/>
        <v>6.3387932340570441E-2</v>
      </c>
      <c r="AA131" s="855">
        <f>1/SUMIFS('Vehicle data-proc2023'!AD$20:AD$117,'Vehicle data-proc2023'!$N$20:$N$117,Analytica!$C131,'Vehicle data-proc2023'!$Q$20:$Q$117,RIGHT(Analytica!$D131,3))</f>
        <v>6.4348339348895098E-2</v>
      </c>
      <c r="AB131" s="855">
        <f>1/SUMIFS('Vehicle data-proc2023'!AE$20:AE$117,'Vehicle data-proc2023'!$N$20:$N$117,Analytica!$C131,'Vehicle data-proc2023'!$Q$20:$Q$117,RIGHT(Analytica!$D131,3))</f>
        <v>6.5323297732971908E-2</v>
      </c>
      <c r="AC131" s="855">
        <f>1/SUMIFS('Vehicle data-proc2023'!AF$20:AF$117,'Vehicle data-proc2023'!$N$20:$N$117,Analytica!$C131,'Vehicle data-proc2023'!$Q$20:$Q$117,RIGHT(Analytica!$D131,3))</f>
        <v>7.043085277768743E-2</v>
      </c>
      <c r="AD131" s="855">
        <f>1/SUMIFS('Vehicle data-proc2023'!AG$20:AG$117,'Vehicle data-proc2023'!$N$20:$N$117,Analytica!$C131,'Vehicle data-proc2023'!$Q$20:$Q$117,RIGHT(Analytica!$D131,3))</f>
        <v>7.7877320574937056E-2</v>
      </c>
      <c r="AE131" s="886">
        <f>1/SUMIFS('Vehicle data-proc2023'!AH$20:AH$117,'Vehicle data-proc2023'!$N$20:$N$117,Analytica!$C131,'Vehicle data-proc2023'!$Q$20:$Q$117,RIGHT(Analytica!$D131,3))</f>
        <v>8.6111083718879447E-2</v>
      </c>
      <c r="AF131" s="886"/>
      <c r="AG131" s="857"/>
      <c r="AH131" s="857">
        <f>AH59</f>
        <v>306.87549999999999</v>
      </c>
      <c r="AI131" s="857">
        <f>AI59</f>
        <v>636.66302862985685</v>
      </c>
      <c r="AJ131" s="857"/>
      <c r="AK131" s="983"/>
      <c r="AL131" s="983"/>
      <c r="AM131" s="983"/>
      <c r="AN131" s="983"/>
      <c r="AO131" s="983"/>
      <c r="AP131" s="983"/>
      <c r="AQ131" s="983"/>
      <c r="AR131" s="986"/>
      <c r="AS131" s="984"/>
      <c r="AT131" s="985"/>
      <c r="AU131" s="986"/>
      <c r="AV131" s="986"/>
      <c r="AW131" s="986"/>
      <c r="AX131" s="986"/>
      <c r="AY131" s="987"/>
      <c r="BA131" s="164">
        <v>1</v>
      </c>
    </row>
    <row r="132" spans="1:56" x14ac:dyDescent="0.25">
      <c r="A132" s="61" t="str">
        <f t="shared" si="100"/>
        <v>BRTGAS</v>
      </c>
      <c r="B132" s="61" t="str">
        <f>D132&amp;C132&amp;"-N"</f>
        <v>TPPUBRTGAS-N</v>
      </c>
      <c r="C132" s="61" t="s">
        <v>509</v>
      </c>
      <c r="D132" s="61" t="s">
        <v>503</v>
      </c>
      <c r="E132" s="61" t="s">
        <v>508</v>
      </c>
      <c r="F132" s="852">
        <f>F131</f>
        <v>0.06</v>
      </c>
      <c r="G132" s="853">
        <f>G59</f>
        <v>53296.583187381897</v>
      </c>
      <c r="H132" s="853">
        <f t="shared" si="99"/>
        <v>53296.583187381897</v>
      </c>
      <c r="I132" s="853">
        <f t="shared" si="99"/>
        <v>39483.079925291415</v>
      </c>
      <c r="J132" s="853">
        <f t="shared" si="99"/>
        <v>21668.773691830389</v>
      </c>
      <c r="K132" s="853">
        <f t="shared" si="99"/>
        <v>3581.8242003847272</v>
      </c>
      <c r="L132" s="853">
        <f t="shared" si="99"/>
        <v>178.32852634622401</v>
      </c>
      <c r="M132" s="853">
        <f t="shared" ref="M132:R134" si="102">M131</f>
        <v>1</v>
      </c>
      <c r="N132" s="853">
        <f t="shared" si="102"/>
        <v>0.74081822068171788</v>
      </c>
      <c r="O132" s="853">
        <f t="shared" si="102"/>
        <v>0.40656965974059905</v>
      </c>
      <c r="P132" s="853">
        <f t="shared" si="102"/>
        <v>6.720551273974977E-2</v>
      </c>
      <c r="Q132" s="853">
        <f t="shared" si="102"/>
        <v>3.3459654574712729E-3</v>
      </c>
      <c r="R132" s="853">
        <f t="shared" si="102"/>
        <v>1.8762928882029207E-5</v>
      </c>
      <c r="S132" s="211">
        <f t="shared" ref="S132:X132" si="103">S$70/S$67*S131</f>
        <v>27.718501109805462</v>
      </c>
      <c r="T132" s="211">
        <f t="shared" si="103"/>
        <v>33.650274126419248</v>
      </c>
      <c r="U132" s="211">
        <f t="shared" si="103"/>
        <v>34.112542169316832</v>
      </c>
      <c r="V132" s="211">
        <f t="shared" si="103"/>
        <v>31.656546695840198</v>
      </c>
      <c r="W132" s="211">
        <f t="shared" si="103"/>
        <v>29.377375152277629</v>
      </c>
      <c r="X132" s="211">
        <f t="shared" si="103"/>
        <v>27.262296773231572</v>
      </c>
      <c r="Y132" s="211"/>
      <c r="Z132" s="855">
        <f t="shared" si="96"/>
        <v>5.5119941165713407E-2</v>
      </c>
      <c r="AA132" s="855">
        <f>1/SUMIFS('Vehicle data-proc2023'!AD$20:AD$117,'Vehicle data-proc2023'!$N$20:$N$117,Analytica!$C132,'Vehicle data-proc2023'!$Q$20:$Q$117,RIGHT(Analytica!$D132,3))</f>
        <v>5.5955077694691387E-2</v>
      </c>
      <c r="AB132" s="855">
        <f>1/SUMIFS('Vehicle data-proc2023'!AE$20:AE$117,'Vehicle data-proc2023'!$N$20:$N$117,Analytica!$C132,'Vehicle data-proc2023'!$Q$20:$Q$117,RIGHT(Analytica!$D132,3))</f>
        <v>5.6802867593888626E-2</v>
      </c>
      <c r="AC132" s="855">
        <f>1/SUMIFS('Vehicle data-proc2023'!AF$20:AF$117,'Vehicle data-proc2023'!$N$20:$N$117,Analytica!$C132,'Vehicle data-proc2023'!$Q$20:$Q$117,RIGHT(Analytica!$D132,3))</f>
        <v>6.1244219806684722E-2</v>
      </c>
      <c r="AD132" s="855">
        <f>1/SUMIFS('Vehicle data-proc2023'!AG$20:AG$117,'Vehicle data-proc2023'!$N$20:$N$117,Analytica!$C132,'Vehicle data-proc2023'!$Q$20:$Q$117,RIGHT(Analytica!$D132,3))</f>
        <v>6.7719409195597449E-2</v>
      </c>
      <c r="AE132" s="886">
        <f>1/SUMIFS('Vehicle data-proc2023'!AH$20:AH$117,'Vehicle data-proc2023'!$N$20:$N$117,Analytica!$C132,'Vehicle data-proc2023'!$Q$20:$Q$117,RIGHT(Analytica!$D132,3))</f>
        <v>7.4879203233808214E-2</v>
      </c>
      <c r="AF132" s="886"/>
      <c r="AG132" s="857"/>
      <c r="AH132" s="857">
        <f>AH131*(1+$AR$57)</f>
        <v>337.56305000000003</v>
      </c>
      <c r="AI132" s="857">
        <f>AI131*(1+$AR$57)</f>
        <v>700.32933149284258</v>
      </c>
      <c r="AJ132" s="857"/>
      <c r="AK132" s="983"/>
      <c r="AL132" s="983"/>
      <c r="AM132" s="983"/>
      <c r="AN132" s="983"/>
      <c r="AO132" s="983"/>
      <c r="AP132" s="983"/>
      <c r="AQ132" s="983"/>
      <c r="AR132" s="986"/>
      <c r="AS132" s="984"/>
      <c r="AT132" s="985"/>
      <c r="AU132" s="986"/>
      <c r="AV132" s="986"/>
      <c r="AW132" s="986"/>
      <c r="AX132" s="986"/>
      <c r="AY132" s="987"/>
      <c r="BA132" s="164">
        <v>0</v>
      </c>
    </row>
    <row r="133" spans="1:56" x14ac:dyDescent="0.25">
      <c r="A133" s="61" t="str">
        <f t="shared" si="100"/>
        <v>BRTELC</v>
      </c>
      <c r="B133" s="61" t="str">
        <f>D133&amp;C133&amp;"-N"</f>
        <v>TPPUBRTELC-N</v>
      </c>
      <c r="C133" s="61" t="s">
        <v>501</v>
      </c>
      <c r="D133" s="61" t="s">
        <v>503</v>
      </c>
      <c r="E133" s="61" t="s">
        <v>507</v>
      </c>
      <c r="F133" s="852">
        <f>F132</f>
        <v>0.06</v>
      </c>
      <c r="G133" s="853">
        <f>G132</f>
        <v>53296.583187381897</v>
      </c>
      <c r="H133" s="853">
        <f t="shared" si="99"/>
        <v>53296.583187381897</v>
      </c>
      <c r="I133" s="853">
        <f t="shared" si="99"/>
        <v>39483.079925291415</v>
      </c>
      <c r="J133" s="853">
        <f t="shared" si="99"/>
        <v>21668.773691830389</v>
      </c>
      <c r="K133" s="853">
        <f t="shared" si="99"/>
        <v>3581.8242003847272</v>
      </c>
      <c r="L133" s="853">
        <f t="shared" si="99"/>
        <v>178.32852634622401</v>
      </c>
      <c r="M133" s="853">
        <f t="shared" si="102"/>
        <v>1</v>
      </c>
      <c r="N133" s="853">
        <f t="shared" si="102"/>
        <v>0.74081822068171788</v>
      </c>
      <c r="O133" s="853">
        <f t="shared" si="102"/>
        <v>0.40656965974059905</v>
      </c>
      <c r="P133" s="853">
        <f t="shared" si="102"/>
        <v>6.720551273974977E-2</v>
      </c>
      <c r="Q133" s="853">
        <f t="shared" si="102"/>
        <v>3.3459654574712729E-3</v>
      </c>
      <c r="R133" s="853">
        <f t="shared" si="102"/>
        <v>1.8762928882029207E-5</v>
      </c>
      <c r="S133" s="211">
        <f>S69/S65*S131</f>
        <v>56.834922156449522</v>
      </c>
      <c r="T133" s="853">
        <f>S133/((1+T$57)^(T$58-S$58))</f>
        <v>51.977934320541934</v>
      </c>
      <c r="U133" s="853">
        <f>T133/((1+U$57)^(U$58-T$58))</f>
        <v>46.141390488542193</v>
      </c>
      <c r="V133" s="853">
        <f>U133/((1+V$57)^(V$58-U$58))</f>
        <v>39.758524210074491</v>
      </c>
      <c r="W133" s="853">
        <f>V133/((1+W$57)^(W$58-V$58))</f>
        <v>34.258617493454345</v>
      </c>
      <c r="X133" s="853">
        <f>W133/((1+X$57)^(X$58-W$58))</f>
        <v>29.519528098214014</v>
      </c>
      <c r="Y133" s="211"/>
      <c r="Z133" s="855">
        <f t="shared" si="96"/>
        <v>0.20645474022958332</v>
      </c>
      <c r="AA133" s="855">
        <f>1/SUMIFS('Vehicle data-proc2023'!AD$20:AD$117,'Vehicle data-proc2023'!$N$20:$N$117,Analytica!$C133,'Vehicle data-proc2023'!$Q$20:$Q$117,RIGHT(Analytica!$D133,3))</f>
        <v>0.20958278956163948</v>
      </c>
      <c r="AB133" s="855">
        <f>1/SUMIFS('Vehicle data-proc2023'!AE$20:AE$117,'Vehicle data-proc2023'!$N$20:$N$117,Analytica!$C133,'Vehicle data-proc2023'!$Q$20:$Q$117,RIGHT(Analytica!$D133,3))</f>
        <v>0.21275823278067008</v>
      </c>
      <c r="AC133" s="855">
        <f>1/SUMIFS('Vehicle data-proc2023'!AF$20:AF$117,'Vehicle data-proc2023'!$N$20:$N$117,Analytica!$C133,'Vehicle data-proc2023'!$Q$20:$Q$117,RIGHT(Analytica!$D133,3))</f>
        <v>0.22939355926993843</v>
      </c>
      <c r="AD133" s="855">
        <f>1/SUMIFS('Vehicle data-proc2023'!AG$20:AG$117,'Vehicle data-proc2023'!$N$20:$N$117,Analytica!$C133,'Vehicle data-proc2023'!$Q$20:$Q$117,RIGHT(Analytica!$D133,3))</f>
        <v>0.25364673361942214</v>
      </c>
      <c r="AE133" s="886">
        <f>1/SUMIFS('Vehicle data-proc2023'!AH$20:AH$117,'Vehicle data-proc2023'!$N$20:$N$117,Analytica!$C133,'Vehicle data-proc2023'!$Q$20:$Q$117,RIGHT(Analytica!$D133,3))</f>
        <v>0.28046413195103725</v>
      </c>
      <c r="AF133" s="886"/>
      <c r="AG133" s="857">
        <v>1</v>
      </c>
      <c r="AH133" s="857">
        <f>AH131*AH69/AH67</f>
        <v>805.56077224193984</v>
      </c>
      <c r="AI133" s="857">
        <f>AI131*AI69/AI67</f>
        <v>961.96098128316271</v>
      </c>
      <c r="AJ133" s="857"/>
      <c r="AK133" s="983"/>
      <c r="AL133" s="983"/>
      <c r="AM133" s="983"/>
      <c r="AN133" s="983"/>
      <c r="AO133" s="983"/>
      <c r="AP133" s="983"/>
      <c r="AQ133" s="983"/>
      <c r="AR133" s="986"/>
      <c r="AS133" s="984"/>
      <c r="AT133" s="985"/>
      <c r="AU133" s="986"/>
      <c r="AV133" s="986"/>
      <c r="AW133" s="986"/>
      <c r="AX133" s="986"/>
      <c r="AY133" s="987"/>
      <c r="BA133" s="164">
        <v>0</v>
      </c>
    </row>
    <row r="134" spans="1:56" x14ac:dyDescent="0.25">
      <c r="A134" s="61" t="str">
        <f t="shared" si="100"/>
        <v>BRTBGS</v>
      </c>
      <c r="B134" s="61" t="str">
        <f>D134&amp;C134&amp;"-N"</f>
        <v>TPPUBRTBGS-N</v>
      </c>
      <c r="C134" s="61" t="s">
        <v>506</v>
      </c>
      <c r="D134" s="61" t="s">
        <v>503</v>
      </c>
      <c r="E134" s="61" t="s">
        <v>505</v>
      </c>
      <c r="F134" s="852">
        <f>F133</f>
        <v>0.06</v>
      </c>
      <c r="G134" s="853">
        <f>G133</f>
        <v>53296.583187381897</v>
      </c>
      <c r="H134" s="853">
        <f t="shared" si="99"/>
        <v>53296.583187381897</v>
      </c>
      <c r="I134" s="853">
        <f t="shared" si="99"/>
        <v>39483.079925291415</v>
      </c>
      <c r="J134" s="853">
        <f t="shared" si="99"/>
        <v>21668.773691830389</v>
      </c>
      <c r="K134" s="853">
        <f t="shared" si="99"/>
        <v>3581.8242003847272</v>
      </c>
      <c r="L134" s="853">
        <f t="shared" si="99"/>
        <v>178.32852634622401</v>
      </c>
      <c r="M134" s="853">
        <f t="shared" si="102"/>
        <v>1</v>
      </c>
      <c r="N134" s="853">
        <f t="shared" si="102"/>
        <v>0.74081822068171788</v>
      </c>
      <c r="O134" s="853">
        <f t="shared" si="102"/>
        <v>0.40656965974059905</v>
      </c>
      <c r="P134" s="853">
        <f t="shared" si="102"/>
        <v>6.720551273974977E-2</v>
      </c>
      <c r="Q134" s="853">
        <f t="shared" si="102"/>
        <v>3.3459654574712729E-3</v>
      </c>
      <c r="R134" s="853">
        <f t="shared" si="102"/>
        <v>1.8762928882029207E-5</v>
      </c>
      <c r="S134" s="853">
        <f>S131*(DieselLHV/CV.LHV.E85)</f>
        <v>43.208930919335586</v>
      </c>
      <c r="T134" s="853">
        <f>S134</f>
        <v>43.208930919335586</v>
      </c>
      <c r="U134" s="853">
        <f>T134/((1+U$57)^(U$58-T$58))</f>
        <v>38.35704862464263</v>
      </c>
      <c r="V134" s="853">
        <f>U134/((1+V$57)^(V$58-U$58))</f>
        <v>33.051011905429043</v>
      </c>
      <c r="W134" s="853">
        <f>V134/((1+W$57)^(W$58-V$58))</f>
        <v>28.47897393416801</v>
      </c>
      <c r="X134" s="853">
        <f>W134/((1+X$57)^(X$58-W$58))</f>
        <v>24.539398632142802</v>
      </c>
      <c r="Y134" s="211"/>
      <c r="Z134" s="855">
        <f t="shared" si="96"/>
        <v>6.3387932340570441E-2</v>
      </c>
      <c r="AA134" s="855">
        <f>1/SUMIFS('Vehicle data-proc2023'!AD$20:AD$117,'Vehicle data-proc2023'!$N$20:$N$117,Analytica!$C134,'Vehicle data-proc2023'!$Q$20:$Q$117,RIGHT(Analytica!$D134,3))</f>
        <v>6.4348339348895098E-2</v>
      </c>
      <c r="AB134" s="855">
        <f>1/SUMIFS('Vehicle data-proc2023'!AE$20:AE$117,'Vehicle data-proc2023'!$N$20:$N$117,Analytica!$C134,'Vehicle data-proc2023'!$Q$20:$Q$117,RIGHT(Analytica!$D134,3))</f>
        <v>6.5323297732971908E-2</v>
      </c>
      <c r="AC134" s="855">
        <f>1/SUMIFS('Vehicle data-proc2023'!AF$20:AF$117,'Vehicle data-proc2023'!$N$20:$N$117,Analytica!$C134,'Vehicle data-proc2023'!$Q$20:$Q$117,RIGHT(Analytica!$D134,3))</f>
        <v>7.043085277768743E-2</v>
      </c>
      <c r="AD134" s="855">
        <f>1/SUMIFS('Vehicle data-proc2023'!AG$20:AG$117,'Vehicle data-proc2023'!$N$20:$N$117,Analytica!$C134,'Vehicle data-proc2023'!$Q$20:$Q$117,RIGHT(Analytica!$D134,3))</f>
        <v>7.7877320574937056E-2</v>
      </c>
      <c r="AE134" s="886">
        <f>1/SUMIFS('Vehicle data-proc2023'!AH$20:AH$117,'Vehicle data-proc2023'!$N$20:$N$117,Analytica!$C134,'Vehicle data-proc2023'!$Q$20:$Q$117,RIGHT(Analytica!$D134,3))</f>
        <v>8.6111083718879447E-2</v>
      </c>
      <c r="AF134" s="886"/>
      <c r="AG134" s="857">
        <v>1</v>
      </c>
      <c r="AH134" s="857">
        <f>AH132*AH70/AH68</f>
        <v>371.31935500000009</v>
      </c>
      <c r="AI134" s="857">
        <f>AI132*AI70/AI68</f>
        <v>770.36226464212689</v>
      </c>
      <c r="AJ134" s="857"/>
      <c r="AK134" s="983"/>
      <c r="AL134" s="983"/>
      <c r="AM134" s="983"/>
      <c r="AN134" s="983"/>
      <c r="AO134" s="983"/>
      <c r="AP134" s="983"/>
      <c r="AQ134" s="983"/>
      <c r="AR134" s="986"/>
      <c r="AS134" s="984"/>
      <c r="AT134" s="985"/>
      <c r="AU134" s="986"/>
      <c r="AV134" s="986"/>
      <c r="AW134" s="986"/>
      <c r="AX134" s="986"/>
      <c r="AY134" s="987"/>
      <c r="BA134" s="164">
        <v>1</v>
      </c>
      <c r="BC134" s="166"/>
      <c r="BD134" s="166"/>
    </row>
    <row r="135" spans="1:56" x14ac:dyDescent="0.25">
      <c r="A135" s="61" t="str">
        <f t="shared" si="100"/>
        <v>BRTHGN</v>
      </c>
      <c r="B135" s="61" t="str">
        <f>D135&amp;C135&amp;"F-N"</f>
        <v>TPPUBRTHGNF-N</v>
      </c>
      <c r="C135" s="61" t="s">
        <v>504</v>
      </c>
      <c r="D135" s="61" t="s">
        <v>503</v>
      </c>
      <c r="E135" s="61" t="s">
        <v>502</v>
      </c>
      <c r="F135" s="852">
        <f>F134</f>
        <v>0.06</v>
      </c>
      <c r="G135" s="853">
        <f>G133</f>
        <v>53296.583187381897</v>
      </c>
      <c r="H135" s="853">
        <f t="shared" si="99"/>
        <v>53296.583187381897</v>
      </c>
      <c r="I135" s="853">
        <f t="shared" si="99"/>
        <v>39483.079925291415</v>
      </c>
      <c r="J135" s="853">
        <f t="shared" si="99"/>
        <v>21668.773691830389</v>
      </c>
      <c r="K135" s="853">
        <f t="shared" si="99"/>
        <v>3581.8242003847272</v>
      </c>
      <c r="L135" s="853">
        <f t="shared" si="99"/>
        <v>178.32852634622401</v>
      </c>
      <c r="M135" s="853">
        <f t="shared" ref="M135:R135" si="104">M133</f>
        <v>1</v>
      </c>
      <c r="N135" s="853">
        <f t="shared" si="104"/>
        <v>0.74081822068171788</v>
      </c>
      <c r="O135" s="853">
        <f t="shared" si="104"/>
        <v>0.40656965974059905</v>
      </c>
      <c r="P135" s="853">
        <f t="shared" si="104"/>
        <v>6.720551273974977E-2</v>
      </c>
      <c r="Q135" s="853">
        <f t="shared" si="104"/>
        <v>3.3459654574712729E-3</v>
      </c>
      <c r="R135" s="853">
        <f t="shared" si="104"/>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855">
        <f t="shared" si="96"/>
        <v>0.13372636583052552</v>
      </c>
      <c r="AA135" s="855">
        <f>1/SUMIFS('Vehicle data-proc2023'!AD$20:AD$117,'Vehicle data-proc2023'!$N$20:$N$117,Analytica!$C135,'Vehicle data-proc2023'!$Q$20:$Q$117,RIGHT(Analytica!$D135,3))</f>
        <v>0.13575248869333464</v>
      </c>
      <c r="AB135" s="855">
        <f>1/SUMIFS('Vehicle data-proc2023'!AE$20:AE$117,'Vehicle data-proc2023'!$N$20:$N$117,Analytica!$C135,'Vehicle data-proc2023'!$Q$20:$Q$117,RIGHT(Analytica!$D135,3))</f>
        <v>0.13780930986929765</v>
      </c>
      <c r="AC135" s="855">
        <f>1/SUMIFS('Vehicle data-proc2023'!AF$20:AF$117,'Vehicle data-proc2023'!$N$20:$N$117,Analytica!$C135,'Vehicle data-proc2023'!$Q$20:$Q$117,RIGHT(Analytica!$D135,3))</f>
        <v>0.14858446452711918</v>
      </c>
      <c r="AD135" s="855">
        <f>1/SUMIFS('Vehicle data-proc2023'!AG$20:AG$117,'Vehicle data-proc2023'!$N$20:$N$117,Analytica!$C135,'Vehicle data-proc2023'!$Q$20:$Q$117,RIGHT(Analytica!$D135,3))</f>
        <v>0.16429390700348931</v>
      </c>
      <c r="AE135" s="886">
        <f>1/SUMIFS('Vehicle data-proc2023'!AH$20:AH$117,'Vehicle data-proc2023'!$N$20:$N$117,Analytica!$C135,'Vehicle data-proc2023'!$Q$20:$Q$117,RIGHT(Analytica!$D135,3))</f>
        <v>0.18166426728646726</v>
      </c>
      <c r="AF135" s="886"/>
      <c r="AG135" s="857">
        <v>1</v>
      </c>
      <c r="AH135" s="857"/>
      <c r="AI135" s="857"/>
      <c r="AJ135" s="857"/>
      <c r="AK135" s="983"/>
      <c r="AL135" s="983"/>
      <c r="AM135" s="983"/>
      <c r="AN135" s="983"/>
      <c r="AO135" s="983"/>
      <c r="AP135" s="983"/>
      <c r="AQ135" s="983"/>
      <c r="AR135" s="986"/>
      <c r="AS135" s="984"/>
      <c r="AT135" s="985"/>
      <c r="AU135" s="986"/>
      <c r="AV135" s="986"/>
      <c r="AW135" s="986"/>
      <c r="AX135" s="986"/>
      <c r="AY135" s="987"/>
      <c r="BA135" s="164">
        <v>0</v>
      </c>
    </row>
    <row r="136" spans="1:56" s="163" customFormat="1" x14ac:dyDescent="0.25">
      <c r="B136" s="163" t="s">
        <v>848</v>
      </c>
      <c r="C136" s="163" t="s">
        <v>501</v>
      </c>
      <c r="D136" s="163" t="str">
        <f>LEFT(B136,7)</f>
        <v>TPPUMER</v>
      </c>
      <c r="F136" s="887">
        <v>1</v>
      </c>
      <c r="G136" s="888"/>
      <c r="H136" s="888"/>
      <c r="I136" s="888"/>
      <c r="J136" s="888"/>
      <c r="K136" s="888"/>
      <c r="L136" s="888"/>
      <c r="M136" s="889">
        <f>M135</f>
        <v>1</v>
      </c>
      <c r="N136" s="888">
        <v>1</v>
      </c>
      <c r="O136" s="888">
        <v>1</v>
      </c>
      <c r="P136" s="888">
        <f>N136</f>
        <v>1</v>
      </c>
      <c r="Q136" s="888">
        <f t="shared" ref="Q136:S137" si="105">P136</f>
        <v>1</v>
      </c>
      <c r="R136" s="888">
        <f t="shared" si="105"/>
        <v>1</v>
      </c>
      <c r="S136" s="888">
        <f t="shared" si="105"/>
        <v>1</v>
      </c>
      <c r="T136" s="888"/>
      <c r="U136" s="888"/>
      <c r="V136" s="888"/>
      <c r="W136" s="888"/>
      <c r="X136" s="888"/>
      <c r="Y136" s="888"/>
      <c r="Z136" s="890">
        <f>X42</f>
        <v>7.0026980278615358</v>
      </c>
      <c r="AA136" s="890">
        <f>Z136</f>
        <v>7.0026980278615358</v>
      </c>
      <c r="AB136" s="890">
        <f>AA136</f>
        <v>7.0026980278615358</v>
      </c>
      <c r="AC136" s="890">
        <f>AB136</f>
        <v>7.0026980278615358</v>
      </c>
      <c r="AD136" s="890">
        <f>AC136</f>
        <v>7.0026980278615358</v>
      </c>
      <c r="AE136" s="890">
        <f>AD136</f>
        <v>7.0026980278615358</v>
      </c>
      <c r="AF136" s="890"/>
      <c r="AG136" s="888"/>
      <c r="AH136" s="888"/>
      <c r="AI136" s="888"/>
      <c r="AJ136" s="888"/>
      <c r="AK136" s="888">
        <v>1E-3</v>
      </c>
      <c r="AL136" s="888">
        <v>1E-3</v>
      </c>
      <c r="AM136" s="888">
        <v>1E-3</v>
      </c>
      <c r="AN136" s="888">
        <v>1E-3</v>
      </c>
      <c r="AO136" s="888">
        <v>1E-3</v>
      </c>
      <c r="AP136" s="888">
        <v>1E-3</v>
      </c>
      <c r="AQ136" s="888">
        <v>1E-3</v>
      </c>
      <c r="AR136" s="856"/>
      <c r="AS136" s="211"/>
      <c r="AT136" s="891">
        <f t="shared" ref="AT136:AT137" si="106">IF($C136&lt;&gt;$AY$55,$AX$56,$AX$55)</f>
        <v>2.0250000000000001E-2</v>
      </c>
      <c r="AU136" s="888">
        <f t="shared" ref="AU136:AU137" si="107">$AT136*AK136</f>
        <v>2.0250000000000001E-5</v>
      </c>
      <c r="AV136" s="888">
        <f t="shared" ref="AV136:AV137" si="108">$AT136*AL136</f>
        <v>2.0250000000000001E-5</v>
      </c>
      <c r="AW136" s="888">
        <f t="shared" ref="AW136:AW137" si="109">$AT136*AN136</f>
        <v>2.0250000000000001E-5</v>
      </c>
      <c r="AX136" s="888">
        <f t="shared" ref="AX136:AX137" si="110">$AT136*AP136</f>
        <v>2.0250000000000001E-5</v>
      </c>
      <c r="AY136" s="892">
        <f t="shared" ref="AY136:AY137" si="111">$AT136*AQ136</f>
        <v>2.0250000000000001E-5</v>
      </c>
      <c r="AZ136" s="61"/>
    </row>
    <row r="137" spans="1:56" s="163" customFormat="1" x14ac:dyDescent="0.25">
      <c r="B137" s="163" t="s">
        <v>849</v>
      </c>
      <c r="C137" s="163" t="s">
        <v>501</v>
      </c>
      <c r="D137" s="163" t="str">
        <f>LEFT(B137,7)</f>
        <v>TPPUGAT</v>
      </c>
      <c r="F137" s="887">
        <v>1</v>
      </c>
      <c r="G137" s="888"/>
      <c r="H137" s="888"/>
      <c r="I137" s="888"/>
      <c r="J137" s="888"/>
      <c r="K137" s="888"/>
      <c r="L137" s="888"/>
      <c r="M137" s="889">
        <f>M136</f>
        <v>1</v>
      </c>
      <c r="N137" s="888">
        <v>1</v>
      </c>
      <c r="O137" s="888">
        <v>1</v>
      </c>
      <c r="P137" s="888">
        <f>N137</f>
        <v>1</v>
      </c>
      <c r="Q137" s="888">
        <f t="shared" si="105"/>
        <v>1</v>
      </c>
      <c r="R137" s="888">
        <f t="shared" si="105"/>
        <v>1</v>
      </c>
      <c r="S137" s="888">
        <f t="shared" si="105"/>
        <v>1</v>
      </c>
      <c r="T137" s="888"/>
      <c r="U137" s="888"/>
      <c r="V137" s="888"/>
      <c r="W137" s="888"/>
      <c r="X137" s="888"/>
      <c r="Y137" s="888"/>
      <c r="Z137" s="890">
        <f t="shared" ref="Z137:AE137" si="112">Z136</f>
        <v>7.0026980278615358</v>
      </c>
      <c r="AA137" s="890">
        <f t="shared" si="112"/>
        <v>7.0026980278615358</v>
      </c>
      <c r="AB137" s="890">
        <f t="shared" si="112"/>
        <v>7.0026980278615358</v>
      </c>
      <c r="AC137" s="890">
        <f t="shared" si="112"/>
        <v>7.0026980278615358</v>
      </c>
      <c r="AD137" s="890">
        <f t="shared" si="112"/>
        <v>7.0026980278615358</v>
      </c>
      <c r="AE137" s="890">
        <f t="shared" si="112"/>
        <v>7.0026980278615358</v>
      </c>
      <c r="AF137" s="890"/>
      <c r="AG137" s="888"/>
      <c r="AH137" s="888"/>
      <c r="AI137" s="888"/>
      <c r="AJ137" s="888"/>
      <c r="AK137" s="888">
        <v>1E-3</v>
      </c>
      <c r="AL137" s="888">
        <v>1E-3</v>
      </c>
      <c r="AM137" s="888">
        <v>1E-3</v>
      </c>
      <c r="AN137" s="888">
        <v>1E-3</v>
      </c>
      <c r="AO137" s="888">
        <v>1E-3</v>
      </c>
      <c r="AP137" s="888">
        <v>1E-3</v>
      </c>
      <c r="AQ137" s="888">
        <v>1E-3</v>
      </c>
      <c r="AR137" s="856"/>
      <c r="AS137" s="211"/>
      <c r="AT137" s="891">
        <f t="shared" si="106"/>
        <v>2.0250000000000001E-2</v>
      </c>
      <c r="AU137" s="888">
        <f t="shared" si="107"/>
        <v>2.0250000000000001E-5</v>
      </c>
      <c r="AV137" s="888">
        <f t="shared" si="108"/>
        <v>2.0250000000000001E-5</v>
      </c>
      <c r="AW137" s="888">
        <f t="shared" si="109"/>
        <v>2.0250000000000001E-5</v>
      </c>
      <c r="AX137" s="888">
        <f t="shared" si="110"/>
        <v>2.0250000000000001E-5</v>
      </c>
      <c r="AY137" s="892">
        <f t="shared" si="111"/>
        <v>2.0250000000000001E-5</v>
      </c>
      <c r="AZ137" s="61"/>
    </row>
    <row r="138" spans="1:56" ht="15.75" thickBot="1" x14ac:dyDescent="0.3">
      <c r="F138" s="893"/>
      <c r="G138" s="894"/>
      <c r="H138" s="894"/>
      <c r="I138" s="894"/>
      <c r="J138" s="894"/>
      <c r="K138" s="894"/>
      <c r="L138" s="894"/>
      <c r="M138" s="894"/>
      <c r="N138" s="894"/>
      <c r="O138" s="894"/>
      <c r="P138" s="894"/>
      <c r="Q138" s="894"/>
      <c r="R138" s="894"/>
      <c r="S138" s="894"/>
      <c r="T138" s="894"/>
      <c r="U138" s="894"/>
      <c r="V138" s="894"/>
      <c r="W138" s="894"/>
      <c r="X138" s="894"/>
      <c r="Y138" s="894"/>
      <c r="Z138" s="894"/>
      <c r="AA138" s="894"/>
      <c r="AB138" s="894"/>
      <c r="AC138" s="894"/>
      <c r="AD138" s="894"/>
      <c r="AE138" s="894"/>
      <c r="AF138" s="894"/>
      <c r="AG138" s="895"/>
      <c r="AH138" s="895"/>
      <c r="AI138" s="895"/>
      <c r="AJ138" s="895"/>
      <c r="AK138" s="895"/>
      <c r="AL138" s="895"/>
      <c r="AM138" s="895"/>
      <c r="AN138" s="895"/>
      <c r="AO138" s="895"/>
      <c r="AP138" s="895"/>
      <c r="AQ138" s="895"/>
      <c r="AR138" s="895"/>
      <c r="AS138" s="895"/>
      <c r="AT138" s="895"/>
      <c r="AU138" s="895"/>
      <c r="AV138" s="895"/>
      <c r="AW138" s="895"/>
      <c r="AX138" s="895"/>
      <c r="AY138" s="896"/>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A656-50C4-4A2B-8928-EE9C17A08ECB}">
  <sheetPr>
    <tabColor rgb="FFFF0000"/>
  </sheetPr>
  <dimension ref="A1:AH93"/>
  <sheetViews>
    <sheetView topLeftCell="M18" workbookViewId="0">
      <selection activeCell="Q38" sqref="Q38"/>
    </sheetView>
  </sheetViews>
  <sheetFormatPr defaultRowHeight="15" x14ac:dyDescent="0.25"/>
  <cols>
    <col min="1" max="1" width="11.7109375" bestFit="1" customWidth="1"/>
    <col min="2" max="2" width="7.7109375" bestFit="1" customWidth="1"/>
    <col min="3" max="3" width="18.5703125" bestFit="1" customWidth="1"/>
    <col min="4" max="4" width="20.85546875" bestFit="1" customWidth="1"/>
    <col min="5" max="5" width="20.140625" bestFit="1" customWidth="1"/>
    <col min="6" max="6" width="20" bestFit="1" customWidth="1"/>
    <col min="7" max="7" width="14" bestFit="1" customWidth="1"/>
    <col min="12" max="12" width="36.42578125" bestFit="1" customWidth="1"/>
    <col min="13" max="13" width="17" customWidth="1"/>
    <col min="14" max="14" width="13.140625" customWidth="1"/>
    <col min="15" max="24" width="14.7109375" customWidth="1"/>
    <col min="25" max="25" width="9.28515625" bestFit="1" customWidth="1"/>
    <col min="26" max="28" width="10.28515625" bestFit="1" customWidth="1"/>
    <col min="29" max="34" width="9.28515625" bestFit="1" customWidth="1"/>
  </cols>
  <sheetData>
    <row r="1" spans="1:34" x14ac:dyDescent="0.25">
      <c r="K1" t="s">
        <v>1341</v>
      </c>
    </row>
    <row r="2" spans="1:34" x14ac:dyDescent="0.25">
      <c r="K2" s="928" t="s">
        <v>1342</v>
      </c>
      <c r="L2" s="928" t="s">
        <v>1343</v>
      </c>
      <c r="M2" s="928"/>
      <c r="N2" s="929">
        <f>N10</f>
        <v>2022</v>
      </c>
      <c r="O2" s="930">
        <f t="shared" ref="O2:W2" si="0">O10</f>
        <v>2010</v>
      </c>
      <c r="P2" s="930">
        <f t="shared" si="0"/>
        <v>2015</v>
      </c>
      <c r="Q2" s="930">
        <f t="shared" si="0"/>
        <v>2020</v>
      </c>
      <c r="R2" s="930">
        <f t="shared" si="0"/>
        <v>2025</v>
      </c>
      <c r="S2" s="930">
        <f t="shared" si="0"/>
        <v>2030</v>
      </c>
      <c r="T2" s="930">
        <f t="shared" si="0"/>
        <v>2035</v>
      </c>
      <c r="U2" s="930">
        <f t="shared" si="0"/>
        <v>2040</v>
      </c>
      <c r="V2" s="930">
        <f t="shared" si="0"/>
        <v>2045</v>
      </c>
      <c r="W2" s="930">
        <f t="shared" si="0"/>
        <v>2050</v>
      </c>
    </row>
    <row r="3" spans="1:34" x14ac:dyDescent="0.25">
      <c r="K3" s="928" t="s">
        <v>576</v>
      </c>
      <c r="L3" s="931" t="s">
        <v>1344</v>
      </c>
      <c r="M3" s="932">
        <v>2E-3</v>
      </c>
      <c r="N3" s="929">
        <v>1</v>
      </c>
      <c r="O3" s="933">
        <f>$N3*(1+$M3)^(O$2-$N$2)</f>
        <v>0.97630910970101226</v>
      </c>
      <c r="P3" s="933">
        <f t="shared" ref="P3:W3" si="1">$N3*(1+$M3)^(P$2-$N$2)</f>
        <v>0.98611133134527518</v>
      </c>
      <c r="Q3" s="933">
        <f t="shared" si="1"/>
        <v>0.99601196807980852</v>
      </c>
      <c r="R3" s="933">
        <f t="shared" si="1"/>
        <v>1.0060120079999999</v>
      </c>
      <c r="S3" s="933">
        <f t="shared" si="1"/>
        <v>1.0161124491217937</v>
      </c>
      <c r="T3" s="933">
        <f t="shared" si="1"/>
        <v>1.0263142994812939</v>
      </c>
      <c r="U3" s="933">
        <f t="shared" si="1"/>
        <v>1.0366185772353678</v>
      </c>
      <c r="V3" s="933">
        <f t="shared" si="1"/>
        <v>1.0470263107632596</v>
      </c>
      <c r="W3" s="933">
        <f t="shared" si="1"/>
        <v>1.0575385387692231</v>
      </c>
    </row>
    <row r="4" spans="1:34" x14ac:dyDescent="0.25">
      <c r="K4" s="928" t="s">
        <v>1345</v>
      </c>
      <c r="L4" s="931" t="s">
        <v>1346</v>
      </c>
      <c r="M4" s="934" t="s">
        <v>1347</v>
      </c>
      <c r="N4" s="929">
        <v>1</v>
      </c>
      <c r="O4" s="933" cm="1">
        <f t="array" ref="O4">INDEX('IEAWEO2023 cost data'!$J$8:$AX$19,MATCH(1,('IEAWEO2023 cost data'!$A$8:$A$19=$K4)*('IEAWEO2023 cost data'!$B$8:$B$19=$M4),0),MATCH(O$2,'IEAWEO2023 cost data'!$J$7:$AX$7,0))</f>
        <v>2.0837431896804901</v>
      </c>
      <c r="P4" s="933" cm="1">
        <f t="array" ref="P4">INDEX('IEAWEO2023 cost data'!$J$8:$AX$19,MATCH(1,('IEAWEO2023 cost data'!$A$8:$A$19=$K4)*('IEAWEO2023 cost data'!$B$8:$B$19=$M4),0),MATCH(P$2,'IEAWEO2023 cost data'!$J$7:$AX$7,0))</f>
        <v>1.6321835273136287</v>
      </c>
      <c r="Q4" s="933" cm="1">
        <f t="array" ref="Q4">INDEX('IEAWEO2023 cost data'!$J$8:$AX$19,MATCH(1,('IEAWEO2023 cost data'!$A$8:$A$19=$K4)*('IEAWEO2023 cost data'!$B$8:$B$19=$M4),0),MATCH(Q$2,'IEAWEO2023 cost data'!$J$7:$AX$7,0))</f>
        <v>1.1806238649467389</v>
      </c>
      <c r="R4" s="933" cm="1">
        <f t="array" ref="R4">INDEX('IEAWEO2023 cost data'!$J$8:$AX$19,MATCH(1,('IEAWEO2023 cost data'!$A$8:$A$19=$K4)*('IEAWEO2023 cost data'!$B$8:$B$19=$M4),0),MATCH(R$2,'IEAWEO2023 cost data'!$J$7:$AX$7,0))</f>
        <v>0.9665178571428541</v>
      </c>
      <c r="S4" s="933" cm="1">
        <f t="array" ref="S4">INDEX('IEAWEO2023 cost data'!$J$8:$AX$19,MATCH(1,('IEAWEO2023 cost data'!$A$8:$A$19=$K4)*('IEAWEO2023 cost data'!$B$8:$B$19=$M4),0),MATCH(S$2,'IEAWEO2023 cost data'!$J$7:$AX$7,0))</f>
        <v>0.9107142857142847</v>
      </c>
      <c r="T4" s="933" cm="1">
        <f t="array" ref="T4">INDEX('IEAWEO2023 cost data'!$J$8:$AX$19,MATCH(1,('IEAWEO2023 cost data'!$A$8:$A$19=$K4)*('IEAWEO2023 cost data'!$B$8:$B$19=$M4),0),MATCH(T$2,'IEAWEO2023 cost data'!$J$7:$AX$7,0))</f>
        <v>0.91220238095238093</v>
      </c>
      <c r="U4" s="933" cm="1">
        <f t="array" ref="U4">INDEX('IEAWEO2023 cost data'!$J$8:$AX$19,MATCH(1,('IEAWEO2023 cost data'!$A$8:$A$19=$K4)*('IEAWEO2023 cost data'!$B$8:$B$19=$M4),0),MATCH(U$2,'IEAWEO2023 cost data'!$J$7:$AX$7,0))</f>
        <v>0.91369047619047616</v>
      </c>
      <c r="V4" s="933" cm="1">
        <f t="array" ref="V4">INDEX('IEAWEO2023 cost data'!$J$8:$AX$19,MATCH(1,('IEAWEO2023 cost data'!$A$8:$A$19=$K4)*('IEAWEO2023 cost data'!$B$8:$B$19=$M4),0),MATCH(V$2,'IEAWEO2023 cost data'!$J$7:$AX$7,0))</f>
        <v>0.9151785714285714</v>
      </c>
      <c r="W4" s="933" cm="1">
        <f t="array" ref="W4">INDEX('IEAWEO2023 cost data'!$J$8:$AX$19,MATCH(1,('IEAWEO2023 cost data'!$A$8:$A$19=$K4)*('IEAWEO2023 cost data'!$B$8:$B$19=$M4),0),MATCH(W$2,'IEAWEO2023 cost data'!$J$7:$AX$7,0))</f>
        <v>0.91666666666666663</v>
      </c>
    </row>
    <row r="5" spans="1:34" x14ac:dyDescent="0.25">
      <c r="K5" s="928" t="s">
        <v>692</v>
      </c>
      <c r="L5" s="931" t="s">
        <v>1346</v>
      </c>
      <c r="M5" s="934" t="s">
        <v>1347</v>
      </c>
      <c r="N5" s="929">
        <v>1</v>
      </c>
      <c r="O5" s="933" cm="1">
        <f t="array" ref="O5">INDEX('IEAWEO2023 cost data'!$J$8:$AX$19,MATCH(1,('IEAWEO2023 cost data'!$A$8:$A$19=$K5)*('IEAWEO2023 cost data'!$B$8:$B$19=$M5),0),MATCH(O$2,'IEAWEO2023 cost data'!$J$7:$AX$7,0))</f>
        <v>3.5611050290305002</v>
      </c>
      <c r="P5" s="933" cm="1">
        <f t="array" ref="P5">INDEX('IEAWEO2023 cost data'!$J$8:$AX$19,MATCH(1,('IEAWEO2023 cost data'!$A$8:$A$19=$K5)*('IEAWEO2023 cost data'!$B$8:$B$19=$M5),0),MATCH(P$2,'IEAWEO2023 cost data'!$J$7:$AX$7,0))</f>
        <v>2.4939779336011156</v>
      </c>
      <c r="Q5" s="933" cm="1">
        <f t="array" ref="Q5">INDEX('IEAWEO2023 cost data'!$J$8:$AX$19,MATCH(1,('IEAWEO2023 cost data'!$A$8:$A$19=$K5)*('IEAWEO2023 cost data'!$B$8:$B$19=$M5),0),MATCH(Q$2,'IEAWEO2023 cost data'!$J$7:$AX$7,0))</f>
        <v>1.4268508381717311</v>
      </c>
      <c r="R5" s="933" cm="1">
        <f t="array" ref="R5">INDEX('IEAWEO2023 cost data'!$J$8:$AX$19,MATCH(1,('IEAWEO2023 cost data'!$A$8:$A$19=$K5)*('IEAWEO2023 cost data'!$B$8:$B$19=$M5),0),MATCH(R$2,'IEAWEO2023 cost data'!$J$7:$AX$7,0))</f>
        <v>0.92865853658536679</v>
      </c>
      <c r="S5" s="933" cm="1">
        <f t="array" ref="S5">INDEX('IEAWEO2023 cost data'!$J$8:$AX$19,MATCH(1,('IEAWEO2023 cost data'!$A$8:$A$19=$K5)*('IEAWEO2023 cost data'!$B$8:$B$19=$M5),0),MATCH(S$2,'IEAWEO2023 cost data'!$J$7:$AX$7,0))</f>
        <v>0.80975609756097811</v>
      </c>
      <c r="T5" s="933" cm="1">
        <f t="array" ref="T5">INDEX('IEAWEO2023 cost data'!$J$8:$AX$19,MATCH(1,('IEAWEO2023 cost data'!$A$8:$A$19=$K5)*('IEAWEO2023 cost data'!$B$8:$B$19=$M5),0),MATCH(T$2,'IEAWEO2023 cost data'!$J$7:$AX$7,0))</f>
        <v>0.78658536585365901</v>
      </c>
      <c r="U5" s="933" cm="1">
        <f t="array" ref="U5">INDEX('IEAWEO2023 cost data'!$J$8:$AX$19,MATCH(1,('IEAWEO2023 cost data'!$A$8:$A$19=$K5)*('IEAWEO2023 cost data'!$B$8:$B$19=$M5),0),MATCH(U$2,'IEAWEO2023 cost data'!$J$7:$AX$7,0))</f>
        <v>0.7634146341463417</v>
      </c>
      <c r="V5" s="933" cm="1">
        <f t="array" ref="V5">INDEX('IEAWEO2023 cost data'!$J$8:$AX$19,MATCH(1,('IEAWEO2023 cost data'!$A$8:$A$19=$K5)*('IEAWEO2023 cost data'!$B$8:$B$19=$M5),0),MATCH(V$2,'IEAWEO2023 cost data'!$J$7:$AX$7,0))</f>
        <v>0.74024390243902438</v>
      </c>
      <c r="W5" s="933" cm="1">
        <f t="array" ref="W5">INDEX('IEAWEO2023 cost data'!$J$8:$AX$19,MATCH(1,('IEAWEO2023 cost data'!$A$8:$A$19=$K5)*('IEAWEO2023 cost data'!$B$8:$B$19=$M5),0),MATCH(W$2,'IEAWEO2023 cost data'!$J$7:$AX$7,0))</f>
        <v>0.71707317073170707</v>
      </c>
    </row>
    <row r="6" spans="1:34" x14ac:dyDescent="0.25">
      <c r="K6" s="928" t="s">
        <v>1348</v>
      </c>
      <c r="L6" s="931" t="s">
        <v>1349</v>
      </c>
      <c r="M6" s="934"/>
      <c r="N6" s="929">
        <v>1</v>
      </c>
      <c r="O6" s="933">
        <f>O5</f>
        <v>3.5611050290305002</v>
      </c>
      <c r="P6" s="933">
        <f t="shared" ref="P6:W6" si="2">P5</f>
        <v>2.4939779336011156</v>
      </c>
      <c r="Q6" s="933">
        <f t="shared" si="2"/>
        <v>1.4268508381717311</v>
      </c>
      <c r="R6" s="933">
        <f t="shared" si="2"/>
        <v>0.92865853658536679</v>
      </c>
      <c r="S6" s="933">
        <f t="shared" si="2"/>
        <v>0.80975609756097811</v>
      </c>
      <c r="T6" s="933">
        <f t="shared" si="2"/>
        <v>0.78658536585365901</v>
      </c>
      <c r="U6" s="933">
        <f t="shared" si="2"/>
        <v>0.7634146341463417</v>
      </c>
      <c r="V6" s="933">
        <f t="shared" si="2"/>
        <v>0.74024390243902438</v>
      </c>
      <c r="W6" s="933">
        <f t="shared" si="2"/>
        <v>0.71707317073170707</v>
      </c>
    </row>
    <row r="8" spans="1:34" ht="15.75" thickBot="1" x14ac:dyDescent="0.3">
      <c r="N8" t="s">
        <v>1350</v>
      </c>
    </row>
    <row r="9" spans="1:34" x14ac:dyDescent="0.25">
      <c r="N9" s="935" t="s">
        <v>1351</v>
      </c>
      <c r="O9" s="658" t="s">
        <v>593</v>
      </c>
      <c r="P9" s="658" t="s">
        <v>593</v>
      </c>
      <c r="Q9" s="658" t="s">
        <v>593</v>
      </c>
      <c r="R9" s="658" t="s">
        <v>593</v>
      </c>
      <c r="S9" s="658" t="s">
        <v>593</v>
      </c>
      <c r="T9" s="658" t="s">
        <v>593</v>
      </c>
      <c r="U9" s="658" t="s">
        <v>593</v>
      </c>
      <c r="V9" s="658" t="s">
        <v>593</v>
      </c>
      <c r="W9" s="658" t="s">
        <v>593</v>
      </c>
      <c r="X9" t="s">
        <v>1352</v>
      </c>
      <c r="Y9" s="658" t="s">
        <v>592</v>
      </c>
      <c r="Z9" s="658" t="s">
        <v>592</v>
      </c>
      <c r="AA9" s="658" t="s">
        <v>592</v>
      </c>
      <c r="AB9" s="658" t="s">
        <v>592</v>
      </c>
      <c r="AC9" s="658" t="s">
        <v>592</v>
      </c>
      <c r="AD9" s="658" t="s">
        <v>592</v>
      </c>
      <c r="AE9" s="658" t="s">
        <v>592</v>
      </c>
      <c r="AF9" s="658" t="s">
        <v>592</v>
      </c>
      <c r="AG9" s="658" t="s">
        <v>592</v>
      </c>
      <c r="AH9" s="658" t="s">
        <v>592</v>
      </c>
    </row>
    <row r="10" spans="1:34" ht="15.75" thickBot="1" x14ac:dyDescent="0.3">
      <c r="A10" s="936" t="s">
        <v>668</v>
      </c>
      <c r="B10" s="936" t="s">
        <v>669</v>
      </c>
      <c r="C10" s="936" t="s">
        <v>670</v>
      </c>
      <c r="D10" s="936" t="s">
        <v>672</v>
      </c>
      <c r="E10" s="936" t="s">
        <v>674</v>
      </c>
      <c r="F10" s="936" t="s">
        <v>675</v>
      </c>
      <c r="G10" s="936" t="s">
        <v>1342</v>
      </c>
      <c r="H10" s="936" t="s">
        <v>1353</v>
      </c>
      <c r="I10" s="936" t="s">
        <v>1354</v>
      </c>
      <c r="J10" s="936" t="s">
        <v>1355</v>
      </c>
      <c r="K10" s="936" t="s">
        <v>1356</v>
      </c>
      <c r="L10" s="937" t="s">
        <v>1357</v>
      </c>
      <c r="M10" s="938" t="s">
        <v>1358</v>
      </c>
      <c r="N10" s="939">
        <v>2022</v>
      </c>
      <c r="O10" s="940">
        <v>2010</v>
      </c>
      <c r="P10" s="940">
        <v>2015</v>
      </c>
      <c r="Q10" s="940">
        <v>2020</v>
      </c>
      <c r="R10" s="940">
        <v>2025</v>
      </c>
      <c r="S10" s="940">
        <v>2030</v>
      </c>
      <c r="T10" s="940">
        <v>2035</v>
      </c>
      <c r="U10" s="940">
        <v>2040</v>
      </c>
      <c r="V10" s="940">
        <v>2045</v>
      </c>
      <c r="W10" s="940">
        <v>2050</v>
      </c>
      <c r="X10" s="941" t="s">
        <v>1359</v>
      </c>
      <c r="Y10" s="929">
        <f>N10</f>
        <v>2022</v>
      </c>
      <c r="Z10" s="929">
        <f>O10</f>
        <v>2010</v>
      </c>
      <c r="AA10" s="929">
        <f t="shared" ref="AA10:AF10" si="3">P10</f>
        <v>2015</v>
      </c>
      <c r="AB10" s="929">
        <f t="shared" si="3"/>
        <v>2020</v>
      </c>
      <c r="AC10" s="929">
        <f t="shared" si="3"/>
        <v>2025</v>
      </c>
      <c r="AD10" s="929">
        <f t="shared" si="3"/>
        <v>2030</v>
      </c>
      <c r="AE10" s="929">
        <f t="shared" si="3"/>
        <v>2035</v>
      </c>
      <c r="AF10" s="929">
        <f t="shared" si="3"/>
        <v>2040</v>
      </c>
      <c r="AG10" s="929">
        <f>V10</f>
        <v>2045</v>
      </c>
      <c r="AH10" s="929">
        <f>W10</f>
        <v>2050</v>
      </c>
    </row>
    <row r="11" spans="1:34" x14ac:dyDescent="0.25">
      <c r="A11" s="928" t="s">
        <v>573</v>
      </c>
      <c r="B11" s="928" t="s">
        <v>613</v>
      </c>
      <c r="C11" s="928" t="s">
        <v>555</v>
      </c>
      <c r="D11" s="928" t="s">
        <v>680</v>
      </c>
      <c r="E11" s="928" t="s">
        <v>681</v>
      </c>
      <c r="F11" s="928" t="s">
        <v>680</v>
      </c>
      <c r="G11" s="942" t="str">
        <f>IF(A11="HGN",A11,RIGHT(F11,3))</f>
        <v>ICE</v>
      </c>
      <c r="H11" s="943" t="s">
        <v>1114</v>
      </c>
      <c r="I11" s="928" t="str">
        <f t="shared" ref="I11:I42" si="4">IF(B11="PAS","P","F")</f>
        <v>P</v>
      </c>
      <c r="J11" s="928" t="str">
        <f t="shared" ref="J11:J42" si="5">IF(I11="P",IF(OR(C11="CAR",C11="SUV",C11="MOT"),"PR","PU"),C11)</f>
        <v>PR</v>
      </c>
      <c r="K11" s="928" t="str">
        <f t="shared" ref="K11:K42" si="6">IF(I11="P",C11,"")</f>
        <v>CAR</v>
      </c>
      <c r="L11" s="942" t="str">
        <f t="shared" ref="L11:L42" si="7">H11&amp;I11&amp;J11&amp;K11&amp;A11&amp;"-N"</f>
        <v>TPPRCAROGS-N</v>
      </c>
      <c r="M11" s="942" t="str">
        <f t="shared" ref="M11:M42" si="8">H11&amp;I11&amp;J11&amp;K11&amp;A11&amp;"-E"</f>
        <v>TPPRCAROGS-E</v>
      </c>
      <c r="N11" s="944" cm="1">
        <f t="array" ref="N11">INDEX(VehicleCostData2022!$T$16:$T$86,MATCH(1,(VehicleCostData2022!$R$16:$R$86=$E11)*(VehicleCostData2022!$S$16:$S$86=$F11),0))</f>
        <v>263435.29411764705</v>
      </c>
      <c r="O11" s="945">
        <f>$N11*INDEX($O$3:$W$6,MATCH($G11,$K$3:$K$6,0),MATCH(O$10,$O$2:$W$2,0))</f>
        <v>257194.27746382431</v>
      </c>
      <c r="P11" s="945">
        <f t="shared" ref="P11:W26" si="9">$N11*INDEX($O$3:$W$6,MATCH($G11,$K$3:$K$6,0),MATCH(P$10,$O$2:$W$2,0))</f>
        <v>259776.52860568708</v>
      </c>
      <c r="Q11" s="945">
        <f t="shared" si="9"/>
        <v>262384.70575580082</v>
      </c>
      <c r="R11" s="945">
        <f t="shared" si="9"/>
        <v>265019.06921336468</v>
      </c>
      <c r="S11" s="945">
        <f t="shared" si="9"/>
        <v>267679.88189100241</v>
      </c>
      <c r="T11" s="945">
        <f t="shared" si="9"/>
        <v>270367.40934100159</v>
      </c>
      <c r="U11" s="945">
        <f t="shared" si="9"/>
        <v>273081.91978181596</v>
      </c>
      <c r="V11" s="945">
        <f t="shared" si="9"/>
        <v>275823.6841248342</v>
      </c>
      <c r="W11" s="945">
        <f t="shared" si="9"/>
        <v>278592.97600141697</v>
      </c>
      <c r="X11" s="946">
        <v>2.7E-2</v>
      </c>
      <c r="Y11" s="947">
        <f>N11*$X11</f>
        <v>7112.7529411764699</v>
      </c>
      <c r="Z11" s="947">
        <f t="shared" ref="Z11:AH40" si="10">O11*$X11</f>
        <v>6944.2454915232565</v>
      </c>
      <c r="AA11" s="947">
        <f t="shared" si="10"/>
        <v>7013.9662723535512</v>
      </c>
      <c r="AB11" s="947">
        <f t="shared" si="10"/>
        <v>7084.3870554066225</v>
      </c>
      <c r="AC11" s="947">
        <f t="shared" si="10"/>
        <v>7155.5148687608462</v>
      </c>
      <c r="AD11" s="947">
        <f t="shared" si="10"/>
        <v>7227.356811057065</v>
      </c>
      <c r="AE11" s="947">
        <f t="shared" si="10"/>
        <v>7299.9200522070432</v>
      </c>
      <c r="AF11" s="947">
        <f t="shared" si="10"/>
        <v>7373.2118341090309</v>
      </c>
      <c r="AG11" s="947">
        <f t="shared" si="10"/>
        <v>7447.2394713705235</v>
      </c>
      <c r="AH11" s="947">
        <f t="shared" si="10"/>
        <v>7522.0103520382581</v>
      </c>
    </row>
    <row r="12" spans="1:34" x14ac:dyDescent="0.25">
      <c r="A12" s="928" t="s">
        <v>506</v>
      </c>
      <c r="B12" s="928" t="s">
        <v>613</v>
      </c>
      <c r="C12" s="928" t="s">
        <v>555</v>
      </c>
      <c r="D12" s="928" t="s">
        <v>680</v>
      </c>
      <c r="E12" s="928" t="s">
        <v>681</v>
      </c>
      <c r="F12" s="928" t="s">
        <v>680</v>
      </c>
      <c r="G12" s="942" t="str">
        <f t="shared" ref="G12:G18" si="11">IF(A12="HGN",A12,RIGHT(F12,3))</f>
        <v>ICE</v>
      </c>
      <c r="H12" s="943" t="s">
        <v>1114</v>
      </c>
      <c r="I12" s="928" t="str">
        <f t="shared" si="4"/>
        <v>P</v>
      </c>
      <c r="J12" s="928" t="str">
        <f t="shared" si="5"/>
        <v>PR</v>
      </c>
      <c r="K12" s="928" t="str">
        <f t="shared" si="6"/>
        <v>CAR</v>
      </c>
      <c r="L12" s="942" t="str">
        <f t="shared" si="7"/>
        <v>TPPRCARBGS-N</v>
      </c>
      <c r="M12" s="942" t="str">
        <f t="shared" si="8"/>
        <v>TPPRCARBGS-E</v>
      </c>
      <c r="N12" s="948" cm="1">
        <f t="array" ref="N12">INDEX(VehicleCostData2022!$T$16:$T$86,MATCH(1,(VehicleCostData2022!$R$16:$R$86=$E12)*(VehicleCostData2022!$S$16:$S$86=$F12),0))</f>
        <v>263435.29411764705</v>
      </c>
      <c r="O12" s="945">
        <f t="shared" ref="O12:W27" si="12">$N12*INDEX($O$3:$W$6,MATCH($G12,$K$3:$K$6,0),MATCH(O$10,$O$2:$W$2,0))</f>
        <v>257194.27746382431</v>
      </c>
      <c r="P12" s="945">
        <f t="shared" si="9"/>
        <v>259776.52860568708</v>
      </c>
      <c r="Q12" s="945">
        <f t="shared" si="9"/>
        <v>262384.70575580082</v>
      </c>
      <c r="R12" s="945">
        <f t="shared" si="9"/>
        <v>265019.06921336468</v>
      </c>
      <c r="S12" s="945">
        <f t="shared" si="9"/>
        <v>267679.88189100241</v>
      </c>
      <c r="T12" s="945">
        <f t="shared" si="9"/>
        <v>270367.40934100159</v>
      </c>
      <c r="U12" s="945">
        <f t="shared" si="9"/>
        <v>273081.91978181596</v>
      </c>
      <c r="V12" s="945">
        <f t="shared" si="9"/>
        <v>275823.6841248342</v>
      </c>
      <c r="W12" s="945">
        <f t="shared" si="9"/>
        <v>278592.97600141697</v>
      </c>
      <c r="X12" s="946">
        <v>2.7E-2</v>
      </c>
      <c r="Y12" s="947">
        <f t="shared" ref="Y12:AB76" si="13">N12*$X12</f>
        <v>7112.7529411764699</v>
      </c>
      <c r="Z12" s="947">
        <f t="shared" si="10"/>
        <v>6944.2454915232565</v>
      </c>
      <c r="AA12" s="947">
        <f t="shared" si="10"/>
        <v>7013.9662723535512</v>
      </c>
      <c r="AB12" s="947">
        <f t="shared" si="10"/>
        <v>7084.3870554066225</v>
      </c>
      <c r="AC12" s="947">
        <f t="shared" si="10"/>
        <v>7155.5148687608462</v>
      </c>
      <c r="AD12" s="947">
        <f t="shared" si="10"/>
        <v>7227.356811057065</v>
      </c>
      <c r="AE12" s="947">
        <f t="shared" si="10"/>
        <v>7299.9200522070432</v>
      </c>
      <c r="AF12" s="947">
        <f t="shared" si="10"/>
        <v>7373.2118341090309</v>
      </c>
      <c r="AG12" s="947">
        <f t="shared" si="10"/>
        <v>7447.2394713705235</v>
      </c>
      <c r="AH12" s="947">
        <f t="shared" si="10"/>
        <v>7522.0103520382581</v>
      </c>
    </row>
    <row r="13" spans="1:34" x14ac:dyDescent="0.25">
      <c r="A13" s="928" t="s">
        <v>511</v>
      </c>
      <c r="B13" s="928" t="s">
        <v>613</v>
      </c>
      <c r="C13" s="928" t="s">
        <v>555</v>
      </c>
      <c r="D13" s="928" t="s">
        <v>680</v>
      </c>
      <c r="E13" s="928" t="s">
        <v>681</v>
      </c>
      <c r="F13" s="928" t="s">
        <v>687</v>
      </c>
      <c r="G13" s="942" t="str">
        <f t="shared" si="11"/>
        <v>ICE</v>
      </c>
      <c r="H13" s="943" t="s">
        <v>1114</v>
      </c>
      <c r="I13" s="928" t="str">
        <f t="shared" si="4"/>
        <v>P</v>
      </c>
      <c r="J13" s="928" t="str">
        <f t="shared" si="5"/>
        <v>PR</v>
      </c>
      <c r="K13" s="928" t="str">
        <f t="shared" si="6"/>
        <v>CAR</v>
      </c>
      <c r="L13" s="942" t="str">
        <f t="shared" si="7"/>
        <v>TPPRCARODS-N</v>
      </c>
      <c r="M13" s="942" t="str">
        <f t="shared" si="8"/>
        <v>TPPRCARODS-E</v>
      </c>
      <c r="N13" s="948" cm="1">
        <f t="array" ref="N13">INDEX(VehicleCostData2022!$T$16:$T$86,MATCH(1,(VehicleCostData2022!$R$16:$R$86=$E13)*(VehicleCostData2022!$S$16:$S$86=$F13),0))</f>
        <v>658729.4117647059</v>
      </c>
      <c r="O13" s="945">
        <f t="shared" si="12"/>
        <v>643123.52553387149</v>
      </c>
      <c r="P13" s="945">
        <f t="shared" si="9"/>
        <v>649580.53723158408</v>
      </c>
      <c r="Q13" s="945">
        <f t="shared" si="9"/>
        <v>656102.37784381933</v>
      </c>
      <c r="R13" s="945">
        <f t="shared" si="9"/>
        <v>662689.69825807051</v>
      </c>
      <c r="S13" s="945">
        <f t="shared" si="9"/>
        <v>669343.15589679382</v>
      </c>
      <c r="T13" s="945">
        <f t="shared" si="9"/>
        <v>676063.41478301899</v>
      </c>
      <c r="U13" s="945">
        <f t="shared" si="9"/>
        <v>682851.14560662012</v>
      </c>
      <c r="V13" s="945">
        <f t="shared" si="9"/>
        <v>689707.02579125215</v>
      </c>
      <c r="W13" s="945">
        <f t="shared" si="9"/>
        <v>696631.73956195696</v>
      </c>
      <c r="X13" s="946">
        <v>2.7E-2</v>
      </c>
      <c r="Y13" s="947">
        <f t="shared" si="13"/>
        <v>17785.694117647061</v>
      </c>
      <c r="Z13" s="947">
        <f t="shared" si="10"/>
        <v>17364.335189414531</v>
      </c>
      <c r="AA13" s="947">
        <f t="shared" si="10"/>
        <v>17538.674505252769</v>
      </c>
      <c r="AB13" s="947">
        <f t="shared" si="10"/>
        <v>17714.76420178312</v>
      </c>
      <c r="AC13" s="947">
        <f t="shared" si="10"/>
        <v>17892.621852967903</v>
      </c>
      <c r="AD13" s="947">
        <f t="shared" si="10"/>
        <v>18072.265209213434</v>
      </c>
      <c r="AE13" s="947">
        <f t="shared" si="10"/>
        <v>18253.712199141512</v>
      </c>
      <c r="AF13" s="947">
        <f t="shared" si="10"/>
        <v>18436.980931378745</v>
      </c>
      <c r="AG13" s="947">
        <f t="shared" si="10"/>
        <v>18622.089696363808</v>
      </c>
      <c r="AH13" s="947">
        <f t="shared" si="10"/>
        <v>18809.056968172838</v>
      </c>
    </row>
    <row r="14" spans="1:34" x14ac:dyDescent="0.25">
      <c r="A14" s="928" t="s">
        <v>519</v>
      </c>
      <c r="B14" s="928" t="s">
        <v>613</v>
      </c>
      <c r="C14" s="928" t="s">
        <v>555</v>
      </c>
      <c r="D14" s="928" t="s">
        <v>680</v>
      </c>
      <c r="E14" s="928" t="s">
        <v>681</v>
      </c>
      <c r="F14" s="928" t="s">
        <v>688</v>
      </c>
      <c r="G14" s="942" t="str">
        <f t="shared" si="11"/>
        <v>HEV</v>
      </c>
      <c r="H14" s="943" t="s">
        <v>1114</v>
      </c>
      <c r="I14" s="928" t="str">
        <f t="shared" si="4"/>
        <v>P</v>
      </c>
      <c r="J14" s="928" t="str">
        <f t="shared" si="5"/>
        <v>PR</v>
      </c>
      <c r="K14" s="928" t="str">
        <f t="shared" si="6"/>
        <v>CAR</v>
      </c>
      <c r="L14" s="942" t="str">
        <f t="shared" si="7"/>
        <v>TPPRCAROGSH-N</v>
      </c>
      <c r="M14" s="942" t="str">
        <f t="shared" si="8"/>
        <v>TPPRCAROGSH-E</v>
      </c>
      <c r="N14" s="948" cm="1">
        <f t="array" ref="N14">INDEX(VehicleCostData2022!$T$16:$T$86,MATCH(1,(VehicleCostData2022!$R$16:$R$86=$E14)*(VehicleCostData2022!$S$16:$S$86=$F14),0))</f>
        <v>478870.5882352941</v>
      </c>
      <c r="O14" s="945">
        <f t="shared" si="12"/>
        <v>997843.32697358425</v>
      </c>
      <c r="P14" s="945">
        <f t="shared" si="9"/>
        <v>781604.68583263457</v>
      </c>
      <c r="Q14" s="945">
        <f t="shared" si="9"/>
        <v>565366.04469167127</v>
      </c>
      <c r="R14" s="945">
        <f t="shared" si="9"/>
        <v>462836.9747899145</v>
      </c>
      <c r="S14" s="945">
        <f t="shared" si="9"/>
        <v>436114.28571428522</v>
      </c>
      <c r="T14" s="945">
        <f t="shared" si="9"/>
        <v>436826.89075630251</v>
      </c>
      <c r="U14" s="945">
        <f t="shared" si="9"/>
        <v>437539.49579831929</v>
      </c>
      <c r="V14" s="945">
        <f t="shared" si="9"/>
        <v>438252.10084033612</v>
      </c>
      <c r="W14" s="945">
        <f t="shared" si="9"/>
        <v>438964.70588235289</v>
      </c>
      <c r="X14" s="946">
        <v>2.7E-2</v>
      </c>
      <c r="Y14" s="947">
        <f t="shared" si="13"/>
        <v>12929.50588235294</v>
      </c>
      <c r="Z14" s="947">
        <f t="shared" si="10"/>
        <v>26941.769828286775</v>
      </c>
      <c r="AA14" s="947">
        <f t="shared" si="10"/>
        <v>21103.326517481131</v>
      </c>
      <c r="AB14" s="947">
        <f t="shared" si="10"/>
        <v>15264.883206675124</v>
      </c>
      <c r="AC14" s="947">
        <f t="shared" si="10"/>
        <v>12496.598319327692</v>
      </c>
      <c r="AD14" s="947">
        <f t="shared" si="10"/>
        <v>11775.0857142857</v>
      </c>
      <c r="AE14" s="947">
        <f t="shared" si="10"/>
        <v>11794.326050420168</v>
      </c>
      <c r="AF14" s="947">
        <f t="shared" si="10"/>
        <v>11813.566386554621</v>
      </c>
      <c r="AG14" s="947">
        <f t="shared" si="10"/>
        <v>11832.806722689074</v>
      </c>
      <c r="AH14" s="947">
        <f t="shared" si="10"/>
        <v>11852.047058823528</v>
      </c>
    </row>
    <row r="15" spans="1:34" x14ac:dyDescent="0.25">
      <c r="A15" s="928" t="s">
        <v>521</v>
      </c>
      <c r="B15" s="928" t="s">
        <v>613</v>
      </c>
      <c r="C15" s="928" t="s">
        <v>555</v>
      </c>
      <c r="D15" s="928" t="s">
        <v>680</v>
      </c>
      <c r="E15" s="928" t="s">
        <v>681</v>
      </c>
      <c r="F15" s="928" t="s">
        <v>689</v>
      </c>
      <c r="G15" s="942" t="str">
        <f t="shared" si="11"/>
        <v>HEV</v>
      </c>
      <c r="H15" s="943" t="s">
        <v>1114</v>
      </c>
      <c r="I15" s="928" t="str">
        <f t="shared" si="4"/>
        <v>P</v>
      </c>
      <c r="J15" s="928" t="str">
        <f t="shared" si="5"/>
        <v>PR</v>
      </c>
      <c r="K15" s="928" t="str">
        <f t="shared" si="6"/>
        <v>CAR</v>
      </c>
      <c r="L15" s="942" t="str">
        <f t="shared" si="7"/>
        <v>TPPRCARODSH-N</v>
      </c>
      <c r="M15" s="942" t="str">
        <f t="shared" si="8"/>
        <v>TPPRCARODSH-E</v>
      </c>
      <c r="N15" s="948" cm="1">
        <f t="array" ref="N15">INDEX(VehicleCostData2022!$T$16:$T$86,MATCH(1,(VehicleCostData2022!$R$16:$R$86=$E15)*(VehicleCostData2022!$S$16:$S$86=$F15),0))</f>
        <v>1197433.100056743</v>
      </c>
      <c r="O15" s="945">
        <f t="shared" si="12"/>
        <v>2495143.067341235</v>
      </c>
      <c r="P15" s="945">
        <f t="shared" si="9"/>
        <v>1954430.5809727081</v>
      </c>
      <c r="Q15" s="945">
        <f t="shared" si="9"/>
        <v>1413718.0946041471</v>
      </c>
      <c r="R15" s="945">
        <f t="shared" si="9"/>
        <v>1157340.473938768</v>
      </c>
      <c r="S15" s="945">
        <f t="shared" si="9"/>
        <v>1090519.4304088184</v>
      </c>
      <c r="T15" s="945">
        <f t="shared" si="9"/>
        <v>1092301.3249029515</v>
      </c>
      <c r="U15" s="945">
        <f t="shared" si="9"/>
        <v>1094083.2193970836</v>
      </c>
      <c r="V15" s="945">
        <f t="shared" si="9"/>
        <v>1095865.1138912158</v>
      </c>
      <c r="W15" s="945">
        <f t="shared" si="9"/>
        <v>1097647.0083853477</v>
      </c>
      <c r="X15" s="946">
        <v>2.7E-2</v>
      </c>
      <c r="Y15" s="947">
        <f t="shared" si="13"/>
        <v>32330.693701532062</v>
      </c>
      <c r="Z15" s="947">
        <f t="shared" si="10"/>
        <v>67368.86281821334</v>
      </c>
      <c r="AA15" s="947">
        <f t="shared" si="10"/>
        <v>52769.62568626312</v>
      </c>
      <c r="AB15" s="947">
        <f t="shared" si="10"/>
        <v>38170.388554311969</v>
      </c>
      <c r="AC15" s="947">
        <f t="shared" si="10"/>
        <v>31248.192796346735</v>
      </c>
      <c r="AD15" s="947">
        <f t="shared" si="10"/>
        <v>29444.024621038097</v>
      </c>
      <c r="AE15" s="947">
        <f t="shared" si="10"/>
        <v>29492.13577237969</v>
      </c>
      <c r="AF15" s="947">
        <f t="shared" si="10"/>
        <v>29540.246923721257</v>
      </c>
      <c r="AG15" s="947">
        <f t="shared" si="10"/>
        <v>29588.358075062824</v>
      </c>
      <c r="AH15" s="947">
        <f t="shared" si="10"/>
        <v>29636.469226404388</v>
      </c>
    </row>
    <row r="16" spans="1:34" x14ac:dyDescent="0.25">
      <c r="A16" s="928" t="s">
        <v>690</v>
      </c>
      <c r="B16" s="928" t="s">
        <v>613</v>
      </c>
      <c r="C16" s="928" t="s">
        <v>555</v>
      </c>
      <c r="D16" s="928" t="s">
        <v>680</v>
      </c>
      <c r="E16" s="928" t="s">
        <v>681</v>
      </c>
      <c r="F16" s="928" t="s">
        <v>691</v>
      </c>
      <c r="G16" s="942" t="str">
        <f t="shared" si="11"/>
        <v>HEV</v>
      </c>
      <c r="H16" s="943" t="s">
        <v>1114</v>
      </c>
      <c r="I16" s="928" t="str">
        <f t="shared" si="4"/>
        <v>P</v>
      </c>
      <c r="J16" s="928" t="str">
        <f t="shared" si="5"/>
        <v>PR</v>
      </c>
      <c r="K16" s="928" t="str">
        <f t="shared" si="6"/>
        <v>CAR</v>
      </c>
      <c r="L16" s="942" t="str">
        <f t="shared" si="7"/>
        <v>TPPRCAROGSP-N</v>
      </c>
      <c r="M16" s="942" t="str">
        <f t="shared" si="8"/>
        <v>TPPRCAROGSP-E</v>
      </c>
      <c r="N16" s="948" cm="1">
        <f t="array" ref="N16">INDEX(VehicleCostData2022!$T$16:$T$86,MATCH(1,(VehicleCostData2022!$R$16:$R$86=$E16)*(VehicleCostData2022!$S$16:$S$86=$F16),0))</f>
        <v>0</v>
      </c>
      <c r="O16" s="945">
        <f t="shared" si="12"/>
        <v>0</v>
      </c>
      <c r="P16" s="945">
        <f t="shared" si="9"/>
        <v>0</v>
      </c>
      <c r="Q16" s="945">
        <f t="shared" si="9"/>
        <v>0</v>
      </c>
      <c r="R16" s="945">
        <f t="shared" si="9"/>
        <v>0</v>
      </c>
      <c r="S16" s="945">
        <f t="shared" si="9"/>
        <v>0</v>
      </c>
      <c r="T16" s="945">
        <f t="shared" si="9"/>
        <v>0</v>
      </c>
      <c r="U16" s="945">
        <f t="shared" si="9"/>
        <v>0</v>
      </c>
      <c r="V16" s="945">
        <f t="shared" si="9"/>
        <v>0</v>
      </c>
      <c r="W16" s="945">
        <f t="shared" si="9"/>
        <v>0</v>
      </c>
      <c r="X16" s="946"/>
      <c r="Y16" s="947">
        <f t="shared" si="13"/>
        <v>0</v>
      </c>
      <c r="Z16" s="947">
        <f t="shared" si="10"/>
        <v>0</v>
      </c>
      <c r="AA16" s="947">
        <f t="shared" si="10"/>
        <v>0</v>
      </c>
      <c r="AB16" s="947">
        <f t="shared" si="10"/>
        <v>0</v>
      </c>
      <c r="AC16" s="947">
        <f t="shared" si="10"/>
        <v>0</v>
      </c>
      <c r="AD16" s="947">
        <f t="shared" si="10"/>
        <v>0</v>
      </c>
      <c r="AE16" s="947">
        <f t="shared" si="10"/>
        <v>0</v>
      </c>
      <c r="AF16" s="947">
        <f t="shared" si="10"/>
        <v>0</v>
      </c>
      <c r="AG16" s="947">
        <f t="shared" si="10"/>
        <v>0</v>
      </c>
      <c r="AH16" s="947">
        <f t="shared" si="10"/>
        <v>0</v>
      </c>
    </row>
    <row r="17" spans="1:34" x14ac:dyDescent="0.25">
      <c r="A17" s="928" t="s">
        <v>694</v>
      </c>
      <c r="B17" s="928" t="s">
        <v>613</v>
      </c>
      <c r="C17" s="928" t="s">
        <v>555</v>
      </c>
      <c r="D17" s="928" t="s">
        <v>680</v>
      </c>
      <c r="E17" s="928" t="s">
        <v>681</v>
      </c>
      <c r="F17" s="928" t="s">
        <v>695</v>
      </c>
      <c r="G17" s="942" t="str">
        <f t="shared" si="11"/>
        <v>HEV</v>
      </c>
      <c r="H17" s="943" t="s">
        <v>1114</v>
      </c>
      <c r="I17" s="928" t="str">
        <f t="shared" si="4"/>
        <v>P</v>
      </c>
      <c r="J17" s="928" t="str">
        <f t="shared" si="5"/>
        <v>PR</v>
      </c>
      <c r="K17" s="928" t="str">
        <f t="shared" si="6"/>
        <v>CAR</v>
      </c>
      <c r="L17" s="942" t="str">
        <f t="shared" si="7"/>
        <v>TPPRCARODSP-N</v>
      </c>
      <c r="M17" s="942" t="str">
        <f t="shared" si="8"/>
        <v>TPPRCARODSP-E</v>
      </c>
      <c r="N17" s="948" cm="1">
        <f t="array" ref="N17">INDEX(VehicleCostData2022!$T$16:$T$86,MATCH(1,(VehicleCostData2022!$R$16:$R$86=$E17)*(VehicleCostData2022!$S$16:$S$86=$F17),0))</f>
        <v>0</v>
      </c>
      <c r="O17" s="945">
        <f t="shared" si="12"/>
        <v>0</v>
      </c>
      <c r="P17" s="945">
        <f t="shared" si="9"/>
        <v>0</v>
      </c>
      <c r="Q17" s="945">
        <f t="shared" si="9"/>
        <v>0</v>
      </c>
      <c r="R17" s="945">
        <f t="shared" si="9"/>
        <v>0</v>
      </c>
      <c r="S17" s="945">
        <f t="shared" si="9"/>
        <v>0</v>
      </c>
      <c r="T17" s="945">
        <f t="shared" si="9"/>
        <v>0</v>
      </c>
      <c r="U17" s="945">
        <f t="shared" si="9"/>
        <v>0</v>
      </c>
      <c r="V17" s="945">
        <f t="shared" si="9"/>
        <v>0</v>
      </c>
      <c r="W17" s="945">
        <f t="shared" si="9"/>
        <v>0</v>
      </c>
      <c r="X17" s="946"/>
      <c r="Y17" s="947">
        <f t="shared" si="13"/>
        <v>0</v>
      </c>
      <c r="Z17" s="947">
        <f t="shared" si="10"/>
        <v>0</v>
      </c>
      <c r="AA17" s="947">
        <f t="shared" si="10"/>
        <v>0</v>
      </c>
      <c r="AB17" s="947">
        <f t="shared" si="10"/>
        <v>0</v>
      </c>
      <c r="AC17" s="947">
        <f t="shared" si="10"/>
        <v>0</v>
      </c>
      <c r="AD17" s="947">
        <f t="shared" si="10"/>
        <v>0</v>
      </c>
      <c r="AE17" s="947">
        <f t="shared" si="10"/>
        <v>0</v>
      </c>
      <c r="AF17" s="947">
        <f t="shared" si="10"/>
        <v>0</v>
      </c>
      <c r="AG17" s="947">
        <f t="shared" si="10"/>
        <v>0</v>
      </c>
      <c r="AH17" s="947">
        <f t="shared" si="10"/>
        <v>0</v>
      </c>
    </row>
    <row r="18" spans="1:34" x14ac:dyDescent="0.25">
      <c r="A18" s="928" t="s">
        <v>501</v>
      </c>
      <c r="B18" s="928" t="s">
        <v>613</v>
      </c>
      <c r="C18" s="928" t="s">
        <v>555</v>
      </c>
      <c r="D18" s="928" t="s">
        <v>680</v>
      </c>
      <c r="E18" s="928" t="s">
        <v>681</v>
      </c>
      <c r="F18" s="928" t="s">
        <v>692</v>
      </c>
      <c r="G18" s="942" t="str">
        <f t="shared" si="11"/>
        <v>BEV</v>
      </c>
      <c r="H18" s="943" t="s">
        <v>1114</v>
      </c>
      <c r="I18" s="928" t="str">
        <f t="shared" si="4"/>
        <v>P</v>
      </c>
      <c r="J18" s="928" t="str">
        <f t="shared" si="5"/>
        <v>PR</v>
      </c>
      <c r="K18" s="928" t="str">
        <f t="shared" si="6"/>
        <v>CAR</v>
      </c>
      <c r="L18" s="942" t="str">
        <f t="shared" si="7"/>
        <v>TPPRCARELC-N</v>
      </c>
      <c r="M18" s="942" t="str">
        <f t="shared" si="8"/>
        <v>TPPRCARELC-E</v>
      </c>
      <c r="N18" s="948" cm="1">
        <f t="array" ref="N18">INDEX(VehicleCostData2022!$T$16:$T$86,MATCH(1,(VehicleCostData2022!$R$16:$R$86=$E18)*(VehicleCostData2022!$S$16:$S$86=$F18),0))</f>
        <v>593681.6</v>
      </c>
      <c r="O18" s="945">
        <f t="shared" si="12"/>
        <v>2114162.5314028738</v>
      </c>
      <c r="P18" s="945">
        <f t="shared" si="9"/>
        <v>1480628.8099850041</v>
      </c>
      <c r="Q18" s="945">
        <f t="shared" si="9"/>
        <v>847095.08856713434</v>
      </c>
      <c r="R18" s="945">
        <f t="shared" si="9"/>
        <v>551327.48585365911</v>
      </c>
      <c r="S18" s="945">
        <f t="shared" si="9"/>
        <v>480737.29560975754</v>
      </c>
      <c r="T18" s="945">
        <f t="shared" si="9"/>
        <v>466981.25853658561</v>
      </c>
      <c r="U18" s="945">
        <f t="shared" si="9"/>
        <v>453225.22146341478</v>
      </c>
      <c r="V18" s="945">
        <f t="shared" si="9"/>
        <v>439469.1843902439</v>
      </c>
      <c r="W18" s="945">
        <f t="shared" si="9"/>
        <v>425713.14731707302</v>
      </c>
      <c r="X18" s="946">
        <v>2.0250000000000001E-2</v>
      </c>
      <c r="Y18" s="947">
        <f t="shared" si="13"/>
        <v>12022.0524</v>
      </c>
      <c r="Z18" s="947">
        <f t="shared" si="10"/>
        <v>42811.791260908198</v>
      </c>
      <c r="AA18" s="947">
        <f t="shared" si="10"/>
        <v>29982.733402196336</v>
      </c>
      <c r="AB18" s="947">
        <f t="shared" si="10"/>
        <v>17153.675543484471</v>
      </c>
      <c r="AC18" s="947">
        <f t="shared" si="10"/>
        <v>11164.381588536597</v>
      </c>
      <c r="AD18" s="947">
        <f t="shared" si="10"/>
        <v>9734.9302360975908</v>
      </c>
      <c r="AE18" s="947">
        <f t="shared" si="10"/>
        <v>9456.3704853658583</v>
      </c>
      <c r="AF18" s="947">
        <f t="shared" si="10"/>
        <v>9177.8107346341494</v>
      </c>
      <c r="AG18" s="947">
        <f t="shared" si="10"/>
        <v>8899.2509839024387</v>
      </c>
      <c r="AH18" s="947">
        <f t="shared" si="10"/>
        <v>8620.6912331707281</v>
      </c>
    </row>
    <row r="19" spans="1:34" x14ac:dyDescent="0.25">
      <c r="A19" s="928" t="s">
        <v>1348</v>
      </c>
      <c r="B19" s="928" t="s">
        <v>613</v>
      </c>
      <c r="C19" s="928" t="s">
        <v>555</v>
      </c>
      <c r="D19" s="928" t="s">
        <v>680</v>
      </c>
      <c r="E19" s="928" t="s">
        <v>681</v>
      </c>
      <c r="F19" s="928" t="s">
        <v>699</v>
      </c>
      <c r="G19" s="942" t="str">
        <f>IF(A19="HGNF",A19,RIGHT(F19,3))</f>
        <v>HGNF</v>
      </c>
      <c r="H19" s="943" t="s">
        <v>1114</v>
      </c>
      <c r="I19" s="928" t="str">
        <f t="shared" si="4"/>
        <v>P</v>
      </c>
      <c r="J19" s="928" t="str">
        <f t="shared" si="5"/>
        <v>PR</v>
      </c>
      <c r="K19" s="928" t="str">
        <f t="shared" si="6"/>
        <v>CAR</v>
      </c>
      <c r="L19" s="942" t="str">
        <f t="shared" si="7"/>
        <v>TPPRCARHGNF-N</v>
      </c>
      <c r="M19" s="942" t="str">
        <f t="shared" si="8"/>
        <v>TPPRCARHGNF-E</v>
      </c>
      <c r="N19" s="948" cm="1">
        <f t="array" ref="N19">INDEX(VehicleCostData2022!$T$16:$T$86,MATCH(1,(VehicleCostData2022!$R$16:$R$86=$E19)*(VehicleCostData2022!$S$16:$S$86=$F19),0))</f>
        <v>1515975</v>
      </c>
      <c r="O19" s="945">
        <f t="shared" si="12"/>
        <v>5398546.1963845128</v>
      </c>
      <c r="P19" s="945">
        <f t="shared" si="9"/>
        <v>3780808.1978909513</v>
      </c>
      <c r="Q19" s="945">
        <f t="shared" si="9"/>
        <v>2163070.1993973902</v>
      </c>
      <c r="R19" s="945">
        <f t="shared" si="9"/>
        <v>1407823.1250000014</v>
      </c>
      <c r="S19" s="945">
        <f t="shared" si="9"/>
        <v>1227570.0000000037</v>
      </c>
      <c r="T19" s="945">
        <f t="shared" si="9"/>
        <v>1192443.7500000007</v>
      </c>
      <c r="U19" s="945">
        <f t="shared" si="9"/>
        <v>1157317.5000000005</v>
      </c>
      <c r="V19" s="945">
        <f t="shared" si="9"/>
        <v>1122191.25</v>
      </c>
      <c r="W19" s="945">
        <f t="shared" si="9"/>
        <v>1087064.9999999995</v>
      </c>
      <c r="X19" s="946">
        <v>2.7E-2</v>
      </c>
      <c r="Y19" s="947">
        <f t="shared" si="13"/>
        <v>40931.324999999997</v>
      </c>
      <c r="Z19" s="947">
        <f t="shared" si="10"/>
        <v>145760.74730238185</v>
      </c>
      <c r="AA19" s="947">
        <f t="shared" si="10"/>
        <v>102081.82134305568</v>
      </c>
      <c r="AB19" s="947">
        <f t="shared" si="10"/>
        <v>58402.895383729534</v>
      </c>
      <c r="AC19" s="947">
        <f t="shared" si="10"/>
        <v>38011.224375000034</v>
      </c>
      <c r="AD19" s="947">
        <f t="shared" si="10"/>
        <v>33144.390000000101</v>
      </c>
      <c r="AE19" s="947">
        <f t="shared" si="10"/>
        <v>32195.981250000019</v>
      </c>
      <c r="AF19" s="947">
        <f t="shared" si="10"/>
        <v>31247.572500000013</v>
      </c>
      <c r="AG19" s="947">
        <f t="shared" si="10"/>
        <v>30299.16375</v>
      </c>
      <c r="AH19" s="947">
        <f t="shared" si="10"/>
        <v>29350.754999999986</v>
      </c>
    </row>
    <row r="20" spans="1:34" x14ac:dyDescent="0.25">
      <c r="A20" s="928" t="s">
        <v>509</v>
      </c>
      <c r="B20" s="928" t="s">
        <v>613</v>
      </c>
      <c r="C20" s="928" t="s">
        <v>555</v>
      </c>
      <c r="D20" s="928" t="s">
        <v>680</v>
      </c>
      <c r="E20" s="928" t="s">
        <v>681</v>
      </c>
      <c r="F20" s="928" t="s">
        <v>700</v>
      </c>
      <c r="G20" s="942" t="str">
        <f t="shared" ref="G20:G26" si="14">IF(A20="HGN",A20,RIGHT(F20,3))</f>
        <v>ICE</v>
      </c>
      <c r="H20" s="943" t="s">
        <v>1114</v>
      </c>
      <c r="I20" s="928" t="str">
        <f t="shared" si="4"/>
        <v>P</v>
      </c>
      <c r="J20" s="928" t="str">
        <f t="shared" si="5"/>
        <v>PR</v>
      </c>
      <c r="K20" s="928" t="str">
        <f t="shared" si="6"/>
        <v>CAR</v>
      </c>
      <c r="L20" s="942" t="str">
        <f t="shared" si="7"/>
        <v>TPPRCARGAS-N</v>
      </c>
      <c r="M20" s="942" t="str">
        <f t="shared" si="8"/>
        <v>TPPRCARGAS-E</v>
      </c>
      <c r="N20" s="948" cm="1">
        <f t="array" ref="N20">INDEX(VehicleCostData2022!$T$16:$T$86,MATCH(1,(VehicleCostData2022!$R$16:$R$86=$E20)*(VehicleCostData2022!$S$16:$S$86=$F20),0))</f>
        <v>724602.3529411765</v>
      </c>
      <c r="O20" s="945">
        <f t="shared" si="12"/>
        <v>707435.87808725866</v>
      </c>
      <c r="P20" s="945">
        <f t="shared" si="9"/>
        <v>714538.59095474251</v>
      </c>
      <c r="Q20" s="945">
        <f t="shared" si="9"/>
        <v>721712.61562820128</v>
      </c>
      <c r="R20" s="945">
        <f t="shared" si="9"/>
        <v>728958.66808387765</v>
      </c>
      <c r="S20" s="945">
        <f t="shared" si="9"/>
        <v>736277.47148647322</v>
      </c>
      <c r="T20" s="945">
        <f t="shared" si="9"/>
        <v>743669.7562613209</v>
      </c>
      <c r="U20" s="945">
        <f t="shared" si="9"/>
        <v>751136.26016728219</v>
      </c>
      <c r="V20" s="945">
        <f t="shared" si="9"/>
        <v>758677.72837037733</v>
      </c>
      <c r="W20" s="945">
        <f t="shared" si="9"/>
        <v>766294.91351815267</v>
      </c>
      <c r="X20" s="946">
        <v>2.7E-2</v>
      </c>
      <c r="Y20" s="947">
        <f t="shared" si="13"/>
        <v>19564.263529411764</v>
      </c>
      <c r="Z20" s="947">
        <f t="shared" si="10"/>
        <v>19100.768708355983</v>
      </c>
      <c r="AA20" s="947">
        <f t="shared" si="10"/>
        <v>19292.541955778048</v>
      </c>
      <c r="AB20" s="947">
        <f t="shared" si="10"/>
        <v>19486.240621961435</v>
      </c>
      <c r="AC20" s="947">
        <f t="shared" si="10"/>
        <v>19681.884038264696</v>
      </c>
      <c r="AD20" s="947">
        <f t="shared" si="10"/>
        <v>19879.491730134778</v>
      </c>
      <c r="AE20" s="947">
        <f t="shared" si="10"/>
        <v>20079.083419055663</v>
      </c>
      <c r="AF20" s="947">
        <f t="shared" si="10"/>
        <v>20280.679024516619</v>
      </c>
      <c r="AG20" s="947">
        <f t="shared" si="10"/>
        <v>20484.298666000188</v>
      </c>
      <c r="AH20" s="947">
        <f t="shared" si="10"/>
        <v>20689.962664990122</v>
      </c>
    </row>
    <row r="21" spans="1:34" x14ac:dyDescent="0.25">
      <c r="A21" s="928" t="s">
        <v>573</v>
      </c>
      <c r="B21" s="928" t="s">
        <v>613</v>
      </c>
      <c r="C21" s="928" t="s">
        <v>460</v>
      </c>
      <c r="D21" s="928" t="s">
        <v>680</v>
      </c>
      <c r="E21" s="928" t="s">
        <v>701</v>
      </c>
      <c r="F21" s="928" t="s">
        <v>680</v>
      </c>
      <c r="G21" s="942" t="str">
        <f t="shared" si="14"/>
        <v>ICE</v>
      </c>
      <c r="H21" s="943" t="s">
        <v>1114</v>
      </c>
      <c r="I21" s="928" t="str">
        <f t="shared" si="4"/>
        <v>P</v>
      </c>
      <c r="J21" s="928" t="str">
        <f t="shared" si="5"/>
        <v>PR</v>
      </c>
      <c r="K21" s="928" t="str">
        <f t="shared" si="6"/>
        <v>SUV</v>
      </c>
      <c r="L21" s="942" t="str">
        <f t="shared" si="7"/>
        <v>TPPRSUVOGS-N</v>
      </c>
      <c r="M21" s="942" t="str">
        <f t="shared" si="8"/>
        <v>TPPRSUVOGS-E</v>
      </c>
      <c r="N21" s="948" cm="1">
        <f t="array" ref="N21">INDEX(VehicleCostData2022!$T$16:$T$86,MATCH(1,(VehicleCostData2022!$R$16:$R$86=$E21)*(VehicleCostData2022!$S$16:$S$86=$F21),0))</f>
        <v>440658.82352941175</v>
      </c>
      <c r="O21" s="945">
        <f t="shared" si="12"/>
        <v>430219.22368189547</v>
      </c>
      <c r="P21" s="945">
        <f t="shared" si="9"/>
        <v>434538.65913963091</v>
      </c>
      <c r="Q21" s="945">
        <f t="shared" si="9"/>
        <v>438901.46207526245</v>
      </c>
      <c r="R21" s="945">
        <f t="shared" si="9"/>
        <v>443308.06790174113</v>
      </c>
      <c r="S21" s="945">
        <f t="shared" si="9"/>
        <v>447758.91640359885</v>
      </c>
      <c r="T21" s="945">
        <f t="shared" si="9"/>
        <v>452254.45178083936</v>
      </c>
      <c r="U21" s="945">
        <f t="shared" si="9"/>
        <v>456795.1226932698</v>
      </c>
      <c r="V21" s="945">
        <f t="shared" si="9"/>
        <v>461381.38230527821</v>
      </c>
      <c r="W21" s="945">
        <f t="shared" si="9"/>
        <v>466013.68833105906</v>
      </c>
      <c r="X21" s="946">
        <v>2.7E-2</v>
      </c>
      <c r="Y21" s="947">
        <f t="shared" si="13"/>
        <v>11897.788235294118</v>
      </c>
      <c r="Z21" s="947">
        <f t="shared" si="10"/>
        <v>11615.919039411177</v>
      </c>
      <c r="AA21" s="947">
        <f t="shared" si="10"/>
        <v>11732.543796770035</v>
      </c>
      <c r="AB21" s="947">
        <f t="shared" si="10"/>
        <v>11850.339476032086</v>
      </c>
      <c r="AC21" s="947">
        <f t="shared" si="10"/>
        <v>11969.31783334701</v>
      </c>
      <c r="AD21" s="947">
        <f t="shared" si="10"/>
        <v>12089.490742897169</v>
      </c>
      <c r="AE21" s="947">
        <f t="shared" si="10"/>
        <v>12210.870198082663</v>
      </c>
      <c r="AF21" s="947">
        <f t="shared" si="10"/>
        <v>12333.468312718285</v>
      </c>
      <c r="AG21" s="947">
        <f t="shared" si="10"/>
        <v>12457.297322242512</v>
      </c>
      <c r="AH21" s="947">
        <f t="shared" si="10"/>
        <v>12582.369584938595</v>
      </c>
    </row>
    <row r="22" spans="1:34" x14ac:dyDescent="0.25">
      <c r="A22" s="928" t="s">
        <v>519</v>
      </c>
      <c r="B22" s="928" t="s">
        <v>613</v>
      </c>
      <c r="C22" s="928" t="s">
        <v>460</v>
      </c>
      <c r="D22" s="928" t="s">
        <v>680</v>
      </c>
      <c r="E22" s="928" t="s">
        <v>701</v>
      </c>
      <c r="F22" s="928" t="s">
        <v>688</v>
      </c>
      <c r="G22" s="942" t="str">
        <f t="shared" si="14"/>
        <v>HEV</v>
      </c>
      <c r="H22" s="943" t="s">
        <v>1114</v>
      </c>
      <c r="I22" s="928" t="str">
        <f t="shared" si="4"/>
        <v>P</v>
      </c>
      <c r="J22" s="928" t="str">
        <f t="shared" si="5"/>
        <v>PR</v>
      </c>
      <c r="K22" s="928" t="str">
        <f t="shared" si="6"/>
        <v>SUV</v>
      </c>
      <c r="L22" s="942" t="str">
        <f t="shared" si="7"/>
        <v>TPPRSUVOGSH-N</v>
      </c>
      <c r="M22" s="942" t="str">
        <f t="shared" si="8"/>
        <v>TPPRSUVOGSH-E</v>
      </c>
      <c r="N22" s="948" cm="1">
        <f t="array" ref="N22">INDEX(VehicleCostData2022!$T$16:$T$86,MATCH(1,(VehicleCostData2022!$R$16:$R$86=$E22)*(VehicleCostData2022!$S$16:$S$86=$F22),0))</f>
        <v>496188.23529411765</v>
      </c>
      <c r="O22" s="945">
        <f t="shared" si="12"/>
        <v>1033928.8560936983</v>
      </c>
      <c r="P22" s="945">
        <f t="shared" si="9"/>
        <v>809870.26409387775</v>
      </c>
      <c r="Q22" s="945">
        <f t="shared" si="9"/>
        <v>585811.672094043</v>
      </c>
      <c r="R22" s="945">
        <f t="shared" si="9"/>
        <v>479574.78991596488</v>
      </c>
      <c r="S22" s="945">
        <f t="shared" si="9"/>
        <v>451885.7142857138</v>
      </c>
      <c r="T22" s="945">
        <f t="shared" si="9"/>
        <v>452624.08963585435</v>
      </c>
      <c r="U22" s="945">
        <f t="shared" si="9"/>
        <v>453362.46498599439</v>
      </c>
      <c r="V22" s="945">
        <f t="shared" si="9"/>
        <v>454100.84033613442</v>
      </c>
      <c r="W22" s="945">
        <f t="shared" si="9"/>
        <v>454839.21568627452</v>
      </c>
      <c r="X22" s="946">
        <v>2.7E-2</v>
      </c>
      <c r="Y22" s="947">
        <f t="shared" si="13"/>
        <v>13397.082352941177</v>
      </c>
      <c r="Z22" s="947">
        <f t="shared" si="10"/>
        <v>27916.079114529854</v>
      </c>
      <c r="AA22" s="947">
        <f t="shared" si="10"/>
        <v>21866.497130534699</v>
      </c>
      <c r="AB22" s="947">
        <f t="shared" si="10"/>
        <v>15816.915146539161</v>
      </c>
      <c r="AC22" s="947">
        <f t="shared" si="10"/>
        <v>12948.519327731052</v>
      </c>
      <c r="AD22" s="947">
        <f t="shared" si="10"/>
        <v>12200.914285714272</v>
      </c>
      <c r="AE22" s="947">
        <f t="shared" si="10"/>
        <v>12220.850420168068</v>
      </c>
      <c r="AF22" s="947">
        <f t="shared" si="10"/>
        <v>12240.786554621849</v>
      </c>
      <c r="AG22" s="947">
        <f t="shared" si="10"/>
        <v>12260.72268907563</v>
      </c>
      <c r="AH22" s="947">
        <f t="shared" si="10"/>
        <v>12280.658823529411</v>
      </c>
    </row>
    <row r="23" spans="1:34" x14ac:dyDescent="0.25">
      <c r="A23" s="928" t="s">
        <v>506</v>
      </c>
      <c r="B23" s="928" t="s">
        <v>613</v>
      </c>
      <c r="C23" s="928" t="s">
        <v>460</v>
      </c>
      <c r="D23" s="928" t="s">
        <v>680</v>
      </c>
      <c r="E23" s="928" t="s">
        <v>701</v>
      </c>
      <c r="F23" s="928" t="s">
        <v>680</v>
      </c>
      <c r="G23" s="942" t="str">
        <f t="shared" si="14"/>
        <v>ICE</v>
      </c>
      <c r="H23" s="943" t="s">
        <v>1114</v>
      </c>
      <c r="I23" s="928" t="str">
        <f t="shared" si="4"/>
        <v>P</v>
      </c>
      <c r="J23" s="928" t="str">
        <f t="shared" si="5"/>
        <v>PR</v>
      </c>
      <c r="K23" s="928" t="str">
        <f t="shared" si="6"/>
        <v>SUV</v>
      </c>
      <c r="L23" s="942" t="str">
        <f t="shared" si="7"/>
        <v>TPPRSUVBGS-N</v>
      </c>
      <c r="M23" s="942" t="str">
        <f t="shared" si="8"/>
        <v>TPPRSUVBGS-E</v>
      </c>
      <c r="N23" s="948" cm="1">
        <f t="array" ref="N23">INDEX(VehicleCostData2022!$T$16:$T$86,MATCH(1,(VehicleCostData2022!$R$16:$R$86=$E23)*(VehicleCostData2022!$S$16:$S$86=$F23),0))</f>
        <v>440658.82352941175</v>
      </c>
      <c r="O23" s="945">
        <f t="shared" si="12"/>
        <v>430219.22368189547</v>
      </c>
      <c r="P23" s="945">
        <f t="shared" si="9"/>
        <v>434538.65913963091</v>
      </c>
      <c r="Q23" s="945">
        <f t="shared" si="9"/>
        <v>438901.46207526245</v>
      </c>
      <c r="R23" s="945">
        <f t="shared" si="9"/>
        <v>443308.06790174113</v>
      </c>
      <c r="S23" s="945">
        <f t="shared" si="9"/>
        <v>447758.91640359885</v>
      </c>
      <c r="T23" s="945">
        <f t="shared" si="9"/>
        <v>452254.45178083936</v>
      </c>
      <c r="U23" s="945">
        <f t="shared" si="9"/>
        <v>456795.1226932698</v>
      </c>
      <c r="V23" s="945">
        <f t="shared" si="9"/>
        <v>461381.38230527821</v>
      </c>
      <c r="W23" s="945">
        <f t="shared" si="9"/>
        <v>466013.68833105906</v>
      </c>
      <c r="X23" s="946">
        <v>2.7E-2</v>
      </c>
      <c r="Y23" s="947">
        <f t="shared" si="13"/>
        <v>11897.788235294118</v>
      </c>
      <c r="Z23" s="947">
        <f t="shared" si="10"/>
        <v>11615.919039411177</v>
      </c>
      <c r="AA23" s="947">
        <f t="shared" si="10"/>
        <v>11732.543796770035</v>
      </c>
      <c r="AB23" s="947">
        <f t="shared" si="10"/>
        <v>11850.339476032086</v>
      </c>
      <c r="AC23" s="947">
        <f t="shared" si="10"/>
        <v>11969.31783334701</v>
      </c>
      <c r="AD23" s="947">
        <f t="shared" si="10"/>
        <v>12089.490742897169</v>
      </c>
      <c r="AE23" s="947">
        <f t="shared" si="10"/>
        <v>12210.870198082663</v>
      </c>
      <c r="AF23" s="947">
        <f t="shared" si="10"/>
        <v>12333.468312718285</v>
      </c>
      <c r="AG23" s="947">
        <f t="shared" si="10"/>
        <v>12457.297322242512</v>
      </c>
      <c r="AH23" s="947">
        <f t="shared" si="10"/>
        <v>12582.369584938595</v>
      </c>
    </row>
    <row r="24" spans="1:34" x14ac:dyDescent="0.25">
      <c r="A24" s="928" t="s">
        <v>511</v>
      </c>
      <c r="B24" s="928" t="s">
        <v>613</v>
      </c>
      <c r="C24" s="928" t="s">
        <v>460</v>
      </c>
      <c r="D24" s="928" t="s">
        <v>680</v>
      </c>
      <c r="E24" s="928" t="s">
        <v>701</v>
      </c>
      <c r="F24" s="928" t="s">
        <v>687</v>
      </c>
      <c r="G24" s="942" t="str">
        <f t="shared" si="14"/>
        <v>ICE</v>
      </c>
      <c r="H24" s="943" t="s">
        <v>1114</v>
      </c>
      <c r="I24" s="928" t="str">
        <f t="shared" si="4"/>
        <v>P</v>
      </c>
      <c r="J24" s="928" t="str">
        <f t="shared" si="5"/>
        <v>PR</v>
      </c>
      <c r="K24" s="928" t="str">
        <f t="shared" si="6"/>
        <v>SUV</v>
      </c>
      <c r="L24" s="942" t="str">
        <f t="shared" si="7"/>
        <v>TPPRSUVODS-N</v>
      </c>
      <c r="M24" s="942" t="str">
        <f t="shared" si="8"/>
        <v>TPPRSUVODS-E</v>
      </c>
      <c r="N24" s="948" cm="1">
        <f t="array" ref="N24">INDEX(VehicleCostData2022!$T$16:$T$86,MATCH(1,(VehicleCostData2022!$R$16:$R$86=$E24)*(VehicleCostData2022!$S$16:$S$86=$F24),0))</f>
        <v>838990</v>
      </c>
      <c r="O24" s="945">
        <f t="shared" si="12"/>
        <v>819113.5799480523</v>
      </c>
      <c r="P24" s="945">
        <f t="shared" si="9"/>
        <v>827337.54588537244</v>
      </c>
      <c r="Q24" s="945">
        <f t="shared" si="9"/>
        <v>835644.08109927853</v>
      </c>
      <c r="R24" s="945">
        <f t="shared" si="9"/>
        <v>844034.01459191996</v>
      </c>
      <c r="S24" s="945">
        <f t="shared" si="9"/>
        <v>852508.18368869368</v>
      </c>
      <c r="T24" s="945">
        <f t="shared" si="9"/>
        <v>861067.43412181083</v>
      </c>
      <c r="U24" s="945">
        <f t="shared" si="9"/>
        <v>869712.62011470122</v>
      </c>
      <c r="V24" s="945">
        <f t="shared" si="9"/>
        <v>878444.60446726717</v>
      </c>
      <c r="W24" s="945">
        <f t="shared" si="9"/>
        <v>887264.25864199048</v>
      </c>
      <c r="X24" s="946">
        <v>2.7E-2</v>
      </c>
      <c r="Y24" s="947">
        <f t="shared" si="13"/>
        <v>22652.73</v>
      </c>
      <c r="Z24" s="947">
        <f t="shared" si="10"/>
        <v>22116.06665859741</v>
      </c>
      <c r="AA24" s="947">
        <f t="shared" si="10"/>
        <v>22338.113738905056</v>
      </c>
      <c r="AB24" s="947">
        <f t="shared" si="10"/>
        <v>22562.390189680518</v>
      </c>
      <c r="AC24" s="947">
        <f t="shared" si="10"/>
        <v>22788.918393981839</v>
      </c>
      <c r="AD24" s="947">
        <f t="shared" si="10"/>
        <v>23017.720959594728</v>
      </c>
      <c r="AE24" s="947">
        <f t="shared" si="10"/>
        <v>23248.820721288892</v>
      </c>
      <c r="AF24" s="947">
        <f t="shared" si="10"/>
        <v>23482.240743096932</v>
      </c>
      <c r="AG24" s="947">
        <f t="shared" si="10"/>
        <v>23718.004320616212</v>
      </c>
      <c r="AH24" s="947">
        <f t="shared" si="10"/>
        <v>23956.134983333744</v>
      </c>
    </row>
    <row r="25" spans="1:34" x14ac:dyDescent="0.25">
      <c r="A25" s="928" t="s">
        <v>521</v>
      </c>
      <c r="B25" s="928" t="s">
        <v>613</v>
      </c>
      <c r="C25" s="928" t="s">
        <v>460</v>
      </c>
      <c r="D25" s="928" t="s">
        <v>680</v>
      </c>
      <c r="E25" s="928" t="s">
        <v>701</v>
      </c>
      <c r="F25" s="928" t="s">
        <v>689</v>
      </c>
      <c r="G25" s="942" t="str">
        <f t="shared" si="14"/>
        <v>HEV</v>
      </c>
      <c r="H25" s="943" t="s">
        <v>1114</v>
      </c>
      <c r="I25" s="928" t="str">
        <f t="shared" si="4"/>
        <v>P</v>
      </c>
      <c r="J25" s="928" t="str">
        <f t="shared" si="5"/>
        <v>PR</v>
      </c>
      <c r="K25" s="928" t="str">
        <f t="shared" si="6"/>
        <v>SUV</v>
      </c>
      <c r="L25" s="942" t="str">
        <f t="shared" si="7"/>
        <v>TPPRSUVODSH-N</v>
      </c>
      <c r="M25" s="942" t="str">
        <f t="shared" si="8"/>
        <v>TPPRSUVODSH-E</v>
      </c>
      <c r="N25" s="948" cm="1">
        <f t="array" ref="N25">INDEX(VehicleCostData2022!$T$16:$T$86,MATCH(1,(VehicleCostData2022!$R$16:$R$86=$E25)*(VehicleCostData2022!$S$16:$S$86=$F25),0))</f>
        <v>944714.92524562147</v>
      </c>
      <c r="O25" s="945">
        <f t="shared" si="12"/>
        <v>1968543.291670077</v>
      </c>
      <c r="P25" s="945">
        <f t="shared" si="9"/>
        <v>1541948.1389932295</v>
      </c>
      <c r="Q25" s="945">
        <f t="shared" si="9"/>
        <v>1115352.9863163552</v>
      </c>
      <c r="R25" s="945">
        <f t="shared" si="9"/>
        <v>913083.84515926964</v>
      </c>
      <c r="S25" s="945">
        <f t="shared" si="9"/>
        <v>860365.37834868999</v>
      </c>
      <c r="T25" s="945">
        <f t="shared" si="9"/>
        <v>861771.20413030649</v>
      </c>
      <c r="U25" s="945">
        <f t="shared" si="9"/>
        <v>863177.02991192194</v>
      </c>
      <c r="V25" s="945">
        <f t="shared" si="9"/>
        <v>864582.85569353751</v>
      </c>
      <c r="W25" s="945">
        <f t="shared" si="9"/>
        <v>865988.68147515296</v>
      </c>
      <c r="X25" s="946">
        <v>2.7E-2</v>
      </c>
      <c r="Y25" s="947">
        <f t="shared" si="13"/>
        <v>25507.302981631779</v>
      </c>
      <c r="Z25" s="947">
        <f t="shared" si="10"/>
        <v>53150.66887509208</v>
      </c>
      <c r="AA25" s="947">
        <f t="shared" si="10"/>
        <v>41632.599752817194</v>
      </c>
      <c r="AB25" s="947">
        <f t="shared" si="10"/>
        <v>30114.530630541591</v>
      </c>
      <c r="AC25" s="947">
        <f t="shared" si="10"/>
        <v>24653.263819300279</v>
      </c>
      <c r="AD25" s="947">
        <f t="shared" si="10"/>
        <v>23229.865215414629</v>
      </c>
      <c r="AE25" s="947">
        <f t="shared" si="10"/>
        <v>23267.822511518276</v>
      </c>
      <c r="AF25" s="947">
        <f t="shared" si="10"/>
        <v>23305.779807621893</v>
      </c>
      <c r="AG25" s="947">
        <f t="shared" si="10"/>
        <v>23343.737103725511</v>
      </c>
      <c r="AH25" s="947">
        <f t="shared" si="10"/>
        <v>23381.694399829128</v>
      </c>
    </row>
    <row r="26" spans="1:34" x14ac:dyDescent="0.25">
      <c r="A26" s="928" t="s">
        <v>501</v>
      </c>
      <c r="B26" s="928" t="s">
        <v>613</v>
      </c>
      <c r="C26" s="928" t="s">
        <v>460</v>
      </c>
      <c r="D26" s="928" t="s">
        <v>680</v>
      </c>
      <c r="E26" s="928" t="s">
        <v>701</v>
      </c>
      <c r="F26" s="928" t="s">
        <v>692</v>
      </c>
      <c r="G26" s="942" t="str">
        <f t="shared" si="14"/>
        <v>BEV</v>
      </c>
      <c r="H26" s="943" t="s">
        <v>1114</v>
      </c>
      <c r="I26" s="928" t="str">
        <f t="shared" si="4"/>
        <v>P</v>
      </c>
      <c r="J26" s="928" t="str">
        <f t="shared" si="5"/>
        <v>PR</v>
      </c>
      <c r="K26" s="928" t="str">
        <f t="shared" si="6"/>
        <v>SUV</v>
      </c>
      <c r="L26" s="942" t="str">
        <f t="shared" si="7"/>
        <v>TPPRSUVELC-N</v>
      </c>
      <c r="M26" s="942" t="str">
        <f t="shared" si="8"/>
        <v>TPPRSUVELC-E</v>
      </c>
      <c r="N26" s="948" cm="1">
        <f t="array" ref="N26">INDEX(VehicleCostData2022!$T$16:$T$86,MATCH(1,(VehicleCostData2022!$R$16:$R$86=$E26)*(VehicleCostData2022!$S$16:$S$86=$F26),0))</f>
        <v>903556.79999999993</v>
      </c>
      <c r="O26" s="945">
        <f t="shared" si="12"/>
        <v>3217660.6644947054</v>
      </c>
      <c r="P26" s="945">
        <f t="shared" si="9"/>
        <v>2253450.7209552363</v>
      </c>
      <c r="Q26" s="945">
        <f t="shared" si="9"/>
        <v>1289240.7774157671</v>
      </c>
      <c r="R26" s="945">
        <f t="shared" si="9"/>
        <v>839095.7356097569</v>
      </c>
      <c r="S26" s="945">
        <f t="shared" si="9"/>
        <v>731660.62829268514</v>
      </c>
      <c r="T26" s="945">
        <f t="shared" si="9"/>
        <v>710724.55609756138</v>
      </c>
      <c r="U26" s="945">
        <f t="shared" si="9"/>
        <v>689788.48390243913</v>
      </c>
      <c r="V26" s="945">
        <f t="shared" si="9"/>
        <v>668852.41170731699</v>
      </c>
      <c r="W26" s="945">
        <f t="shared" si="9"/>
        <v>647916.33951219486</v>
      </c>
      <c r="X26" s="946">
        <v>2.0250000000000001E-2</v>
      </c>
      <c r="Y26" s="947">
        <f t="shared" si="13"/>
        <v>18297.0252</v>
      </c>
      <c r="Z26" s="947">
        <f t="shared" si="10"/>
        <v>65157.628456017788</v>
      </c>
      <c r="AA26" s="947">
        <f t="shared" si="10"/>
        <v>45632.377099343539</v>
      </c>
      <c r="AB26" s="947">
        <f t="shared" si="10"/>
        <v>26107.125742669283</v>
      </c>
      <c r="AC26" s="947">
        <f t="shared" si="10"/>
        <v>16991.688646097577</v>
      </c>
      <c r="AD26" s="947">
        <f t="shared" si="10"/>
        <v>14816.127722926874</v>
      </c>
      <c r="AE26" s="947">
        <f t="shared" si="10"/>
        <v>14392.172260975618</v>
      </c>
      <c r="AF26" s="947">
        <f t="shared" si="10"/>
        <v>13968.216799024392</v>
      </c>
      <c r="AG26" s="947">
        <f t="shared" si="10"/>
        <v>13544.261337073169</v>
      </c>
      <c r="AH26" s="947">
        <f t="shared" si="10"/>
        <v>13120.305875121947</v>
      </c>
    </row>
    <row r="27" spans="1:34" x14ac:dyDescent="0.25">
      <c r="A27" s="928" t="s">
        <v>1348</v>
      </c>
      <c r="B27" s="928" t="s">
        <v>613</v>
      </c>
      <c r="C27" s="928" t="s">
        <v>460</v>
      </c>
      <c r="D27" s="928" t="s">
        <v>680</v>
      </c>
      <c r="E27" s="928" t="s">
        <v>701</v>
      </c>
      <c r="F27" s="928" t="s">
        <v>699</v>
      </c>
      <c r="G27" s="942" t="str">
        <f>IF(A27="HGNF",A27,RIGHT(F27,3))</f>
        <v>HGNF</v>
      </c>
      <c r="H27" s="943" t="s">
        <v>1114</v>
      </c>
      <c r="I27" s="928" t="str">
        <f t="shared" si="4"/>
        <v>P</v>
      </c>
      <c r="J27" s="928" t="str">
        <f t="shared" si="5"/>
        <v>PR</v>
      </c>
      <c r="K27" s="928" t="str">
        <f t="shared" si="6"/>
        <v>SUV</v>
      </c>
      <c r="L27" s="942" t="str">
        <f t="shared" si="7"/>
        <v>TPPRSUVHGNF-N</v>
      </c>
      <c r="M27" s="942" t="str">
        <f t="shared" si="8"/>
        <v>TPPRSUVHGNF-E</v>
      </c>
      <c r="N27" s="948" cm="1">
        <f t="array" ref="N27">INDEX(VehicleCostData2022!$T$16:$T$86,MATCH(1,(VehicleCostData2022!$R$16:$R$86=$E27)*(VehicleCostData2022!$S$16:$S$86=$F27),0))</f>
        <v>2307246.0387520855</v>
      </c>
      <c r="O27" s="945">
        <f t="shared" si="12"/>
        <v>8216345.4718107525</v>
      </c>
      <c r="P27" s="945">
        <f t="shared" si="12"/>
        <v>5754220.7080362858</v>
      </c>
      <c r="Q27" s="945">
        <f t="shared" si="12"/>
        <v>3292095.9442618196</v>
      </c>
      <c r="R27" s="945">
        <f t="shared" si="12"/>
        <v>2142643.7298898962</v>
      </c>
      <c r="S27" s="945">
        <f t="shared" si="12"/>
        <v>1868306.548452914</v>
      </c>
      <c r="T27" s="945">
        <f t="shared" si="12"/>
        <v>1814845.9695062146</v>
      </c>
      <c r="U27" s="945">
        <f t="shared" si="12"/>
        <v>1761385.3905595194</v>
      </c>
      <c r="V27" s="945">
        <f t="shared" si="12"/>
        <v>1707924.8116128242</v>
      </c>
      <c r="W27" s="945">
        <f t="shared" si="12"/>
        <v>1654464.232666129</v>
      </c>
      <c r="X27" s="946">
        <v>2.7E-2</v>
      </c>
      <c r="Y27" s="947">
        <f t="shared" si="13"/>
        <v>62295.643046306308</v>
      </c>
      <c r="Z27" s="947">
        <f t="shared" si="10"/>
        <v>221841.32773889031</v>
      </c>
      <c r="AA27" s="947">
        <f t="shared" si="10"/>
        <v>155363.95911697971</v>
      </c>
      <c r="AB27" s="947">
        <f t="shared" si="10"/>
        <v>88886.590495069133</v>
      </c>
      <c r="AC27" s="947">
        <f t="shared" si="10"/>
        <v>57851.380707027194</v>
      </c>
      <c r="AD27" s="947">
        <f t="shared" si="10"/>
        <v>50444.276808228678</v>
      </c>
      <c r="AE27" s="947">
        <f t="shared" si="10"/>
        <v>49000.841176667796</v>
      </c>
      <c r="AF27" s="947">
        <f t="shared" si="10"/>
        <v>47557.405545107023</v>
      </c>
      <c r="AG27" s="947">
        <f t="shared" si="10"/>
        <v>46113.969913546251</v>
      </c>
      <c r="AH27" s="947">
        <f t="shared" si="10"/>
        <v>44670.534281985485</v>
      </c>
    </row>
    <row r="28" spans="1:34" x14ac:dyDescent="0.25">
      <c r="A28" s="928" t="s">
        <v>509</v>
      </c>
      <c r="B28" s="928" t="s">
        <v>613</v>
      </c>
      <c r="C28" s="928" t="s">
        <v>460</v>
      </c>
      <c r="D28" s="928" t="s">
        <v>680</v>
      </c>
      <c r="E28" s="928" t="s">
        <v>701</v>
      </c>
      <c r="F28" s="928" t="s">
        <v>700</v>
      </c>
      <c r="G28" s="942" t="str">
        <f t="shared" ref="G28:G33" si="15">IF(A28="HGN",A28,RIGHT(F28,3))</f>
        <v>ICE</v>
      </c>
      <c r="H28" s="943" t="s">
        <v>1114</v>
      </c>
      <c r="I28" s="928" t="str">
        <f t="shared" si="4"/>
        <v>P</v>
      </c>
      <c r="J28" s="928" t="str">
        <f t="shared" si="5"/>
        <v>PR</v>
      </c>
      <c r="K28" s="928" t="str">
        <f t="shared" si="6"/>
        <v>SUV</v>
      </c>
      <c r="L28" s="942" t="str">
        <f t="shared" si="7"/>
        <v>TPPRSUVGAS-N</v>
      </c>
      <c r="M28" s="942" t="str">
        <f t="shared" si="8"/>
        <v>TPPRSUVGAS-E</v>
      </c>
      <c r="N28" s="948" cm="1">
        <f t="array" ref="N28">INDEX(VehicleCostData2022!$T$16:$T$86,MATCH(1,(VehicleCostData2022!$R$16:$R$86=$E28)*(VehicleCostData2022!$S$16:$S$86=$F28),0))</f>
        <v>922889.00000000012</v>
      </c>
      <c r="O28" s="945">
        <f t="shared" ref="O28:W44" si="16">$N28*INDEX($O$3:$W$6,MATCH($G28,$K$3:$K$6,0),MATCH(O$10,$O$2:$W$2,0))</f>
        <v>901024.93794285762</v>
      </c>
      <c r="P28" s="945">
        <f t="shared" si="16"/>
        <v>910071.30047390983</v>
      </c>
      <c r="Q28" s="945">
        <f t="shared" si="16"/>
        <v>919208.48920920654</v>
      </c>
      <c r="R28" s="945">
        <f t="shared" si="16"/>
        <v>928437.416051112</v>
      </c>
      <c r="S28" s="945">
        <f t="shared" si="16"/>
        <v>937759.00205756316</v>
      </c>
      <c r="T28" s="945">
        <f t="shared" si="16"/>
        <v>947174.17753399198</v>
      </c>
      <c r="U28" s="945">
        <f t="shared" si="16"/>
        <v>956683.88212617149</v>
      </c>
      <c r="V28" s="945">
        <f t="shared" si="16"/>
        <v>966289.06491399405</v>
      </c>
      <c r="W28" s="945">
        <f t="shared" si="16"/>
        <v>975990.68450618966</v>
      </c>
      <c r="X28" s="946">
        <v>2.7E-2</v>
      </c>
      <c r="Y28" s="947">
        <f t="shared" si="13"/>
        <v>24918.003000000004</v>
      </c>
      <c r="Z28" s="947">
        <f t="shared" si="10"/>
        <v>24327.673324457155</v>
      </c>
      <c r="AA28" s="947">
        <f t="shared" si="10"/>
        <v>24571.925112795565</v>
      </c>
      <c r="AB28" s="947">
        <f t="shared" si="10"/>
        <v>24818.629208648577</v>
      </c>
      <c r="AC28" s="947">
        <f t="shared" si="10"/>
        <v>25067.810233380023</v>
      </c>
      <c r="AD28" s="947">
        <f t="shared" si="10"/>
        <v>25319.493055554205</v>
      </c>
      <c r="AE28" s="947">
        <f t="shared" si="10"/>
        <v>25573.702793417782</v>
      </c>
      <c r="AF28" s="947">
        <f t="shared" si="10"/>
        <v>25830.464817406631</v>
      </c>
      <c r="AG28" s="947">
        <f t="shared" si="10"/>
        <v>26089.804752677839</v>
      </c>
      <c r="AH28" s="947">
        <f t="shared" si="10"/>
        <v>26351.74848166712</v>
      </c>
    </row>
    <row r="29" spans="1:34" x14ac:dyDescent="0.25">
      <c r="A29" s="928" t="s">
        <v>573</v>
      </c>
      <c r="B29" s="928" t="s">
        <v>613</v>
      </c>
      <c r="C29" s="928" t="s">
        <v>61</v>
      </c>
      <c r="D29" s="928" t="s">
        <v>680</v>
      </c>
      <c r="E29" s="928" t="s">
        <v>701</v>
      </c>
      <c r="F29" s="928" t="s">
        <v>680</v>
      </c>
      <c r="G29" s="942" t="str">
        <f t="shared" si="15"/>
        <v>ICE</v>
      </c>
      <c r="H29" s="943" t="s">
        <v>1114</v>
      </c>
      <c r="I29" s="928" t="str">
        <f t="shared" si="4"/>
        <v>P</v>
      </c>
      <c r="J29" s="928" t="str">
        <f t="shared" si="5"/>
        <v>PU</v>
      </c>
      <c r="K29" s="928" t="str">
        <f t="shared" si="6"/>
        <v>MBT</v>
      </c>
      <c r="L29" s="942" t="str">
        <f t="shared" si="7"/>
        <v>TPPUMBTOGS-N</v>
      </c>
      <c r="M29" s="942" t="str">
        <f t="shared" si="8"/>
        <v>TPPUMBTOGS-E</v>
      </c>
      <c r="N29" s="948" cm="1">
        <f t="array" ref="N29">INDEX(VehicleCostData2022!$T$16:$T$86,MATCH(1,(VehicleCostData2022!$R$16:$R$86=$E29)*(VehicleCostData2022!$S$16:$S$86=$F29),0))</f>
        <v>440658.82352941175</v>
      </c>
      <c r="O29" s="945">
        <f t="shared" si="16"/>
        <v>430219.22368189547</v>
      </c>
      <c r="P29" s="945">
        <f t="shared" si="16"/>
        <v>434538.65913963091</v>
      </c>
      <c r="Q29" s="945">
        <f t="shared" si="16"/>
        <v>438901.46207526245</v>
      </c>
      <c r="R29" s="945">
        <f t="shared" si="16"/>
        <v>443308.06790174113</v>
      </c>
      <c r="S29" s="945">
        <f t="shared" si="16"/>
        <v>447758.91640359885</v>
      </c>
      <c r="T29" s="945">
        <f t="shared" si="16"/>
        <v>452254.45178083936</v>
      </c>
      <c r="U29" s="945">
        <f t="shared" si="16"/>
        <v>456795.1226932698</v>
      </c>
      <c r="V29" s="945">
        <f t="shared" si="16"/>
        <v>461381.38230527821</v>
      </c>
      <c r="W29" s="945">
        <f t="shared" si="16"/>
        <v>466013.68833105906</v>
      </c>
      <c r="X29" s="946">
        <v>2.7E-2</v>
      </c>
      <c r="Y29" s="947">
        <f t="shared" si="13"/>
        <v>11897.788235294118</v>
      </c>
      <c r="Z29" s="947">
        <f t="shared" si="10"/>
        <v>11615.919039411177</v>
      </c>
      <c r="AA29" s="947">
        <f t="shared" si="10"/>
        <v>11732.543796770035</v>
      </c>
      <c r="AB29" s="947">
        <f t="shared" si="10"/>
        <v>11850.339476032086</v>
      </c>
      <c r="AC29" s="947">
        <f t="shared" si="10"/>
        <v>11969.31783334701</v>
      </c>
      <c r="AD29" s="947">
        <f t="shared" si="10"/>
        <v>12089.490742897169</v>
      </c>
      <c r="AE29" s="947">
        <f t="shared" si="10"/>
        <v>12210.870198082663</v>
      </c>
      <c r="AF29" s="947">
        <f t="shared" si="10"/>
        <v>12333.468312718285</v>
      </c>
      <c r="AG29" s="947">
        <f t="shared" si="10"/>
        <v>12457.297322242512</v>
      </c>
      <c r="AH29" s="947">
        <f t="shared" si="10"/>
        <v>12582.369584938595</v>
      </c>
    </row>
    <row r="30" spans="1:34" x14ac:dyDescent="0.25">
      <c r="A30" s="928" t="s">
        <v>506</v>
      </c>
      <c r="B30" s="928" t="s">
        <v>613</v>
      </c>
      <c r="C30" s="928" t="s">
        <v>61</v>
      </c>
      <c r="D30" s="928" t="s">
        <v>680</v>
      </c>
      <c r="E30" s="928" t="s">
        <v>701</v>
      </c>
      <c r="F30" s="928" t="s">
        <v>680</v>
      </c>
      <c r="G30" s="942" t="str">
        <f t="shared" si="15"/>
        <v>ICE</v>
      </c>
      <c r="H30" s="943" t="s">
        <v>1114</v>
      </c>
      <c r="I30" s="928" t="str">
        <f t="shared" si="4"/>
        <v>P</v>
      </c>
      <c r="J30" s="928" t="str">
        <f t="shared" si="5"/>
        <v>PU</v>
      </c>
      <c r="K30" s="928" t="str">
        <f t="shared" si="6"/>
        <v>MBT</v>
      </c>
      <c r="L30" s="942" t="str">
        <f t="shared" si="7"/>
        <v>TPPUMBTBGS-N</v>
      </c>
      <c r="M30" s="942" t="str">
        <f t="shared" si="8"/>
        <v>TPPUMBTBGS-E</v>
      </c>
      <c r="N30" s="948" cm="1">
        <f t="array" ref="N30">INDEX(VehicleCostData2022!$T$16:$T$86,MATCH(1,(VehicleCostData2022!$R$16:$R$86=$E30)*(VehicleCostData2022!$S$16:$S$86=$F30),0))</f>
        <v>440658.82352941175</v>
      </c>
      <c r="O30" s="945">
        <f t="shared" si="16"/>
        <v>430219.22368189547</v>
      </c>
      <c r="P30" s="945">
        <f t="shared" si="16"/>
        <v>434538.65913963091</v>
      </c>
      <c r="Q30" s="945">
        <f t="shared" si="16"/>
        <v>438901.46207526245</v>
      </c>
      <c r="R30" s="945">
        <f t="shared" si="16"/>
        <v>443308.06790174113</v>
      </c>
      <c r="S30" s="945">
        <f t="shared" si="16"/>
        <v>447758.91640359885</v>
      </c>
      <c r="T30" s="945">
        <f t="shared" si="16"/>
        <v>452254.45178083936</v>
      </c>
      <c r="U30" s="945">
        <f t="shared" si="16"/>
        <v>456795.1226932698</v>
      </c>
      <c r="V30" s="945">
        <f t="shared" si="16"/>
        <v>461381.38230527821</v>
      </c>
      <c r="W30" s="945">
        <f t="shared" si="16"/>
        <v>466013.68833105906</v>
      </c>
      <c r="X30" s="946">
        <v>2.7E-2</v>
      </c>
      <c r="Y30" s="947">
        <f t="shared" si="13"/>
        <v>11897.788235294118</v>
      </c>
      <c r="Z30" s="947">
        <f t="shared" si="10"/>
        <v>11615.919039411177</v>
      </c>
      <c r="AA30" s="947">
        <f t="shared" si="10"/>
        <v>11732.543796770035</v>
      </c>
      <c r="AB30" s="947">
        <f t="shared" si="10"/>
        <v>11850.339476032086</v>
      </c>
      <c r="AC30" s="947">
        <f t="shared" si="10"/>
        <v>11969.31783334701</v>
      </c>
      <c r="AD30" s="947">
        <f t="shared" si="10"/>
        <v>12089.490742897169</v>
      </c>
      <c r="AE30" s="947">
        <f t="shared" si="10"/>
        <v>12210.870198082663</v>
      </c>
      <c r="AF30" s="947">
        <f t="shared" si="10"/>
        <v>12333.468312718285</v>
      </c>
      <c r="AG30" s="947">
        <f t="shared" si="10"/>
        <v>12457.297322242512</v>
      </c>
      <c r="AH30" s="947">
        <f t="shared" si="10"/>
        <v>12582.369584938595</v>
      </c>
    </row>
    <row r="31" spans="1:34" x14ac:dyDescent="0.25">
      <c r="A31" s="928" t="s">
        <v>511</v>
      </c>
      <c r="B31" s="928" t="s">
        <v>613</v>
      </c>
      <c r="C31" s="928" t="s">
        <v>61</v>
      </c>
      <c r="D31" s="928" t="s">
        <v>680</v>
      </c>
      <c r="E31" s="928" t="s">
        <v>701</v>
      </c>
      <c r="F31" s="928" t="s">
        <v>687</v>
      </c>
      <c r="G31" s="942" t="str">
        <f t="shared" si="15"/>
        <v>ICE</v>
      </c>
      <c r="H31" s="943" t="s">
        <v>1114</v>
      </c>
      <c r="I31" s="928" t="str">
        <f t="shared" si="4"/>
        <v>P</v>
      </c>
      <c r="J31" s="928" t="str">
        <f t="shared" si="5"/>
        <v>PU</v>
      </c>
      <c r="K31" s="928" t="str">
        <f t="shared" si="6"/>
        <v>MBT</v>
      </c>
      <c r="L31" s="942" t="str">
        <f t="shared" si="7"/>
        <v>TPPUMBTODS-N</v>
      </c>
      <c r="M31" s="942" t="str">
        <f t="shared" si="8"/>
        <v>TPPUMBTODS-E</v>
      </c>
      <c r="N31" s="948" cm="1">
        <f t="array" ref="N31">INDEX(VehicleCostData2022!$T$16:$T$86,MATCH(1,(VehicleCostData2022!$R$16:$R$86=$E31)*(VehicleCostData2022!$S$16:$S$86=$F31),0))</f>
        <v>838990</v>
      </c>
      <c r="O31" s="945">
        <f t="shared" si="16"/>
        <v>819113.5799480523</v>
      </c>
      <c r="P31" s="945">
        <f t="shared" si="16"/>
        <v>827337.54588537244</v>
      </c>
      <c r="Q31" s="945">
        <f t="shared" si="16"/>
        <v>835644.08109927853</v>
      </c>
      <c r="R31" s="945">
        <f t="shared" si="16"/>
        <v>844034.01459191996</v>
      </c>
      <c r="S31" s="945">
        <f t="shared" si="16"/>
        <v>852508.18368869368</v>
      </c>
      <c r="T31" s="945">
        <f t="shared" si="16"/>
        <v>861067.43412181083</v>
      </c>
      <c r="U31" s="945">
        <f t="shared" si="16"/>
        <v>869712.62011470122</v>
      </c>
      <c r="V31" s="945">
        <f t="shared" si="16"/>
        <v>878444.60446726717</v>
      </c>
      <c r="W31" s="945">
        <f t="shared" si="16"/>
        <v>887264.25864199048</v>
      </c>
      <c r="X31" s="946">
        <v>2.7E-2</v>
      </c>
      <c r="Y31" s="947">
        <f t="shared" si="13"/>
        <v>22652.73</v>
      </c>
      <c r="Z31" s="947">
        <f t="shared" si="10"/>
        <v>22116.06665859741</v>
      </c>
      <c r="AA31" s="947">
        <f t="shared" si="10"/>
        <v>22338.113738905056</v>
      </c>
      <c r="AB31" s="947">
        <f t="shared" si="10"/>
        <v>22562.390189680518</v>
      </c>
      <c r="AC31" s="947">
        <f t="shared" si="10"/>
        <v>22788.918393981839</v>
      </c>
      <c r="AD31" s="947">
        <f t="shared" si="10"/>
        <v>23017.720959594728</v>
      </c>
      <c r="AE31" s="947">
        <f t="shared" si="10"/>
        <v>23248.820721288892</v>
      </c>
      <c r="AF31" s="947">
        <f t="shared" si="10"/>
        <v>23482.240743096932</v>
      </c>
      <c r="AG31" s="947">
        <f t="shared" si="10"/>
        <v>23718.004320616212</v>
      </c>
      <c r="AH31" s="947">
        <f t="shared" si="10"/>
        <v>23956.134983333744</v>
      </c>
    </row>
    <row r="32" spans="1:34" x14ac:dyDescent="0.25">
      <c r="A32" s="928" t="s">
        <v>521</v>
      </c>
      <c r="B32" s="928" t="s">
        <v>613</v>
      </c>
      <c r="C32" s="928" t="s">
        <v>61</v>
      </c>
      <c r="D32" s="928" t="s">
        <v>680</v>
      </c>
      <c r="E32" s="928" t="s">
        <v>701</v>
      </c>
      <c r="F32" s="928" t="s">
        <v>689</v>
      </c>
      <c r="G32" s="942" t="str">
        <f t="shared" si="15"/>
        <v>HEV</v>
      </c>
      <c r="H32" s="943" t="s">
        <v>1114</v>
      </c>
      <c r="I32" s="928" t="str">
        <f t="shared" si="4"/>
        <v>P</v>
      </c>
      <c r="J32" s="928" t="str">
        <f t="shared" si="5"/>
        <v>PU</v>
      </c>
      <c r="K32" s="928" t="str">
        <f t="shared" si="6"/>
        <v>MBT</v>
      </c>
      <c r="L32" s="942" t="str">
        <f t="shared" si="7"/>
        <v>TPPUMBTODSH-N</v>
      </c>
      <c r="M32" s="942" t="str">
        <f t="shared" si="8"/>
        <v>TPPUMBTODSH-E</v>
      </c>
      <c r="N32" s="948" cm="1">
        <f t="array" ref="N32">INDEX(VehicleCostData2022!$T$16:$T$86,MATCH(1,(VehicleCostData2022!$R$16:$R$86=$E32)*(VehicleCostData2022!$S$16:$S$86=$F32),0))</f>
        <v>944714.92524562147</v>
      </c>
      <c r="O32" s="945">
        <f t="shared" si="16"/>
        <v>1968543.291670077</v>
      </c>
      <c r="P32" s="945">
        <f t="shared" si="16"/>
        <v>1541948.1389932295</v>
      </c>
      <c r="Q32" s="945">
        <f t="shared" si="16"/>
        <v>1115352.9863163552</v>
      </c>
      <c r="R32" s="945">
        <f t="shared" si="16"/>
        <v>913083.84515926964</v>
      </c>
      <c r="S32" s="945">
        <f t="shared" si="16"/>
        <v>860365.37834868999</v>
      </c>
      <c r="T32" s="945">
        <f t="shared" si="16"/>
        <v>861771.20413030649</v>
      </c>
      <c r="U32" s="945">
        <f t="shared" si="16"/>
        <v>863177.02991192194</v>
      </c>
      <c r="V32" s="945">
        <f t="shared" si="16"/>
        <v>864582.85569353751</v>
      </c>
      <c r="W32" s="945">
        <f t="shared" si="16"/>
        <v>865988.68147515296</v>
      </c>
      <c r="X32" s="946">
        <v>2.7E-2</v>
      </c>
      <c r="Y32" s="947">
        <f t="shared" ref="Y32:AH32" si="17">N32*$X32</f>
        <v>25507.302981631779</v>
      </c>
      <c r="Z32" s="947">
        <f t="shared" si="17"/>
        <v>53150.66887509208</v>
      </c>
      <c r="AA32" s="947">
        <f t="shared" si="17"/>
        <v>41632.599752817194</v>
      </c>
      <c r="AB32" s="947">
        <f t="shared" si="17"/>
        <v>30114.530630541591</v>
      </c>
      <c r="AC32" s="947">
        <f t="shared" si="17"/>
        <v>24653.263819300279</v>
      </c>
      <c r="AD32" s="947">
        <f t="shared" si="17"/>
        <v>23229.865215414629</v>
      </c>
      <c r="AE32" s="947">
        <f t="shared" si="17"/>
        <v>23267.822511518276</v>
      </c>
      <c r="AF32" s="947">
        <f t="shared" si="17"/>
        <v>23305.779807621893</v>
      </c>
      <c r="AG32" s="947">
        <f t="shared" si="17"/>
        <v>23343.737103725511</v>
      </c>
      <c r="AH32" s="947">
        <f t="shared" si="17"/>
        <v>23381.694399829128</v>
      </c>
    </row>
    <row r="33" spans="1:34" x14ac:dyDescent="0.25">
      <c r="A33" s="928" t="s">
        <v>501</v>
      </c>
      <c r="B33" s="928" t="s">
        <v>613</v>
      </c>
      <c r="C33" s="928" t="s">
        <v>61</v>
      </c>
      <c r="D33" s="928" t="s">
        <v>680</v>
      </c>
      <c r="E33" s="928" t="s">
        <v>701</v>
      </c>
      <c r="F33" s="928" t="s">
        <v>692</v>
      </c>
      <c r="G33" s="942" t="str">
        <f t="shared" si="15"/>
        <v>BEV</v>
      </c>
      <c r="H33" s="943" t="s">
        <v>1114</v>
      </c>
      <c r="I33" s="928" t="str">
        <f t="shared" si="4"/>
        <v>P</v>
      </c>
      <c r="J33" s="928" t="str">
        <f t="shared" si="5"/>
        <v>PU</v>
      </c>
      <c r="K33" s="928" t="str">
        <f t="shared" si="6"/>
        <v>MBT</v>
      </c>
      <c r="L33" s="942" t="str">
        <f t="shared" si="7"/>
        <v>TPPUMBTELC-N</v>
      </c>
      <c r="M33" s="942" t="str">
        <f t="shared" si="8"/>
        <v>TPPUMBTELC-E</v>
      </c>
      <c r="N33" s="948" cm="1">
        <f t="array" ref="N33">INDEX(VehicleCostData2022!$T$16:$T$86,MATCH(1,(VehicleCostData2022!$R$16:$R$86=$E33)*(VehicleCostData2022!$S$16:$S$86=$F33),0))</f>
        <v>903556.79999999993</v>
      </c>
      <c r="O33" s="945">
        <f t="shared" si="16"/>
        <v>3217660.6644947054</v>
      </c>
      <c r="P33" s="945">
        <f t="shared" si="16"/>
        <v>2253450.7209552363</v>
      </c>
      <c r="Q33" s="945">
        <f t="shared" si="16"/>
        <v>1289240.7774157671</v>
      </c>
      <c r="R33" s="945">
        <f t="shared" si="16"/>
        <v>839095.7356097569</v>
      </c>
      <c r="S33" s="945">
        <f t="shared" si="16"/>
        <v>731660.62829268514</v>
      </c>
      <c r="T33" s="945">
        <f t="shared" si="16"/>
        <v>710724.55609756138</v>
      </c>
      <c r="U33" s="945">
        <f t="shared" si="16"/>
        <v>689788.48390243913</v>
      </c>
      <c r="V33" s="945">
        <f t="shared" si="16"/>
        <v>668852.41170731699</v>
      </c>
      <c r="W33" s="945">
        <f t="shared" si="16"/>
        <v>647916.33951219486</v>
      </c>
      <c r="X33" s="946">
        <v>2.0250000000000001E-2</v>
      </c>
      <c r="Y33" s="947">
        <f t="shared" si="13"/>
        <v>18297.0252</v>
      </c>
      <c r="Z33" s="947">
        <f t="shared" si="10"/>
        <v>65157.628456017788</v>
      </c>
      <c r="AA33" s="947">
        <f t="shared" si="10"/>
        <v>45632.377099343539</v>
      </c>
      <c r="AB33" s="947">
        <f t="shared" si="10"/>
        <v>26107.125742669283</v>
      </c>
      <c r="AC33" s="947">
        <f t="shared" si="10"/>
        <v>16991.688646097577</v>
      </c>
      <c r="AD33" s="947">
        <f t="shared" si="10"/>
        <v>14816.127722926874</v>
      </c>
      <c r="AE33" s="947">
        <f t="shared" si="10"/>
        <v>14392.172260975618</v>
      </c>
      <c r="AF33" s="947">
        <f t="shared" si="10"/>
        <v>13968.216799024392</v>
      </c>
      <c r="AG33" s="947">
        <f t="shared" si="10"/>
        <v>13544.261337073169</v>
      </c>
      <c r="AH33" s="947">
        <f t="shared" si="10"/>
        <v>13120.305875121947</v>
      </c>
    </row>
    <row r="34" spans="1:34" x14ac:dyDescent="0.25">
      <c r="A34" s="928" t="s">
        <v>1348</v>
      </c>
      <c r="B34" s="928" t="s">
        <v>613</v>
      </c>
      <c r="C34" s="928" t="s">
        <v>61</v>
      </c>
      <c r="D34" s="928" t="s">
        <v>680</v>
      </c>
      <c r="E34" s="928" t="s">
        <v>701</v>
      </c>
      <c r="F34" s="928" t="s">
        <v>699</v>
      </c>
      <c r="G34" s="942" t="str">
        <f>IF(A34="HGNF",A34,RIGHT(F34,3))</f>
        <v>HGNF</v>
      </c>
      <c r="H34" s="943" t="s">
        <v>1114</v>
      </c>
      <c r="I34" s="928" t="str">
        <f t="shared" si="4"/>
        <v>P</v>
      </c>
      <c r="J34" s="928" t="str">
        <f t="shared" si="5"/>
        <v>PU</v>
      </c>
      <c r="K34" s="928" t="str">
        <f t="shared" si="6"/>
        <v>MBT</v>
      </c>
      <c r="L34" s="942" t="str">
        <f t="shared" si="7"/>
        <v>TPPUMBTHGNF-N</v>
      </c>
      <c r="M34" s="942" t="str">
        <f t="shared" si="8"/>
        <v>TPPUMBTHGNF-E</v>
      </c>
      <c r="N34" s="948" cm="1">
        <f t="array" ref="N34">INDEX(VehicleCostData2022!$T$16:$T$86,MATCH(1,(VehicleCostData2022!$R$16:$R$86=$E34)*(VehicleCostData2022!$S$16:$S$86=$F34),0))</f>
        <v>2307246.0387520855</v>
      </c>
      <c r="O34" s="945">
        <f t="shared" si="16"/>
        <v>8216345.4718107525</v>
      </c>
      <c r="P34" s="945">
        <f t="shared" si="16"/>
        <v>5754220.7080362858</v>
      </c>
      <c r="Q34" s="945">
        <f t="shared" si="16"/>
        <v>3292095.9442618196</v>
      </c>
      <c r="R34" s="945">
        <f t="shared" si="16"/>
        <v>2142643.7298898962</v>
      </c>
      <c r="S34" s="945">
        <f t="shared" si="16"/>
        <v>1868306.548452914</v>
      </c>
      <c r="T34" s="945">
        <f t="shared" si="16"/>
        <v>1814845.9695062146</v>
      </c>
      <c r="U34" s="945">
        <f t="shared" si="16"/>
        <v>1761385.3905595194</v>
      </c>
      <c r="V34" s="945">
        <f t="shared" si="16"/>
        <v>1707924.8116128242</v>
      </c>
      <c r="W34" s="945">
        <f t="shared" si="16"/>
        <v>1654464.232666129</v>
      </c>
      <c r="X34" s="946">
        <v>2.7E-2</v>
      </c>
      <c r="Y34" s="947">
        <f t="shared" si="13"/>
        <v>62295.643046306308</v>
      </c>
      <c r="Z34" s="947">
        <f t="shared" si="10"/>
        <v>221841.32773889031</v>
      </c>
      <c r="AA34" s="947">
        <f t="shared" si="10"/>
        <v>155363.95911697971</v>
      </c>
      <c r="AB34" s="947">
        <f t="shared" si="10"/>
        <v>88886.590495069133</v>
      </c>
      <c r="AC34" s="947">
        <f t="shared" si="10"/>
        <v>57851.380707027194</v>
      </c>
      <c r="AD34" s="947">
        <f t="shared" si="10"/>
        <v>50444.276808228678</v>
      </c>
      <c r="AE34" s="947">
        <f t="shared" si="10"/>
        <v>49000.841176667796</v>
      </c>
      <c r="AF34" s="947">
        <f t="shared" si="10"/>
        <v>47557.405545107023</v>
      </c>
      <c r="AG34" s="947">
        <f t="shared" si="10"/>
        <v>46113.969913546251</v>
      </c>
      <c r="AH34" s="947">
        <f t="shared" si="10"/>
        <v>44670.534281985485</v>
      </c>
    </row>
    <row r="35" spans="1:34" x14ac:dyDescent="0.25">
      <c r="A35" s="928" t="s">
        <v>509</v>
      </c>
      <c r="B35" s="928" t="s">
        <v>613</v>
      </c>
      <c r="C35" s="928" t="s">
        <v>61</v>
      </c>
      <c r="D35" s="928" t="s">
        <v>680</v>
      </c>
      <c r="E35" s="928" t="s">
        <v>701</v>
      </c>
      <c r="F35" s="928" t="s">
        <v>700</v>
      </c>
      <c r="G35" s="942" t="str">
        <f t="shared" ref="G35:G38" si="18">IF(A35="HGN",A35,RIGHT(F35,3))</f>
        <v>ICE</v>
      </c>
      <c r="H35" s="943" t="s">
        <v>1114</v>
      </c>
      <c r="I35" s="928" t="str">
        <f t="shared" si="4"/>
        <v>P</v>
      </c>
      <c r="J35" s="928" t="str">
        <f t="shared" si="5"/>
        <v>PU</v>
      </c>
      <c r="K35" s="928" t="str">
        <f t="shared" si="6"/>
        <v>MBT</v>
      </c>
      <c r="L35" s="942" t="str">
        <f t="shared" si="7"/>
        <v>TPPUMBTGAS-N</v>
      </c>
      <c r="M35" s="942" t="str">
        <f t="shared" si="8"/>
        <v>TPPUMBTGAS-E</v>
      </c>
      <c r="N35" s="948" cm="1">
        <f t="array" ref="N35">INDEX(VehicleCostData2022!$T$16:$T$86,MATCH(1,(VehicleCostData2022!$R$16:$R$86=$E35)*(VehicleCostData2022!$S$16:$S$86=$F35),0))</f>
        <v>922889.00000000012</v>
      </c>
      <c r="O35" s="945">
        <f t="shared" si="16"/>
        <v>901024.93794285762</v>
      </c>
      <c r="P35" s="945">
        <f t="shared" si="16"/>
        <v>910071.30047390983</v>
      </c>
      <c r="Q35" s="945">
        <f t="shared" si="16"/>
        <v>919208.48920920654</v>
      </c>
      <c r="R35" s="945">
        <f t="shared" si="16"/>
        <v>928437.416051112</v>
      </c>
      <c r="S35" s="945">
        <f t="shared" si="16"/>
        <v>937759.00205756316</v>
      </c>
      <c r="T35" s="945">
        <f t="shared" si="16"/>
        <v>947174.17753399198</v>
      </c>
      <c r="U35" s="945">
        <f t="shared" si="16"/>
        <v>956683.88212617149</v>
      </c>
      <c r="V35" s="945">
        <f t="shared" si="16"/>
        <v>966289.06491399405</v>
      </c>
      <c r="W35" s="945">
        <f t="shared" si="16"/>
        <v>975990.68450618966</v>
      </c>
      <c r="X35" s="946">
        <v>2.7E-2</v>
      </c>
      <c r="Y35" s="947">
        <f t="shared" si="13"/>
        <v>24918.003000000004</v>
      </c>
      <c r="Z35" s="947">
        <f t="shared" si="10"/>
        <v>24327.673324457155</v>
      </c>
      <c r="AA35" s="947">
        <f t="shared" si="10"/>
        <v>24571.925112795565</v>
      </c>
      <c r="AB35" s="947">
        <f t="shared" si="10"/>
        <v>24818.629208648577</v>
      </c>
      <c r="AC35" s="947">
        <f t="shared" si="10"/>
        <v>25067.810233380023</v>
      </c>
      <c r="AD35" s="947">
        <f t="shared" si="10"/>
        <v>25319.493055554205</v>
      </c>
      <c r="AE35" s="947">
        <f t="shared" si="10"/>
        <v>25573.702793417782</v>
      </c>
      <c r="AF35" s="947">
        <f t="shared" si="10"/>
        <v>25830.464817406631</v>
      </c>
      <c r="AG35" s="947">
        <f t="shared" si="10"/>
        <v>26089.804752677839</v>
      </c>
      <c r="AH35" s="947">
        <f t="shared" si="10"/>
        <v>26351.74848166712</v>
      </c>
    </row>
    <row r="36" spans="1:34" x14ac:dyDescent="0.25">
      <c r="A36" s="928" t="s">
        <v>573</v>
      </c>
      <c r="B36" s="928" t="s">
        <v>613</v>
      </c>
      <c r="C36" s="928" t="s">
        <v>714</v>
      </c>
      <c r="D36" s="928" t="s">
        <v>680</v>
      </c>
      <c r="E36" s="928" t="s">
        <v>715</v>
      </c>
      <c r="F36" s="928" t="s">
        <v>680</v>
      </c>
      <c r="G36" s="942" t="str">
        <f t="shared" si="18"/>
        <v>ICE</v>
      </c>
      <c r="H36" s="943" t="s">
        <v>1114</v>
      </c>
      <c r="I36" s="928" t="str">
        <f t="shared" si="4"/>
        <v>P</v>
      </c>
      <c r="J36" s="928" t="str">
        <f t="shared" si="5"/>
        <v>PR</v>
      </c>
      <c r="K36" s="928" t="str">
        <f t="shared" si="6"/>
        <v>MOT</v>
      </c>
      <c r="L36" s="942" t="str">
        <f t="shared" si="7"/>
        <v>TPPRMOTOGS-N</v>
      </c>
      <c r="M36" s="942" t="str">
        <f t="shared" si="8"/>
        <v>TPPRMOTOGS-E</v>
      </c>
      <c r="N36" s="948" cm="1">
        <f t="array" ref="N36">INDEX(VehicleCostData2022!$T$16:$T$86,MATCH(1,(VehicleCostData2022!$R$16:$R$86=$E36)*(VehicleCostData2022!$S$16:$S$86=$F36),0))</f>
        <v>141176.4705882353</v>
      </c>
      <c r="O36" s="945">
        <f t="shared" si="16"/>
        <v>137831.87431073116</v>
      </c>
      <c r="P36" s="945">
        <f t="shared" si="16"/>
        <v>139215.71736639179</v>
      </c>
      <c r="Q36" s="945">
        <f t="shared" si="16"/>
        <v>140613.45431714944</v>
      </c>
      <c r="R36" s="945">
        <f t="shared" si="16"/>
        <v>142025.22465882351</v>
      </c>
      <c r="S36" s="945">
        <f t="shared" si="16"/>
        <v>143451.16928778263</v>
      </c>
      <c r="T36" s="945">
        <f t="shared" si="16"/>
        <v>144891.43051500621</v>
      </c>
      <c r="U36" s="945">
        <f t="shared" si="16"/>
        <v>146346.15208028723</v>
      </c>
      <c r="V36" s="945">
        <f t="shared" si="16"/>
        <v>147815.47916657783</v>
      </c>
      <c r="W36" s="945">
        <f t="shared" si="16"/>
        <v>149299.55841447855</v>
      </c>
      <c r="X36" s="946">
        <v>2.7E-2</v>
      </c>
      <c r="Y36" s="947">
        <f t="shared" si="13"/>
        <v>3811.7647058823532</v>
      </c>
      <c r="Z36" s="947">
        <f t="shared" si="10"/>
        <v>3721.4606063897413</v>
      </c>
      <c r="AA36" s="947">
        <f t="shared" si="10"/>
        <v>3758.8243688925781</v>
      </c>
      <c r="AB36" s="947">
        <f t="shared" si="10"/>
        <v>3796.5632665630351</v>
      </c>
      <c r="AC36" s="947">
        <f t="shared" si="10"/>
        <v>3834.6810657882347</v>
      </c>
      <c r="AD36" s="947">
        <f t="shared" si="10"/>
        <v>3873.1815707701307</v>
      </c>
      <c r="AE36" s="947">
        <f t="shared" si="10"/>
        <v>3912.0686239051679</v>
      </c>
      <c r="AF36" s="947">
        <f t="shared" si="10"/>
        <v>3951.3461061677549</v>
      </c>
      <c r="AG36" s="947">
        <f t="shared" si="10"/>
        <v>3991.0179374976015</v>
      </c>
      <c r="AH36" s="947">
        <f t="shared" si="10"/>
        <v>4031.088077190921</v>
      </c>
    </row>
    <row r="37" spans="1:34" x14ac:dyDescent="0.25">
      <c r="A37" s="928" t="s">
        <v>511</v>
      </c>
      <c r="B37" s="928" t="s">
        <v>613</v>
      </c>
      <c r="C37" s="928" t="s">
        <v>714</v>
      </c>
      <c r="D37" s="928" t="s">
        <v>680</v>
      </c>
      <c r="E37" s="928" t="s">
        <v>715</v>
      </c>
      <c r="F37" s="928" t="s">
        <v>688</v>
      </c>
      <c r="G37" s="942" t="str">
        <f t="shared" si="18"/>
        <v>HEV</v>
      </c>
      <c r="H37" s="943" t="s">
        <v>1114</v>
      </c>
      <c r="I37" s="928" t="str">
        <f t="shared" si="4"/>
        <v>P</v>
      </c>
      <c r="J37" s="928" t="str">
        <f t="shared" si="5"/>
        <v>PR</v>
      </c>
      <c r="K37" s="928" t="str">
        <f t="shared" si="6"/>
        <v>MOT</v>
      </c>
      <c r="L37" s="942" t="str">
        <f t="shared" si="7"/>
        <v>TPPRMOTODS-N</v>
      </c>
      <c r="M37" s="942" t="str">
        <f t="shared" si="8"/>
        <v>TPPRMOTODS-E</v>
      </c>
      <c r="N37" s="948" cm="1">
        <f t="array" ref="N37">INDEX(VehicleCostData2022!$T$16:$T$86,MATCH(1,(VehicleCostData2022!$R$16:$R$86=$E37)*(VehicleCostData2022!$S$16:$S$86=$F37),0))</f>
        <v>0</v>
      </c>
      <c r="O37" s="945">
        <f t="shared" si="16"/>
        <v>0</v>
      </c>
      <c r="P37" s="945">
        <f t="shared" si="16"/>
        <v>0</v>
      </c>
      <c r="Q37" s="945">
        <f t="shared" si="16"/>
        <v>0</v>
      </c>
      <c r="R37" s="945">
        <f t="shared" si="16"/>
        <v>0</v>
      </c>
      <c r="S37" s="945">
        <f t="shared" si="16"/>
        <v>0</v>
      </c>
      <c r="T37" s="945">
        <f t="shared" si="16"/>
        <v>0</v>
      </c>
      <c r="U37" s="945">
        <f t="shared" si="16"/>
        <v>0</v>
      </c>
      <c r="V37" s="945">
        <f t="shared" si="16"/>
        <v>0</v>
      </c>
      <c r="W37" s="945">
        <f t="shared" si="16"/>
        <v>0</v>
      </c>
      <c r="X37" s="946"/>
      <c r="Y37" s="947">
        <f t="shared" si="13"/>
        <v>0</v>
      </c>
      <c r="Z37" s="947">
        <f t="shared" si="10"/>
        <v>0</v>
      </c>
      <c r="AA37" s="947">
        <f t="shared" si="10"/>
        <v>0</v>
      </c>
      <c r="AB37" s="947">
        <f t="shared" si="10"/>
        <v>0</v>
      </c>
      <c r="AC37" s="947">
        <f t="shared" si="10"/>
        <v>0</v>
      </c>
      <c r="AD37" s="947">
        <f t="shared" si="10"/>
        <v>0</v>
      </c>
      <c r="AE37" s="947">
        <f t="shared" si="10"/>
        <v>0</v>
      </c>
      <c r="AF37" s="947">
        <f t="shared" si="10"/>
        <v>0</v>
      </c>
      <c r="AG37" s="947">
        <f t="shared" si="10"/>
        <v>0</v>
      </c>
      <c r="AH37" s="947">
        <f t="shared" si="10"/>
        <v>0</v>
      </c>
    </row>
    <row r="38" spans="1:34" x14ac:dyDescent="0.25">
      <c r="A38" s="928" t="s">
        <v>501</v>
      </c>
      <c r="B38" s="928" t="s">
        <v>613</v>
      </c>
      <c r="C38" s="928" t="s">
        <v>714</v>
      </c>
      <c r="D38" s="928" t="s">
        <v>680</v>
      </c>
      <c r="E38" s="928" t="s">
        <v>715</v>
      </c>
      <c r="F38" s="928" t="s">
        <v>692</v>
      </c>
      <c r="G38" s="942" t="str">
        <f t="shared" si="18"/>
        <v>BEV</v>
      </c>
      <c r="H38" s="943" t="s">
        <v>1114</v>
      </c>
      <c r="I38" s="928" t="str">
        <f t="shared" si="4"/>
        <v>P</v>
      </c>
      <c r="J38" s="928" t="str">
        <f t="shared" si="5"/>
        <v>PR</v>
      </c>
      <c r="K38" s="928" t="str">
        <f t="shared" si="6"/>
        <v>MOT</v>
      </c>
      <c r="L38" s="942" t="str">
        <f t="shared" si="7"/>
        <v>TPPRMOTELC-N</v>
      </c>
      <c r="M38" s="942" t="str">
        <f t="shared" si="8"/>
        <v>TPPRMOTELC-E</v>
      </c>
      <c r="N38" s="948" cm="1">
        <f t="array" ref="N38">INDEX(VehicleCostData2022!$T$16:$T$86,MATCH(1,(VehicleCostData2022!$R$16:$R$86=$E38)*(VehicleCostData2022!$S$16:$S$86=$F38),0))</f>
        <v>141176.4705882353</v>
      </c>
      <c r="O38" s="945">
        <f t="shared" si="16"/>
        <v>502744.23939254123</v>
      </c>
      <c r="P38" s="945">
        <f t="shared" si="16"/>
        <v>352091.00239074574</v>
      </c>
      <c r="Q38" s="945">
        <f t="shared" si="16"/>
        <v>201437.76538895027</v>
      </c>
      <c r="R38" s="945">
        <f t="shared" si="16"/>
        <v>131104.73457675768</v>
      </c>
      <c r="S38" s="945">
        <f t="shared" si="16"/>
        <v>114318.50789096161</v>
      </c>
      <c r="T38" s="945">
        <f t="shared" si="16"/>
        <v>111047.34576757539</v>
      </c>
      <c r="U38" s="945">
        <f t="shared" si="16"/>
        <v>107776.18364418943</v>
      </c>
      <c r="V38" s="945">
        <f t="shared" si="16"/>
        <v>104505.02152080345</v>
      </c>
      <c r="W38" s="945">
        <f t="shared" si="16"/>
        <v>101233.85939741747</v>
      </c>
      <c r="X38" s="946">
        <v>2.0250000000000001E-2</v>
      </c>
      <c r="Y38" s="947">
        <f t="shared" si="13"/>
        <v>2858.8235294117649</v>
      </c>
      <c r="Z38" s="947">
        <f t="shared" si="10"/>
        <v>10180.57084769896</v>
      </c>
      <c r="AA38" s="947">
        <f t="shared" si="10"/>
        <v>7129.842798412601</v>
      </c>
      <c r="AB38" s="947">
        <f t="shared" si="10"/>
        <v>4079.1147491262432</v>
      </c>
      <c r="AC38" s="947">
        <f t="shared" si="10"/>
        <v>2654.8708751793429</v>
      </c>
      <c r="AD38" s="947">
        <f t="shared" si="10"/>
        <v>2314.9497847919729</v>
      </c>
      <c r="AE38" s="947">
        <f t="shared" si="10"/>
        <v>2248.7087517934019</v>
      </c>
      <c r="AF38" s="947">
        <f t="shared" si="10"/>
        <v>2182.4677187948359</v>
      </c>
      <c r="AG38" s="947">
        <f t="shared" si="10"/>
        <v>2116.22668579627</v>
      </c>
      <c r="AH38" s="947">
        <f t="shared" si="10"/>
        <v>2049.985652797704</v>
      </c>
    </row>
    <row r="39" spans="1:34" x14ac:dyDescent="0.25">
      <c r="A39" s="928" t="s">
        <v>1348</v>
      </c>
      <c r="B39" s="928" t="s">
        <v>613</v>
      </c>
      <c r="C39" s="928" t="s">
        <v>714</v>
      </c>
      <c r="D39" s="928" t="s">
        <v>680</v>
      </c>
      <c r="E39" s="928" t="s">
        <v>715</v>
      </c>
      <c r="F39" s="928" t="s">
        <v>699</v>
      </c>
      <c r="G39" s="942" t="str">
        <f>IF(A39="HGNF",A39,RIGHT(F39,3))</f>
        <v>HGNF</v>
      </c>
      <c r="H39" s="943" t="s">
        <v>1114</v>
      </c>
      <c r="I39" s="928" t="str">
        <f t="shared" si="4"/>
        <v>P</v>
      </c>
      <c r="J39" s="928" t="str">
        <f t="shared" si="5"/>
        <v>PR</v>
      </c>
      <c r="K39" s="928" t="str">
        <f t="shared" si="6"/>
        <v>MOT</v>
      </c>
      <c r="L39" s="942" t="str">
        <f t="shared" si="7"/>
        <v>TPPRMOTHGNF-N</v>
      </c>
      <c r="M39" s="942" t="str">
        <f t="shared" si="8"/>
        <v>TPPRMOTHGNF-E</v>
      </c>
      <c r="N39" s="948" cm="1">
        <f t="array" ref="N39">INDEX(VehicleCostData2022!$T$16:$T$86,MATCH(1,(VehicleCostData2022!$R$16:$R$86=$E39)*(VehicleCostData2022!$S$16:$S$86=$F39),0))</f>
        <v>0</v>
      </c>
      <c r="O39" s="945">
        <f t="shared" si="16"/>
        <v>0</v>
      </c>
      <c r="P39" s="945">
        <f t="shared" si="16"/>
        <v>0</v>
      </c>
      <c r="Q39" s="945">
        <f t="shared" si="16"/>
        <v>0</v>
      </c>
      <c r="R39" s="945">
        <f t="shared" si="16"/>
        <v>0</v>
      </c>
      <c r="S39" s="945">
        <f t="shared" si="16"/>
        <v>0</v>
      </c>
      <c r="T39" s="945">
        <f t="shared" si="16"/>
        <v>0</v>
      </c>
      <c r="U39" s="945">
        <f t="shared" si="16"/>
        <v>0</v>
      </c>
      <c r="V39" s="945">
        <f t="shared" si="16"/>
        <v>0</v>
      </c>
      <c r="W39" s="945">
        <f t="shared" si="16"/>
        <v>0</v>
      </c>
      <c r="X39" s="946"/>
      <c r="Y39" s="947">
        <f t="shared" si="13"/>
        <v>0</v>
      </c>
      <c r="Z39" s="947">
        <f t="shared" si="10"/>
        <v>0</v>
      </c>
      <c r="AA39" s="947">
        <f t="shared" si="10"/>
        <v>0</v>
      </c>
      <c r="AB39" s="947">
        <f t="shared" si="10"/>
        <v>0</v>
      </c>
      <c r="AC39" s="947">
        <f t="shared" si="10"/>
        <v>0</v>
      </c>
      <c r="AD39" s="947">
        <f t="shared" si="10"/>
        <v>0</v>
      </c>
      <c r="AE39" s="947">
        <f t="shared" si="10"/>
        <v>0</v>
      </c>
      <c r="AF39" s="947">
        <f t="shared" si="10"/>
        <v>0</v>
      </c>
      <c r="AG39" s="947">
        <f t="shared" si="10"/>
        <v>0</v>
      </c>
      <c r="AH39" s="947">
        <f t="shared" si="10"/>
        <v>0</v>
      </c>
    </row>
    <row r="40" spans="1:34" x14ac:dyDescent="0.25">
      <c r="A40" s="928" t="s">
        <v>511</v>
      </c>
      <c r="B40" s="928" t="s">
        <v>613</v>
      </c>
      <c r="C40" s="928" t="s">
        <v>563</v>
      </c>
      <c r="D40" s="928" t="s">
        <v>687</v>
      </c>
      <c r="E40" s="928" t="s">
        <v>60</v>
      </c>
      <c r="F40" s="928" t="s">
        <v>687</v>
      </c>
      <c r="G40" s="942" t="str">
        <f t="shared" ref="G40:G42" si="19">IF(A40="HGN",A40,RIGHT(F40,3))</f>
        <v>ICE</v>
      </c>
      <c r="H40" s="943" t="s">
        <v>1114</v>
      </c>
      <c r="I40" s="928" t="str">
        <f t="shared" si="4"/>
        <v>P</v>
      </c>
      <c r="J40" s="928" t="str">
        <f t="shared" si="5"/>
        <v>PU</v>
      </c>
      <c r="K40" s="928" t="str">
        <f t="shared" si="6"/>
        <v>BUS</v>
      </c>
      <c r="L40" s="942" t="str">
        <f t="shared" si="7"/>
        <v>TPPUBUSODS-N</v>
      </c>
      <c r="M40" s="942" t="str">
        <f t="shared" si="8"/>
        <v>TPPUBUSODS-E</v>
      </c>
      <c r="N40" s="948" cm="1">
        <f t="array" ref="N40">INDEX(VehicleCostData2022!$T$16:$T$86,MATCH(1,(VehicleCostData2022!$R$16:$R$86=$E40)*(VehicleCostData2022!$S$16:$S$86=$F40),0))</f>
        <v>1681623.7261979403</v>
      </c>
      <c r="O40" s="945">
        <f t="shared" si="16"/>
        <v>1641784.5629764099</v>
      </c>
      <c r="P40" s="945">
        <f t="shared" si="16"/>
        <v>1658268.2114628535</v>
      </c>
      <c r="Q40" s="945">
        <f t="shared" si="16"/>
        <v>1674917.3571001117</v>
      </c>
      <c r="R40" s="945">
        <f t="shared" si="16"/>
        <v>1691733.661492832</v>
      </c>
      <c r="S40" s="945">
        <f t="shared" si="16"/>
        <v>1708718.8029283057</v>
      </c>
      <c r="T40" s="945">
        <f t="shared" si="16"/>
        <v>1725874.4765439623</v>
      </c>
      <c r="U40" s="945">
        <f t="shared" si="16"/>
        <v>1743202.3944965466</v>
      </c>
      <c r="V40" s="945">
        <f t="shared" si="16"/>
        <v>1760704.2861329953</v>
      </c>
      <c r="W40" s="945">
        <f t="shared" si="16"/>
        <v>1778381.898163026</v>
      </c>
      <c r="X40" s="946">
        <v>2.7E-2</v>
      </c>
      <c r="Y40" s="947">
        <f t="shared" si="13"/>
        <v>45403.840607344384</v>
      </c>
      <c r="Z40" s="947">
        <f t="shared" si="10"/>
        <v>44328.18320036307</v>
      </c>
      <c r="AA40" s="947">
        <f t="shared" si="10"/>
        <v>44773.241709497044</v>
      </c>
      <c r="AB40" s="947">
        <f t="shared" si="10"/>
        <v>45222.768641703013</v>
      </c>
      <c r="AC40" s="947">
        <f t="shared" ref="AC40:AH82" si="20">R40*$X40</f>
        <v>45676.808860306461</v>
      </c>
      <c r="AD40" s="947">
        <f t="shared" si="20"/>
        <v>46135.40767906425</v>
      </c>
      <c r="AE40" s="947">
        <f t="shared" si="20"/>
        <v>46598.610866686977</v>
      </c>
      <c r="AF40" s="947">
        <f t="shared" si="20"/>
        <v>47066.464651406757</v>
      </c>
      <c r="AG40" s="947">
        <f t="shared" si="20"/>
        <v>47539.015725590871</v>
      </c>
      <c r="AH40" s="947">
        <f t="shared" si="20"/>
        <v>48016.311250401697</v>
      </c>
    </row>
    <row r="41" spans="1:34" x14ac:dyDescent="0.25">
      <c r="A41" s="928" t="s">
        <v>506</v>
      </c>
      <c r="B41" s="928" t="s">
        <v>613</v>
      </c>
      <c r="C41" s="928" t="s">
        <v>563</v>
      </c>
      <c r="D41" s="928" t="s">
        <v>687</v>
      </c>
      <c r="E41" s="928" t="s">
        <v>60</v>
      </c>
      <c r="F41" s="928" t="s">
        <v>687</v>
      </c>
      <c r="G41" s="942" t="str">
        <f t="shared" si="19"/>
        <v>ICE</v>
      </c>
      <c r="H41" s="943" t="s">
        <v>1114</v>
      </c>
      <c r="I41" s="928" t="str">
        <f t="shared" si="4"/>
        <v>P</v>
      </c>
      <c r="J41" s="928" t="str">
        <f t="shared" si="5"/>
        <v>PU</v>
      </c>
      <c r="K41" s="928" t="str">
        <f t="shared" si="6"/>
        <v>BUS</v>
      </c>
      <c r="L41" s="942" t="str">
        <f t="shared" si="7"/>
        <v>TPPUBUSBGS-N</v>
      </c>
      <c r="M41" s="942" t="str">
        <f t="shared" si="8"/>
        <v>TPPUBUSBGS-E</v>
      </c>
      <c r="N41" s="948" cm="1">
        <f t="array" ref="N41">INDEX(VehicleCostData2022!$T$16:$T$86,MATCH(1,(VehicleCostData2022!$R$16:$R$86=$E41)*(VehicleCostData2022!$S$16:$S$86=$F41),0))</f>
        <v>1681623.7261979403</v>
      </c>
      <c r="O41" s="945">
        <f t="shared" si="16"/>
        <v>1641784.5629764099</v>
      </c>
      <c r="P41" s="945">
        <f t="shared" si="16"/>
        <v>1658268.2114628535</v>
      </c>
      <c r="Q41" s="945">
        <f t="shared" si="16"/>
        <v>1674917.3571001117</v>
      </c>
      <c r="R41" s="945">
        <f t="shared" si="16"/>
        <v>1691733.661492832</v>
      </c>
      <c r="S41" s="945">
        <f t="shared" si="16"/>
        <v>1708718.8029283057</v>
      </c>
      <c r="T41" s="945">
        <f t="shared" si="16"/>
        <v>1725874.4765439623</v>
      </c>
      <c r="U41" s="945">
        <f t="shared" si="16"/>
        <v>1743202.3944965466</v>
      </c>
      <c r="V41" s="945">
        <f t="shared" si="16"/>
        <v>1760704.2861329953</v>
      </c>
      <c r="W41" s="945">
        <f t="shared" si="16"/>
        <v>1778381.898163026</v>
      </c>
      <c r="X41" s="946">
        <v>2.7E-2</v>
      </c>
      <c r="Y41" s="947">
        <f t="shared" si="13"/>
        <v>45403.840607344384</v>
      </c>
      <c r="Z41" s="947">
        <f t="shared" si="13"/>
        <v>44328.18320036307</v>
      </c>
      <c r="AA41" s="947">
        <f t="shared" si="13"/>
        <v>44773.241709497044</v>
      </c>
      <c r="AB41" s="947">
        <f t="shared" si="13"/>
        <v>45222.768641703013</v>
      </c>
      <c r="AC41" s="947">
        <f t="shared" si="20"/>
        <v>45676.808860306461</v>
      </c>
      <c r="AD41" s="947">
        <f t="shared" si="20"/>
        <v>46135.40767906425</v>
      </c>
      <c r="AE41" s="947">
        <f t="shared" si="20"/>
        <v>46598.610866686977</v>
      </c>
      <c r="AF41" s="947">
        <f t="shared" si="20"/>
        <v>47066.464651406757</v>
      </c>
      <c r="AG41" s="947">
        <f t="shared" si="20"/>
        <v>47539.015725590871</v>
      </c>
      <c r="AH41" s="947">
        <f t="shared" si="20"/>
        <v>48016.311250401697</v>
      </c>
    </row>
    <row r="42" spans="1:34" x14ac:dyDescent="0.25">
      <c r="A42" s="928" t="s">
        <v>501</v>
      </c>
      <c r="B42" s="928" t="s">
        <v>613</v>
      </c>
      <c r="C42" s="928" t="s">
        <v>563</v>
      </c>
      <c r="D42" s="928" t="s">
        <v>687</v>
      </c>
      <c r="E42" s="928" t="s">
        <v>60</v>
      </c>
      <c r="F42" s="928" t="s">
        <v>692</v>
      </c>
      <c r="G42" s="942" t="str">
        <f t="shared" si="19"/>
        <v>BEV</v>
      </c>
      <c r="H42" s="943" t="s">
        <v>1114</v>
      </c>
      <c r="I42" s="928" t="str">
        <f t="shared" si="4"/>
        <v>P</v>
      </c>
      <c r="J42" s="928" t="str">
        <f t="shared" si="5"/>
        <v>PU</v>
      </c>
      <c r="K42" s="928" t="str">
        <f t="shared" si="6"/>
        <v>BUS</v>
      </c>
      <c r="L42" s="942" t="str">
        <f t="shared" si="7"/>
        <v>TPPUBUSELC-N</v>
      </c>
      <c r="M42" s="942" t="str">
        <f t="shared" si="8"/>
        <v>TPPUBUSELC-E</v>
      </c>
      <c r="N42" s="948" cm="1">
        <f t="array" ref="N42">INDEX(VehicleCostData2022!$T$16:$T$86,MATCH(1,(VehicleCostData2022!$R$16:$R$86=$E42)*(VehicleCostData2022!$S$16:$S$86=$F42),0))</f>
        <v>1718711.9348504476</v>
      </c>
      <c r="O42" s="945">
        <f t="shared" si="16"/>
        <v>6120513.7146506701</v>
      </c>
      <c r="P42" s="945">
        <f t="shared" si="16"/>
        <v>4286429.6397338947</v>
      </c>
      <c r="Q42" s="945">
        <f t="shared" si="16"/>
        <v>2452345.5648171189</v>
      </c>
      <c r="R42" s="945">
        <f t="shared" si="16"/>
        <v>1596096.5102300209</v>
      </c>
      <c r="S42" s="945">
        <f t="shared" si="16"/>
        <v>1391737.4691959764</v>
      </c>
      <c r="T42" s="945">
        <f t="shared" si="16"/>
        <v>1351913.6560713896</v>
      </c>
      <c r="U42" s="945">
        <f t="shared" si="16"/>
        <v>1312089.8429468055</v>
      </c>
      <c r="V42" s="945">
        <f t="shared" si="16"/>
        <v>1272266.0298222215</v>
      </c>
      <c r="W42" s="945">
        <f t="shared" si="16"/>
        <v>1232442.2166976377</v>
      </c>
      <c r="X42" s="946">
        <v>2.0250000000000001E-2</v>
      </c>
      <c r="Y42" s="947">
        <f t="shared" si="13"/>
        <v>34803.916680721566</v>
      </c>
      <c r="Z42" s="947">
        <f t="shared" si="13"/>
        <v>123940.40272167607</v>
      </c>
      <c r="AA42" s="947">
        <f t="shared" si="13"/>
        <v>86800.200204611378</v>
      </c>
      <c r="AB42" s="947">
        <f t="shared" si="13"/>
        <v>49659.99768754666</v>
      </c>
      <c r="AC42" s="947">
        <f t="shared" si="20"/>
        <v>32320.954332157922</v>
      </c>
      <c r="AD42" s="947">
        <f t="shared" si="20"/>
        <v>28182.683751218523</v>
      </c>
      <c r="AE42" s="947">
        <f t="shared" si="20"/>
        <v>27376.251535445641</v>
      </c>
      <c r="AF42" s="947">
        <f t="shared" si="20"/>
        <v>26569.819319672813</v>
      </c>
      <c r="AG42" s="947">
        <f t="shared" si="20"/>
        <v>25763.387103899986</v>
      </c>
      <c r="AH42" s="947">
        <f t="shared" si="20"/>
        <v>24956.954888127166</v>
      </c>
    </row>
    <row r="43" spans="1:34" x14ac:dyDescent="0.25">
      <c r="A43" s="928" t="s">
        <v>1348</v>
      </c>
      <c r="B43" s="928" t="s">
        <v>613</v>
      </c>
      <c r="C43" s="928" t="s">
        <v>563</v>
      </c>
      <c r="D43" s="928" t="s">
        <v>687</v>
      </c>
      <c r="E43" s="928" t="s">
        <v>60</v>
      </c>
      <c r="F43" s="928" t="s">
        <v>699</v>
      </c>
      <c r="G43" s="942" t="str">
        <f>IF(A43="HGNF",A43,RIGHT(F43,3))</f>
        <v>HGNF</v>
      </c>
      <c r="H43" s="943" t="s">
        <v>1114</v>
      </c>
      <c r="I43" s="928" t="str">
        <f t="shared" ref="I43:I74" si="21">IF(B43="PAS","P","F")</f>
        <v>P</v>
      </c>
      <c r="J43" s="928" t="str">
        <f t="shared" ref="J43:J74" si="22">IF(I43="P",IF(OR(C43="CAR",C43="SUV",C43="MOT"),"PR","PU"),C43)</f>
        <v>PU</v>
      </c>
      <c r="K43" s="928" t="str">
        <f t="shared" ref="K43:K74" si="23">IF(I43="P",C43,"")</f>
        <v>BUS</v>
      </c>
      <c r="L43" s="942" t="str">
        <f t="shared" ref="L43:L74" si="24">H43&amp;I43&amp;J43&amp;K43&amp;A43&amp;"-N"</f>
        <v>TPPUBUSHGNF-N</v>
      </c>
      <c r="M43" s="942" t="str">
        <f t="shared" ref="M43:M74" si="25">H43&amp;I43&amp;J43&amp;K43&amp;A43&amp;"-E"</f>
        <v>TPPUBUSHGNF-E</v>
      </c>
      <c r="N43" s="948" cm="1">
        <f t="array" ref="N43">INDEX(VehicleCostData2022!$T$16:$T$86,MATCH(1,(VehicleCostData2022!$R$16:$R$86=$E43)*(VehicleCostData2022!$S$16:$S$86=$F43),0))</f>
        <v>2416886.24070324</v>
      </c>
      <c r="O43" s="945">
        <f t="shared" si="16"/>
        <v>8606785.7463629283</v>
      </c>
      <c r="P43" s="945">
        <f t="shared" si="16"/>
        <v>6027660.9523380352</v>
      </c>
      <c r="Q43" s="945">
        <f t="shared" si="16"/>
        <v>3448536.1583131421</v>
      </c>
      <c r="R43" s="945">
        <f t="shared" si="16"/>
        <v>2244462.0393847795</v>
      </c>
      <c r="S43" s="945">
        <f t="shared" si="16"/>
        <v>1957088.3705206783</v>
      </c>
      <c r="T43" s="945">
        <f t="shared" si="16"/>
        <v>1901087.3478702325</v>
      </c>
      <c r="U43" s="945">
        <f t="shared" si="16"/>
        <v>1845086.3252197911</v>
      </c>
      <c r="V43" s="945">
        <f t="shared" si="16"/>
        <v>1789085.3025693495</v>
      </c>
      <c r="W43" s="945">
        <f t="shared" si="16"/>
        <v>1733084.2799189081</v>
      </c>
      <c r="X43" s="946">
        <v>2.7E-2</v>
      </c>
      <c r="Y43" s="947">
        <f t="shared" si="13"/>
        <v>65255.92849898748</v>
      </c>
      <c r="Z43" s="947">
        <f t="shared" si="13"/>
        <v>232383.21515179906</v>
      </c>
      <c r="AA43" s="947">
        <f t="shared" si="13"/>
        <v>162746.84571312694</v>
      </c>
      <c r="AB43" s="947">
        <f t="shared" si="13"/>
        <v>93110.476274454835</v>
      </c>
      <c r="AC43" s="947">
        <f t="shared" si="20"/>
        <v>60600.475063389043</v>
      </c>
      <c r="AD43" s="947">
        <f t="shared" si="20"/>
        <v>52841.386004058317</v>
      </c>
      <c r="AE43" s="947">
        <f t="shared" si="20"/>
        <v>51329.35839249628</v>
      </c>
      <c r="AF43" s="947">
        <f t="shared" si="20"/>
        <v>49817.330780934361</v>
      </c>
      <c r="AG43" s="947">
        <f t="shared" si="20"/>
        <v>48305.303169372433</v>
      </c>
      <c r="AH43" s="947">
        <f t="shared" si="20"/>
        <v>46793.275557810521</v>
      </c>
    </row>
    <row r="44" spans="1:34" x14ac:dyDescent="0.25">
      <c r="A44" s="928" t="s">
        <v>509</v>
      </c>
      <c r="B44" s="928" t="s">
        <v>613</v>
      </c>
      <c r="C44" s="928" t="s">
        <v>563</v>
      </c>
      <c r="D44" s="928" t="s">
        <v>687</v>
      </c>
      <c r="E44" s="928" t="s">
        <v>60</v>
      </c>
      <c r="F44" s="928" t="s">
        <v>700</v>
      </c>
      <c r="G44" s="942" t="str">
        <f t="shared" ref="G44:G47" si="26">IF(A44="HGN",A44,RIGHT(F44,3))</f>
        <v>ICE</v>
      </c>
      <c r="H44" s="943" t="s">
        <v>1114</v>
      </c>
      <c r="I44" s="928" t="str">
        <f t="shared" si="21"/>
        <v>P</v>
      </c>
      <c r="J44" s="928" t="str">
        <f t="shared" si="22"/>
        <v>PU</v>
      </c>
      <c r="K44" s="928" t="str">
        <f t="shared" si="23"/>
        <v>BUS</v>
      </c>
      <c r="L44" s="942" t="str">
        <f t="shared" si="24"/>
        <v>TPPUBUSGAS-N</v>
      </c>
      <c r="M44" s="942" t="str">
        <f t="shared" si="25"/>
        <v>TPPUBUSGAS-E</v>
      </c>
      <c r="N44" s="948" cm="1">
        <f t="array" ref="N44">INDEX(VehicleCostData2022!$T$16:$T$86,MATCH(1,(VehicleCostData2022!$R$16:$R$86=$E44)*(VehicleCostData2022!$S$16:$S$86=$F44),0))</f>
        <v>1783011.9060877543</v>
      </c>
      <c r="O44" s="945">
        <f t="shared" si="16"/>
        <v>1740770.7666188402</v>
      </c>
      <c r="P44" s="945">
        <f t="shared" si="16"/>
        <v>1758248.2445166721</v>
      </c>
      <c r="Q44" s="945">
        <f t="shared" si="16"/>
        <v>1775901.197692195</v>
      </c>
      <c r="R44" s="945">
        <f t="shared" si="16"/>
        <v>1793731.3879312489</v>
      </c>
      <c r="S44" s="945">
        <f t="shared" si="16"/>
        <v>1811740.5947081456</v>
      </c>
      <c r="T44" s="945">
        <f t="shared" si="16"/>
        <v>1829930.6153632603</v>
      </c>
      <c r="U44" s="945">
        <f t="shared" si="16"/>
        <v>1848303.265282409</v>
      </c>
      <c r="V44" s="945">
        <f t="shared" si="16"/>
        <v>1866860.3780780288</v>
      </c>
      <c r="W44" s="945">
        <f t="shared" si="16"/>
        <v>1885603.8057721709</v>
      </c>
      <c r="X44" s="946">
        <v>2.7E-2</v>
      </c>
      <c r="Y44" s="947">
        <f t="shared" si="13"/>
        <v>48141.321464369365</v>
      </c>
      <c r="Z44" s="947">
        <f t="shared" si="13"/>
        <v>47000.810698708687</v>
      </c>
      <c r="AA44" s="947">
        <f t="shared" si="13"/>
        <v>47472.702601950143</v>
      </c>
      <c r="AB44" s="947">
        <f t="shared" si="13"/>
        <v>47949.332337689266</v>
      </c>
      <c r="AC44" s="947">
        <f t="shared" si="20"/>
        <v>48430.747474143718</v>
      </c>
      <c r="AD44" s="947">
        <f t="shared" si="20"/>
        <v>48916.996057119934</v>
      </c>
      <c r="AE44" s="947">
        <f t="shared" si="20"/>
        <v>49408.126614808025</v>
      </c>
      <c r="AF44" s="947">
        <f t="shared" si="20"/>
        <v>49904.18816262504</v>
      </c>
      <c r="AG44" s="947">
        <f t="shared" si="20"/>
        <v>50405.230208106776</v>
      </c>
      <c r="AH44" s="947">
        <f t="shared" si="20"/>
        <v>50911.302755848614</v>
      </c>
    </row>
    <row r="45" spans="1:34" x14ac:dyDescent="0.25">
      <c r="A45" s="928" t="s">
        <v>511</v>
      </c>
      <c r="B45" s="928" t="s">
        <v>613</v>
      </c>
      <c r="C45" s="928" t="s">
        <v>59</v>
      </c>
      <c r="D45" s="928" t="s">
        <v>687</v>
      </c>
      <c r="E45" s="928" t="s">
        <v>60</v>
      </c>
      <c r="F45" s="928" t="s">
        <v>687</v>
      </c>
      <c r="G45" s="942" t="str">
        <f t="shared" si="26"/>
        <v>ICE</v>
      </c>
      <c r="H45" s="943" t="s">
        <v>1114</v>
      </c>
      <c r="I45" s="928" t="str">
        <f t="shared" si="21"/>
        <v>P</v>
      </c>
      <c r="J45" s="928" t="str">
        <f t="shared" si="22"/>
        <v>PU</v>
      </c>
      <c r="K45" s="928" t="str">
        <f t="shared" si="23"/>
        <v>BRT</v>
      </c>
      <c r="L45" s="942" t="str">
        <f t="shared" si="24"/>
        <v>TPPUBRTODS-N</v>
      </c>
      <c r="M45" s="942" t="str">
        <f t="shared" si="25"/>
        <v>TPPUBRTODS-E</v>
      </c>
      <c r="N45" s="948" cm="1">
        <f t="array" ref="N45">INDEX(VehicleCostData2022!$T$16:$T$86,MATCH(1,(VehicleCostData2022!$R$16:$R$86=$E45)*(VehicleCostData2022!$S$16:$S$86=$F45),0))</f>
        <v>1681623.7261979403</v>
      </c>
      <c r="O45" s="945">
        <f t="shared" ref="O45:W60" si="27">$N45*INDEX($O$3:$W$6,MATCH($G45,$K$3:$K$6,0),MATCH(O$10,$O$2:$W$2,0))</f>
        <v>1641784.5629764099</v>
      </c>
      <c r="P45" s="945">
        <f t="shared" si="27"/>
        <v>1658268.2114628535</v>
      </c>
      <c r="Q45" s="945">
        <f t="shared" si="27"/>
        <v>1674917.3571001117</v>
      </c>
      <c r="R45" s="945">
        <f t="shared" si="27"/>
        <v>1691733.661492832</v>
      </c>
      <c r="S45" s="945">
        <f t="shared" si="27"/>
        <v>1708718.8029283057</v>
      </c>
      <c r="T45" s="945">
        <f t="shared" si="27"/>
        <v>1725874.4765439623</v>
      </c>
      <c r="U45" s="945">
        <f t="shared" si="27"/>
        <v>1743202.3944965466</v>
      </c>
      <c r="V45" s="945">
        <f t="shared" si="27"/>
        <v>1760704.2861329953</v>
      </c>
      <c r="W45" s="945">
        <f t="shared" si="27"/>
        <v>1778381.898163026</v>
      </c>
      <c r="X45" s="946">
        <v>2.7E-2</v>
      </c>
      <c r="Y45" s="947">
        <f t="shared" si="13"/>
        <v>45403.840607344384</v>
      </c>
      <c r="Z45" s="947">
        <f t="shared" si="13"/>
        <v>44328.18320036307</v>
      </c>
      <c r="AA45" s="947">
        <f t="shared" si="13"/>
        <v>44773.241709497044</v>
      </c>
      <c r="AB45" s="947">
        <f t="shared" si="13"/>
        <v>45222.768641703013</v>
      </c>
      <c r="AC45" s="947">
        <f t="shared" si="20"/>
        <v>45676.808860306461</v>
      </c>
      <c r="AD45" s="947">
        <f t="shared" si="20"/>
        <v>46135.40767906425</v>
      </c>
      <c r="AE45" s="947">
        <f t="shared" si="20"/>
        <v>46598.610866686977</v>
      </c>
      <c r="AF45" s="947">
        <f t="shared" si="20"/>
        <v>47066.464651406757</v>
      </c>
      <c r="AG45" s="947">
        <f t="shared" si="20"/>
        <v>47539.015725590871</v>
      </c>
      <c r="AH45" s="947">
        <f t="shared" si="20"/>
        <v>48016.311250401697</v>
      </c>
    </row>
    <row r="46" spans="1:34" x14ac:dyDescent="0.25">
      <c r="A46" s="928" t="s">
        <v>506</v>
      </c>
      <c r="B46" s="928" t="s">
        <v>613</v>
      </c>
      <c r="C46" s="928" t="s">
        <v>59</v>
      </c>
      <c r="D46" s="928" t="s">
        <v>687</v>
      </c>
      <c r="E46" s="928" t="s">
        <v>60</v>
      </c>
      <c r="F46" s="928" t="s">
        <v>687</v>
      </c>
      <c r="G46" s="942" t="str">
        <f t="shared" si="26"/>
        <v>ICE</v>
      </c>
      <c r="H46" s="943" t="s">
        <v>1114</v>
      </c>
      <c r="I46" s="928" t="str">
        <f t="shared" si="21"/>
        <v>P</v>
      </c>
      <c r="J46" s="928" t="str">
        <f t="shared" si="22"/>
        <v>PU</v>
      </c>
      <c r="K46" s="928" t="str">
        <f t="shared" si="23"/>
        <v>BRT</v>
      </c>
      <c r="L46" s="942" t="str">
        <f t="shared" si="24"/>
        <v>TPPUBRTBGS-N</v>
      </c>
      <c r="M46" s="942" t="str">
        <f t="shared" si="25"/>
        <v>TPPUBRTBGS-E</v>
      </c>
      <c r="N46" s="948" cm="1">
        <f t="array" ref="N46">INDEX(VehicleCostData2022!$T$16:$T$86,MATCH(1,(VehicleCostData2022!$R$16:$R$86=$E46)*(VehicleCostData2022!$S$16:$S$86=$F46),0))</f>
        <v>1681623.7261979403</v>
      </c>
      <c r="O46" s="945">
        <f t="shared" si="27"/>
        <v>1641784.5629764099</v>
      </c>
      <c r="P46" s="945">
        <f t="shared" si="27"/>
        <v>1658268.2114628535</v>
      </c>
      <c r="Q46" s="945">
        <f t="shared" si="27"/>
        <v>1674917.3571001117</v>
      </c>
      <c r="R46" s="945">
        <f t="shared" si="27"/>
        <v>1691733.661492832</v>
      </c>
      <c r="S46" s="945">
        <f t="shared" si="27"/>
        <v>1708718.8029283057</v>
      </c>
      <c r="T46" s="945">
        <f t="shared" si="27"/>
        <v>1725874.4765439623</v>
      </c>
      <c r="U46" s="945">
        <f t="shared" si="27"/>
        <v>1743202.3944965466</v>
      </c>
      <c r="V46" s="945">
        <f t="shared" si="27"/>
        <v>1760704.2861329953</v>
      </c>
      <c r="W46" s="945">
        <f t="shared" si="27"/>
        <v>1778381.898163026</v>
      </c>
      <c r="X46" s="946">
        <v>2.7E-2</v>
      </c>
      <c r="Y46" s="947">
        <f t="shared" si="13"/>
        <v>45403.840607344384</v>
      </c>
      <c r="Z46" s="947">
        <f t="shared" si="13"/>
        <v>44328.18320036307</v>
      </c>
      <c r="AA46" s="947">
        <f t="shared" si="13"/>
        <v>44773.241709497044</v>
      </c>
      <c r="AB46" s="947">
        <f t="shared" si="13"/>
        <v>45222.768641703013</v>
      </c>
      <c r="AC46" s="947">
        <f t="shared" si="20"/>
        <v>45676.808860306461</v>
      </c>
      <c r="AD46" s="947">
        <f t="shared" si="20"/>
        <v>46135.40767906425</v>
      </c>
      <c r="AE46" s="947">
        <f t="shared" si="20"/>
        <v>46598.610866686977</v>
      </c>
      <c r="AF46" s="947">
        <f t="shared" si="20"/>
        <v>47066.464651406757</v>
      </c>
      <c r="AG46" s="947">
        <f t="shared" si="20"/>
        <v>47539.015725590871</v>
      </c>
      <c r="AH46" s="947">
        <f t="shared" si="20"/>
        <v>48016.311250401697</v>
      </c>
    </row>
    <row r="47" spans="1:34" x14ac:dyDescent="0.25">
      <c r="A47" s="928" t="s">
        <v>501</v>
      </c>
      <c r="B47" s="928" t="s">
        <v>613</v>
      </c>
      <c r="C47" s="928" t="s">
        <v>59</v>
      </c>
      <c r="D47" s="928" t="s">
        <v>687</v>
      </c>
      <c r="E47" s="928" t="s">
        <v>60</v>
      </c>
      <c r="F47" s="928" t="s">
        <v>692</v>
      </c>
      <c r="G47" s="942" t="str">
        <f t="shared" si="26"/>
        <v>BEV</v>
      </c>
      <c r="H47" s="943" t="s">
        <v>1114</v>
      </c>
      <c r="I47" s="928" t="str">
        <f t="shared" si="21"/>
        <v>P</v>
      </c>
      <c r="J47" s="928" t="str">
        <f t="shared" si="22"/>
        <v>PU</v>
      </c>
      <c r="K47" s="928" t="str">
        <f t="shared" si="23"/>
        <v>BRT</v>
      </c>
      <c r="L47" s="942" t="str">
        <f t="shared" si="24"/>
        <v>TPPUBRTELC-N</v>
      </c>
      <c r="M47" s="942" t="str">
        <f t="shared" si="25"/>
        <v>TPPUBRTELC-E</v>
      </c>
      <c r="N47" s="948" cm="1">
        <f t="array" ref="N47">INDEX(VehicleCostData2022!$T$16:$T$86,MATCH(1,(VehicleCostData2022!$R$16:$R$86=$E47)*(VehicleCostData2022!$S$16:$S$86=$F47),0))</f>
        <v>1718711.9348504476</v>
      </c>
      <c r="O47" s="945">
        <f t="shared" si="27"/>
        <v>6120513.7146506701</v>
      </c>
      <c r="P47" s="945">
        <f t="shared" si="27"/>
        <v>4286429.6397338947</v>
      </c>
      <c r="Q47" s="945">
        <f t="shared" si="27"/>
        <v>2452345.5648171189</v>
      </c>
      <c r="R47" s="945">
        <f t="shared" si="27"/>
        <v>1596096.5102300209</v>
      </c>
      <c r="S47" s="945">
        <f t="shared" si="27"/>
        <v>1391737.4691959764</v>
      </c>
      <c r="T47" s="945">
        <f t="shared" si="27"/>
        <v>1351913.6560713896</v>
      </c>
      <c r="U47" s="945">
        <f t="shared" si="27"/>
        <v>1312089.8429468055</v>
      </c>
      <c r="V47" s="945">
        <f t="shared" si="27"/>
        <v>1272266.0298222215</v>
      </c>
      <c r="W47" s="945">
        <f t="shared" si="27"/>
        <v>1232442.2166976377</v>
      </c>
      <c r="X47" s="946">
        <v>2.0250000000000001E-2</v>
      </c>
      <c r="Y47" s="947">
        <f t="shared" si="13"/>
        <v>34803.916680721566</v>
      </c>
      <c r="Z47" s="947">
        <f t="shared" si="13"/>
        <v>123940.40272167607</v>
      </c>
      <c r="AA47" s="947">
        <f t="shared" si="13"/>
        <v>86800.200204611378</v>
      </c>
      <c r="AB47" s="947">
        <f t="shared" si="13"/>
        <v>49659.99768754666</v>
      </c>
      <c r="AC47" s="947">
        <f t="shared" si="20"/>
        <v>32320.954332157922</v>
      </c>
      <c r="AD47" s="947">
        <f t="shared" si="20"/>
        <v>28182.683751218523</v>
      </c>
      <c r="AE47" s="947">
        <f t="shared" si="20"/>
        <v>27376.251535445641</v>
      </c>
      <c r="AF47" s="947">
        <f t="shared" si="20"/>
        <v>26569.819319672813</v>
      </c>
      <c r="AG47" s="947">
        <f t="shared" si="20"/>
        <v>25763.387103899986</v>
      </c>
      <c r="AH47" s="947">
        <f t="shared" si="20"/>
        <v>24956.954888127166</v>
      </c>
    </row>
    <row r="48" spans="1:34" x14ac:dyDescent="0.25">
      <c r="A48" s="928" t="s">
        <v>1348</v>
      </c>
      <c r="B48" s="928" t="s">
        <v>613</v>
      </c>
      <c r="C48" s="928" t="s">
        <v>59</v>
      </c>
      <c r="D48" s="928" t="s">
        <v>687</v>
      </c>
      <c r="E48" s="928" t="s">
        <v>60</v>
      </c>
      <c r="F48" s="928" t="s">
        <v>699</v>
      </c>
      <c r="G48" s="942" t="str">
        <f>IF(A48="HGNF",A48,RIGHT(F48,3))</f>
        <v>HGNF</v>
      </c>
      <c r="H48" s="943" t="s">
        <v>1114</v>
      </c>
      <c r="I48" s="928" t="str">
        <f t="shared" si="21"/>
        <v>P</v>
      </c>
      <c r="J48" s="928" t="str">
        <f t="shared" si="22"/>
        <v>PU</v>
      </c>
      <c r="K48" s="928" t="str">
        <f t="shared" si="23"/>
        <v>BRT</v>
      </c>
      <c r="L48" s="942" t="str">
        <f t="shared" si="24"/>
        <v>TPPUBRTHGNF-N</v>
      </c>
      <c r="M48" s="942" t="str">
        <f t="shared" si="25"/>
        <v>TPPUBRTHGNF-E</v>
      </c>
      <c r="N48" s="948" cm="1">
        <f t="array" ref="N48">INDEX(VehicleCostData2022!$T$16:$T$86,MATCH(1,(VehicleCostData2022!$R$16:$R$86=$E48)*(VehicleCostData2022!$S$16:$S$86=$F48),0))</f>
        <v>2416886.24070324</v>
      </c>
      <c r="O48" s="945">
        <f t="shared" si="27"/>
        <v>8606785.7463629283</v>
      </c>
      <c r="P48" s="945">
        <f t="shared" si="27"/>
        <v>6027660.9523380352</v>
      </c>
      <c r="Q48" s="945">
        <f t="shared" si="27"/>
        <v>3448536.1583131421</v>
      </c>
      <c r="R48" s="945">
        <f t="shared" si="27"/>
        <v>2244462.0393847795</v>
      </c>
      <c r="S48" s="945">
        <f t="shared" si="27"/>
        <v>1957088.3705206783</v>
      </c>
      <c r="T48" s="945">
        <f t="shared" si="27"/>
        <v>1901087.3478702325</v>
      </c>
      <c r="U48" s="945">
        <f t="shared" si="27"/>
        <v>1845086.3252197911</v>
      </c>
      <c r="V48" s="945">
        <f t="shared" si="27"/>
        <v>1789085.3025693495</v>
      </c>
      <c r="W48" s="945">
        <f t="shared" si="27"/>
        <v>1733084.2799189081</v>
      </c>
      <c r="X48" s="946">
        <v>2.7E-2</v>
      </c>
      <c r="Y48" s="947">
        <f t="shared" si="13"/>
        <v>65255.92849898748</v>
      </c>
      <c r="Z48" s="947">
        <f t="shared" si="13"/>
        <v>232383.21515179906</v>
      </c>
      <c r="AA48" s="947">
        <f t="shared" si="13"/>
        <v>162746.84571312694</v>
      </c>
      <c r="AB48" s="947">
        <f t="shared" si="13"/>
        <v>93110.476274454835</v>
      </c>
      <c r="AC48" s="947">
        <f t="shared" si="20"/>
        <v>60600.475063389043</v>
      </c>
      <c r="AD48" s="947">
        <f t="shared" si="20"/>
        <v>52841.386004058317</v>
      </c>
      <c r="AE48" s="947">
        <f t="shared" si="20"/>
        <v>51329.35839249628</v>
      </c>
      <c r="AF48" s="947">
        <f t="shared" si="20"/>
        <v>49817.330780934361</v>
      </c>
      <c r="AG48" s="947">
        <f t="shared" si="20"/>
        <v>48305.303169372433</v>
      </c>
      <c r="AH48" s="947">
        <f t="shared" si="20"/>
        <v>46793.275557810521</v>
      </c>
    </row>
    <row r="49" spans="1:34" x14ac:dyDescent="0.25">
      <c r="A49" s="928" t="s">
        <v>509</v>
      </c>
      <c r="B49" s="928" t="s">
        <v>613</v>
      </c>
      <c r="C49" s="928" t="s">
        <v>59</v>
      </c>
      <c r="D49" s="928" t="s">
        <v>687</v>
      </c>
      <c r="E49" s="928" t="s">
        <v>60</v>
      </c>
      <c r="F49" s="928" t="s">
        <v>700</v>
      </c>
      <c r="G49" s="942" t="str">
        <f t="shared" ref="G49:G54" si="28">IF(A49="HGN",A49,RIGHT(F49,3))</f>
        <v>ICE</v>
      </c>
      <c r="H49" s="943" t="s">
        <v>1114</v>
      </c>
      <c r="I49" s="928" t="str">
        <f t="shared" si="21"/>
        <v>P</v>
      </c>
      <c r="J49" s="928" t="str">
        <f t="shared" si="22"/>
        <v>PU</v>
      </c>
      <c r="K49" s="928" t="str">
        <f t="shared" si="23"/>
        <v>BRT</v>
      </c>
      <c r="L49" s="942" t="str">
        <f t="shared" si="24"/>
        <v>TPPUBRTGAS-N</v>
      </c>
      <c r="M49" s="942" t="str">
        <f t="shared" si="25"/>
        <v>TPPUBRTGAS-E</v>
      </c>
      <c r="N49" s="948" cm="1">
        <f t="array" ref="N49">INDEX(VehicleCostData2022!$T$16:$T$86,MATCH(1,(VehicleCostData2022!$R$16:$R$86=$E49)*(VehicleCostData2022!$S$16:$S$86=$F49),0))</f>
        <v>1783011.9060877543</v>
      </c>
      <c r="O49" s="945">
        <f t="shared" si="27"/>
        <v>1740770.7666188402</v>
      </c>
      <c r="P49" s="945">
        <f t="shared" si="27"/>
        <v>1758248.2445166721</v>
      </c>
      <c r="Q49" s="945">
        <f t="shared" si="27"/>
        <v>1775901.197692195</v>
      </c>
      <c r="R49" s="945">
        <f t="shared" si="27"/>
        <v>1793731.3879312489</v>
      </c>
      <c r="S49" s="945">
        <f t="shared" si="27"/>
        <v>1811740.5947081456</v>
      </c>
      <c r="T49" s="945">
        <f t="shared" si="27"/>
        <v>1829930.6153632603</v>
      </c>
      <c r="U49" s="945">
        <f t="shared" si="27"/>
        <v>1848303.265282409</v>
      </c>
      <c r="V49" s="945">
        <f t="shared" si="27"/>
        <v>1866860.3780780288</v>
      </c>
      <c r="W49" s="945">
        <f t="shared" si="27"/>
        <v>1885603.8057721709</v>
      </c>
      <c r="X49" s="946">
        <v>2.7E-2</v>
      </c>
      <c r="Y49" s="947">
        <f t="shared" si="13"/>
        <v>48141.321464369365</v>
      </c>
      <c r="Z49" s="947">
        <f t="shared" si="13"/>
        <v>47000.810698708687</v>
      </c>
      <c r="AA49" s="947">
        <f t="shared" si="13"/>
        <v>47472.702601950143</v>
      </c>
      <c r="AB49" s="947">
        <f t="shared" si="13"/>
        <v>47949.332337689266</v>
      </c>
      <c r="AC49" s="947">
        <f t="shared" si="20"/>
        <v>48430.747474143718</v>
      </c>
      <c r="AD49" s="947">
        <f t="shared" si="20"/>
        <v>48916.996057119934</v>
      </c>
      <c r="AE49" s="947">
        <f t="shared" si="20"/>
        <v>49408.126614808025</v>
      </c>
      <c r="AF49" s="947">
        <f t="shared" si="20"/>
        <v>49904.18816262504</v>
      </c>
      <c r="AG49" s="947">
        <f t="shared" si="20"/>
        <v>50405.230208106776</v>
      </c>
      <c r="AH49" s="947">
        <f t="shared" si="20"/>
        <v>50911.302755848614</v>
      </c>
    </row>
    <row r="50" spans="1:34" x14ac:dyDescent="0.25">
      <c r="A50" s="928" t="s">
        <v>573</v>
      </c>
      <c r="B50" s="928" t="s">
        <v>653</v>
      </c>
      <c r="C50" s="928" t="s">
        <v>63</v>
      </c>
      <c r="D50" s="928" t="s">
        <v>680</v>
      </c>
      <c r="E50" s="928" t="s">
        <v>701</v>
      </c>
      <c r="F50" s="928" t="s">
        <v>680</v>
      </c>
      <c r="G50" s="942" t="str">
        <f t="shared" si="28"/>
        <v>ICE</v>
      </c>
      <c r="H50" s="943" t="s">
        <v>1114</v>
      </c>
      <c r="I50" s="928" t="str">
        <f t="shared" si="21"/>
        <v>F</v>
      </c>
      <c r="J50" s="928" t="str">
        <f t="shared" si="22"/>
        <v>LCV</v>
      </c>
      <c r="K50" s="928" t="str">
        <f t="shared" si="23"/>
        <v/>
      </c>
      <c r="L50" s="942" t="str">
        <f t="shared" si="24"/>
        <v>TFLCVOGS-N</v>
      </c>
      <c r="M50" s="942" t="str">
        <f t="shared" si="25"/>
        <v>TFLCVOGS-E</v>
      </c>
      <c r="N50" s="948" cm="1">
        <f t="array" ref="N50">INDEX(VehicleCostData2022!$T$16:$T$86,MATCH(1,(VehicleCostData2022!$R$16:$R$86=$E50)*(VehicleCostData2022!$S$16:$S$86=$F50),0))</f>
        <v>440658.82352941175</v>
      </c>
      <c r="O50" s="945">
        <f t="shared" si="27"/>
        <v>430219.22368189547</v>
      </c>
      <c r="P50" s="945">
        <f t="shared" si="27"/>
        <v>434538.65913963091</v>
      </c>
      <c r="Q50" s="945">
        <f t="shared" si="27"/>
        <v>438901.46207526245</v>
      </c>
      <c r="R50" s="945">
        <f t="shared" si="27"/>
        <v>443308.06790174113</v>
      </c>
      <c r="S50" s="945">
        <f t="shared" si="27"/>
        <v>447758.91640359885</v>
      </c>
      <c r="T50" s="945">
        <f t="shared" si="27"/>
        <v>452254.45178083936</v>
      </c>
      <c r="U50" s="945">
        <f t="shared" si="27"/>
        <v>456795.1226932698</v>
      </c>
      <c r="V50" s="945">
        <f t="shared" si="27"/>
        <v>461381.38230527821</v>
      </c>
      <c r="W50" s="945">
        <f t="shared" si="27"/>
        <v>466013.68833105906</v>
      </c>
      <c r="X50" s="946">
        <v>2.7E-2</v>
      </c>
      <c r="Y50" s="947">
        <f t="shared" si="13"/>
        <v>11897.788235294118</v>
      </c>
      <c r="Z50" s="947">
        <f t="shared" si="13"/>
        <v>11615.919039411177</v>
      </c>
      <c r="AA50" s="947">
        <f t="shared" si="13"/>
        <v>11732.543796770035</v>
      </c>
      <c r="AB50" s="947">
        <f t="shared" si="13"/>
        <v>11850.339476032086</v>
      </c>
      <c r="AC50" s="947">
        <f t="shared" si="20"/>
        <v>11969.31783334701</v>
      </c>
      <c r="AD50" s="947">
        <f t="shared" si="20"/>
        <v>12089.490742897169</v>
      </c>
      <c r="AE50" s="947">
        <f t="shared" si="20"/>
        <v>12210.870198082663</v>
      </c>
      <c r="AF50" s="947">
        <f t="shared" si="20"/>
        <v>12333.468312718285</v>
      </c>
      <c r="AG50" s="947">
        <f t="shared" si="20"/>
        <v>12457.297322242512</v>
      </c>
      <c r="AH50" s="947">
        <f t="shared" si="20"/>
        <v>12582.369584938595</v>
      </c>
    </row>
    <row r="51" spans="1:34" x14ac:dyDescent="0.25">
      <c r="A51" s="928" t="s">
        <v>519</v>
      </c>
      <c r="B51" s="928" t="s">
        <v>653</v>
      </c>
      <c r="C51" s="928" t="s">
        <v>63</v>
      </c>
      <c r="D51" s="928" t="s">
        <v>680</v>
      </c>
      <c r="E51" s="928" t="s">
        <v>701</v>
      </c>
      <c r="F51" s="928" t="s">
        <v>688</v>
      </c>
      <c r="G51" s="942" t="str">
        <f t="shared" si="28"/>
        <v>HEV</v>
      </c>
      <c r="H51" s="943" t="s">
        <v>1114</v>
      </c>
      <c r="I51" s="928" t="str">
        <f t="shared" si="21"/>
        <v>F</v>
      </c>
      <c r="J51" s="928" t="str">
        <f t="shared" si="22"/>
        <v>LCV</v>
      </c>
      <c r="K51" s="928" t="str">
        <f t="shared" si="23"/>
        <v/>
      </c>
      <c r="L51" s="942" t="str">
        <f t="shared" si="24"/>
        <v>TFLCVOGSH-N</v>
      </c>
      <c r="M51" s="942" t="str">
        <f t="shared" si="25"/>
        <v>TFLCVOGSH-E</v>
      </c>
      <c r="N51" s="948" cm="1">
        <f t="array" ref="N51">INDEX(VehicleCostData2022!$T$16:$T$86,MATCH(1,(VehicleCostData2022!$R$16:$R$86=$E51)*(VehicleCostData2022!$S$16:$S$86=$F51),0))</f>
        <v>496188.23529411765</v>
      </c>
      <c r="O51" s="945">
        <f t="shared" si="27"/>
        <v>1033928.8560936983</v>
      </c>
      <c r="P51" s="945">
        <f t="shared" si="27"/>
        <v>809870.26409387775</v>
      </c>
      <c r="Q51" s="945">
        <f t="shared" si="27"/>
        <v>585811.672094043</v>
      </c>
      <c r="R51" s="945">
        <f t="shared" si="27"/>
        <v>479574.78991596488</v>
      </c>
      <c r="S51" s="945">
        <f t="shared" si="27"/>
        <v>451885.7142857138</v>
      </c>
      <c r="T51" s="945">
        <f t="shared" si="27"/>
        <v>452624.08963585435</v>
      </c>
      <c r="U51" s="945">
        <f t="shared" si="27"/>
        <v>453362.46498599439</v>
      </c>
      <c r="V51" s="945">
        <f t="shared" si="27"/>
        <v>454100.84033613442</v>
      </c>
      <c r="W51" s="945">
        <f t="shared" si="27"/>
        <v>454839.21568627452</v>
      </c>
      <c r="X51" s="946">
        <v>2.7E-2</v>
      </c>
      <c r="Y51" s="947">
        <f t="shared" si="13"/>
        <v>13397.082352941177</v>
      </c>
      <c r="Z51" s="947">
        <f t="shared" si="13"/>
        <v>27916.079114529854</v>
      </c>
      <c r="AA51" s="947">
        <f t="shared" si="13"/>
        <v>21866.497130534699</v>
      </c>
      <c r="AB51" s="947">
        <f t="shared" si="13"/>
        <v>15816.915146539161</v>
      </c>
      <c r="AC51" s="947">
        <f t="shared" si="20"/>
        <v>12948.519327731052</v>
      </c>
      <c r="AD51" s="947">
        <f t="shared" si="20"/>
        <v>12200.914285714272</v>
      </c>
      <c r="AE51" s="947">
        <f t="shared" si="20"/>
        <v>12220.850420168068</v>
      </c>
      <c r="AF51" s="947">
        <f t="shared" si="20"/>
        <v>12240.786554621849</v>
      </c>
      <c r="AG51" s="947">
        <f t="shared" si="20"/>
        <v>12260.72268907563</v>
      </c>
      <c r="AH51" s="947">
        <f t="shared" si="20"/>
        <v>12280.658823529411</v>
      </c>
    </row>
    <row r="52" spans="1:34" x14ac:dyDescent="0.25">
      <c r="A52" s="928" t="s">
        <v>511</v>
      </c>
      <c r="B52" s="928" t="s">
        <v>653</v>
      </c>
      <c r="C52" s="928" t="s">
        <v>63</v>
      </c>
      <c r="D52" s="928" t="s">
        <v>680</v>
      </c>
      <c r="E52" s="928" t="s">
        <v>701</v>
      </c>
      <c r="F52" s="928" t="s">
        <v>687</v>
      </c>
      <c r="G52" s="942" t="str">
        <f t="shared" si="28"/>
        <v>ICE</v>
      </c>
      <c r="H52" s="943" t="s">
        <v>1114</v>
      </c>
      <c r="I52" s="928" t="str">
        <f t="shared" si="21"/>
        <v>F</v>
      </c>
      <c r="J52" s="928" t="str">
        <f t="shared" si="22"/>
        <v>LCV</v>
      </c>
      <c r="K52" s="928" t="str">
        <f t="shared" si="23"/>
        <v/>
      </c>
      <c r="L52" s="942" t="str">
        <f t="shared" si="24"/>
        <v>TFLCVODS-N</v>
      </c>
      <c r="M52" s="942" t="str">
        <f t="shared" si="25"/>
        <v>TFLCVODS-E</v>
      </c>
      <c r="N52" s="948" cm="1">
        <f t="array" ref="N52">INDEX(VehicleCostData2022!$T$16:$T$86,MATCH(1,(VehicleCostData2022!$R$16:$R$86=$E52)*(VehicleCostData2022!$S$16:$S$86=$F52),0))</f>
        <v>838990</v>
      </c>
      <c r="O52" s="945">
        <f t="shared" si="27"/>
        <v>819113.5799480523</v>
      </c>
      <c r="P52" s="945">
        <f t="shared" si="27"/>
        <v>827337.54588537244</v>
      </c>
      <c r="Q52" s="945">
        <f t="shared" si="27"/>
        <v>835644.08109927853</v>
      </c>
      <c r="R52" s="945">
        <f t="shared" si="27"/>
        <v>844034.01459191996</v>
      </c>
      <c r="S52" s="945">
        <f t="shared" si="27"/>
        <v>852508.18368869368</v>
      </c>
      <c r="T52" s="945">
        <f t="shared" si="27"/>
        <v>861067.43412181083</v>
      </c>
      <c r="U52" s="945">
        <f t="shared" si="27"/>
        <v>869712.62011470122</v>
      </c>
      <c r="V52" s="945">
        <f t="shared" si="27"/>
        <v>878444.60446726717</v>
      </c>
      <c r="W52" s="945">
        <f t="shared" si="27"/>
        <v>887264.25864199048</v>
      </c>
      <c r="X52" s="946">
        <v>2.7E-2</v>
      </c>
      <c r="Y52" s="947">
        <f t="shared" si="13"/>
        <v>22652.73</v>
      </c>
      <c r="Z52" s="947">
        <f t="shared" si="13"/>
        <v>22116.06665859741</v>
      </c>
      <c r="AA52" s="947">
        <f t="shared" si="13"/>
        <v>22338.113738905056</v>
      </c>
      <c r="AB52" s="947">
        <f t="shared" si="13"/>
        <v>22562.390189680518</v>
      </c>
      <c r="AC52" s="947">
        <f t="shared" si="20"/>
        <v>22788.918393981839</v>
      </c>
      <c r="AD52" s="947">
        <f t="shared" si="20"/>
        <v>23017.720959594728</v>
      </c>
      <c r="AE52" s="947">
        <f t="shared" si="20"/>
        <v>23248.820721288892</v>
      </c>
      <c r="AF52" s="947">
        <f t="shared" si="20"/>
        <v>23482.240743096932</v>
      </c>
      <c r="AG52" s="947">
        <f t="shared" si="20"/>
        <v>23718.004320616212</v>
      </c>
      <c r="AH52" s="947">
        <f t="shared" si="20"/>
        <v>23956.134983333744</v>
      </c>
    </row>
    <row r="53" spans="1:34" x14ac:dyDescent="0.25">
      <c r="A53" s="928" t="s">
        <v>521</v>
      </c>
      <c r="B53" s="928" t="s">
        <v>653</v>
      </c>
      <c r="C53" s="928" t="s">
        <v>63</v>
      </c>
      <c r="D53" s="928" t="s">
        <v>680</v>
      </c>
      <c r="E53" s="928" t="s">
        <v>701</v>
      </c>
      <c r="F53" s="928" t="s">
        <v>689</v>
      </c>
      <c r="G53" s="942" t="str">
        <f t="shared" si="28"/>
        <v>HEV</v>
      </c>
      <c r="H53" s="943" t="s">
        <v>1114</v>
      </c>
      <c r="I53" s="928" t="str">
        <f t="shared" si="21"/>
        <v>F</v>
      </c>
      <c r="J53" s="928" t="str">
        <f t="shared" si="22"/>
        <v>LCV</v>
      </c>
      <c r="K53" s="928" t="str">
        <f t="shared" si="23"/>
        <v/>
      </c>
      <c r="L53" s="942" t="str">
        <f t="shared" si="24"/>
        <v>TFLCVODSH-N</v>
      </c>
      <c r="M53" s="942" t="str">
        <f t="shared" si="25"/>
        <v>TFLCVODSH-E</v>
      </c>
      <c r="N53" s="948" cm="1">
        <f t="array" ref="N53">INDEX(VehicleCostData2022!$T$16:$T$86,MATCH(1,(VehicleCostData2022!$R$16:$R$86=$E53)*(VehicleCostData2022!$S$16:$S$86=$F53),0))</f>
        <v>944714.92524562147</v>
      </c>
      <c r="O53" s="945">
        <f t="shared" si="27"/>
        <v>1968543.291670077</v>
      </c>
      <c r="P53" s="945">
        <f t="shared" si="27"/>
        <v>1541948.1389932295</v>
      </c>
      <c r="Q53" s="945">
        <f t="shared" si="27"/>
        <v>1115352.9863163552</v>
      </c>
      <c r="R53" s="945">
        <f t="shared" si="27"/>
        <v>913083.84515926964</v>
      </c>
      <c r="S53" s="945">
        <f t="shared" si="27"/>
        <v>860365.37834868999</v>
      </c>
      <c r="T53" s="945">
        <f t="shared" si="27"/>
        <v>861771.20413030649</v>
      </c>
      <c r="U53" s="945">
        <f t="shared" si="27"/>
        <v>863177.02991192194</v>
      </c>
      <c r="V53" s="945">
        <f t="shared" si="27"/>
        <v>864582.85569353751</v>
      </c>
      <c r="W53" s="945">
        <f t="shared" si="27"/>
        <v>865988.68147515296</v>
      </c>
      <c r="X53" s="946">
        <v>2.7E-2</v>
      </c>
      <c r="Y53" s="947">
        <f t="shared" si="13"/>
        <v>25507.302981631779</v>
      </c>
      <c r="Z53" s="947">
        <f t="shared" si="13"/>
        <v>53150.66887509208</v>
      </c>
      <c r="AA53" s="947">
        <f t="shared" si="13"/>
        <v>41632.599752817194</v>
      </c>
      <c r="AB53" s="947">
        <f t="shared" si="13"/>
        <v>30114.530630541591</v>
      </c>
      <c r="AC53" s="947">
        <f t="shared" si="20"/>
        <v>24653.263819300279</v>
      </c>
      <c r="AD53" s="947">
        <f t="shared" si="20"/>
        <v>23229.865215414629</v>
      </c>
      <c r="AE53" s="947">
        <f t="shared" si="20"/>
        <v>23267.822511518276</v>
      </c>
      <c r="AF53" s="947">
        <f t="shared" si="20"/>
        <v>23305.779807621893</v>
      </c>
      <c r="AG53" s="947">
        <f t="shared" si="20"/>
        <v>23343.737103725511</v>
      </c>
      <c r="AH53" s="947">
        <f t="shared" si="20"/>
        <v>23381.694399829128</v>
      </c>
    </row>
    <row r="54" spans="1:34" x14ac:dyDescent="0.25">
      <c r="A54" s="928" t="s">
        <v>501</v>
      </c>
      <c r="B54" s="928" t="s">
        <v>653</v>
      </c>
      <c r="C54" s="928" t="s">
        <v>63</v>
      </c>
      <c r="D54" s="928" t="s">
        <v>680</v>
      </c>
      <c r="E54" s="928" t="s">
        <v>701</v>
      </c>
      <c r="F54" s="928" t="s">
        <v>692</v>
      </c>
      <c r="G54" s="942" t="str">
        <f t="shared" si="28"/>
        <v>BEV</v>
      </c>
      <c r="H54" s="943" t="s">
        <v>1114</v>
      </c>
      <c r="I54" s="928" t="str">
        <f t="shared" si="21"/>
        <v>F</v>
      </c>
      <c r="J54" s="928" t="str">
        <f t="shared" si="22"/>
        <v>LCV</v>
      </c>
      <c r="K54" s="928" t="str">
        <f t="shared" si="23"/>
        <v/>
      </c>
      <c r="L54" s="942" t="str">
        <f t="shared" si="24"/>
        <v>TFLCVELC-N</v>
      </c>
      <c r="M54" s="942" t="str">
        <f t="shared" si="25"/>
        <v>TFLCVELC-E</v>
      </c>
      <c r="N54" s="948" cm="1">
        <f t="array" ref="N54">INDEX(VehicleCostData2022!$T$16:$T$86,MATCH(1,(VehicleCostData2022!$R$16:$R$86=$E54)*(VehicleCostData2022!$S$16:$S$86=$F54),0))</f>
        <v>903556.79999999993</v>
      </c>
      <c r="O54" s="945">
        <f t="shared" si="27"/>
        <v>3217660.6644947054</v>
      </c>
      <c r="P54" s="945">
        <f t="shared" si="27"/>
        <v>2253450.7209552363</v>
      </c>
      <c r="Q54" s="945">
        <f t="shared" si="27"/>
        <v>1289240.7774157671</v>
      </c>
      <c r="R54" s="945">
        <f t="shared" si="27"/>
        <v>839095.7356097569</v>
      </c>
      <c r="S54" s="945">
        <f t="shared" si="27"/>
        <v>731660.62829268514</v>
      </c>
      <c r="T54" s="945">
        <f t="shared" si="27"/>
        <v>710724.55609756138</v>
      </c>
      <c r="U54" s="945">
        <f t="shared" si="27"/>
        <v>689788.48390243913</v>
      </c>
      <c r="V54" s="945">
        <f t="shared" si="27"/>
        <v>668852.41170731699</v>
      </c>
      <c r="W54" s="945">
        <f t="shared" si="27"/>
        <v>647916.33951219486</v>
      </c>
      <c r="X54" s="946">
        <v>2.0250000000000001E-2</v>
      </c>
      <c r="Y54" s="947">
        <f t="shared" si="13"/>
        <v>18297.0252</v>
      </c>
      <c r="Z54" s="947">
        <f t="shared" si="13"/>
        <v>65157.628456017788</v>
      </c>
      <c r="AA54" s="947">
        <f t="shared" si="13"/>
        <v>45632.377099343539</v>
      </c>
      <c r="AB54" s="947">
        <f t="shared" si="13"/>
        <v>26107.125742669283</v>
      </c>
      <c r="AC54" s="947">
        <f t="shared" si="20"/>
        <v>16991.688646097577</v>
      </c>
      <c r="AD54" s="947">
        <f t="shared" si="20"/>
        <v>14816.127722926874</v>
      </c>
      <c r="AE54" s="947">
        <f t="shared" si="20"/>
        <v>14392.172260975618</v>
      </c>
      <c r="AF54" s="947">
        <f t="shared" si="20"/>
        <v>13968.216799024392</v>
      </c>
      <c r="AG54" s="947">
        <f t="shared" si="20"/>
        <v>13544.261337073169</v>
      </c>
      <c r="AH54" s="947">
        <f t="shared" si="20"/>
        <v>13120.305875121947</v>
      </c>
    </row>
    <row r="55" spans="1:34" x14ac:dyDescent="0.25">
      <c r="A55" s="928" t="s">
        <v>1348</v>
      </c>
      <c r="B55" s="928" t="s">
        <v>653</v>
      </c>
      <c r="C55" s="928" t="s">
        <v>63</v>
      </c>
      <c r="D55" s="928" t="s">
        <v>680</v>
      </c>
      <c r="E55" s="928" t="s">
        <v>701</v>
      </c>
      <c r="F55" s="928" t="s">
        <v>699</v>
      </c>
      <c r="G55" s="942" t="str">
        <f>IF(A55="HGNF",A55,RIGHT(F55,3))</f>
        <v>HGNF</v>
      </c>
      <c r="H55" s="943" t="s">
        <v>1114</v>
      </c>
      <c r="I55" s="928" t="str">
        <f t="shared" si="21"/>
        <v>F</v>
      </c>
      <c r="J55" s="928" t="str">
        <f t="shared" si="22"/>
        <v>LCV</v>
      </c>
      <c r="K55" s="928" t="str">
        <f t="shared" si="23"/>
        <v/>
      </c>
      <c r="L55" s="942" t="str">
        <f t="shared" si="24"/>
        <v>TFLCVHGNF-N</v>
      </c>
      <c r="M55" s="942" t="str">
        <f t="shared" si="25"/>
        <v>TFLCVHGNF-E</v>
      </c>
      <c r="N55" s="948" cm="1">
        <f t="array" ref="N55">INDEX(VehicleCostData2022!$T$16:$T$86,MATCH(1,(VehicleCostData2022!$R$16:$R$86=$E55)*(VehicleCostData2022!$S$16:$S$86=$F55),0))</f>
        <v>2307246.0387520855</v>
      </c>
      <c r="O55" s="945">
        <f t="shared" si="27"/>
        <v>8216345.4718107525</v>
      </c>
      <c r="P55" s="945">
        <f t="shared" si="27"/>
        <v>5754220.7080362858</v>
      </c>
      <c r="Q55" s="945">
        <f t="shared" si="27"/>
        <v>3292095.9442618196</v>
      </c>
      <c r="R55" s="945">
        <f t="shared" si="27"/>
        <v>2142643.7298898962</v>
      </c>
      <c r="S55" s="945">
        <f t="shared" si="27"/>
        <v>1868306.548452914</v>
      </c>
      <c r="T55" s="945">
        <f t="shared" si="27"/>
        <v>1814845.9695062146</v>
      </c>
      <c r="U55" s="945">
        <f t="shared" si="27"/>
        <v>1761385.3905595194</v>
      </c>
      <c r="V55" s="945">
        <f t="shared" si="27"/>
        <v>1707924.8116128242</v>
      </c>
      <c r="W55" s="945">
        <f t="shared" si="27"/>
        <v>1654464.232666129</v>
      </c>
      <c r="X55" s="946">
        <v>2.0250000000000001E-2</v>
      </c>
      <c r="Y55" s="947">
        <f t="shared" si="13"/>
        <v>46721.732284729733</v>
      </c>
      <c r="Z55" s="947">
        <f t="shared" si="13"/>
        <v>166380.99580416773</v>
      </c>
      <c r="AA55" s="947">
        <f t="shared" si="13"/>
        <v>116522.96933773479</v>
      </c>
      <c r="AB55" s="947">
        <f t="shared" si="13"/>
        <v>66664.942871301842</v>
      </c>
      <c r="AC55" s="947">
        <f t="shared" si="20"/>
        <v>43388.535530270397</v>
      </c>
      <c r="AD55" s="947">
        <f t="shared" si="20"/>
        <v>37833.207606171512</v>
      </c>
      <c r="AE55" s="947">
        <f t="shared" si="20"/>
        <v>36750.630882500845</v>
      </c>
      <c r="AF55" s="947">
        <f t="shared" si="20"/>
        <v>35668.054158830266</v>
      </c>
      <c r="AG55" s="947">
        <f t="shared" si="20"/>
        <v>34585.477435159693</v>
      </c>
      <c r="AH55" s="947">
        <f t="shared" si="20"/>
        <v>33502.900711489114</v>
      </c>
    </row>
    <row r="56" spans="1:34" x14ac:dyDescent="0.25">
      <c r="A56" s="928" t="s">
        <v>509</v>
      </c>
      <c r="B56" s="928" t="s">
        <v>653</v>
      </c>
      <c r="C56" s="928" t="s">
        <v>63</v>
      </c>
      <c r="D56" s="928" t="s">
        <v>680</v>
      </c>
      <c r="E56" s="928" t="s">
        <v>701</v>
      </c>
      <c r="F56" s="928" t="s">
        <v>700</v>
      </c>
      <c r="G56" s="942" t="str">
        <f t="shared" ref="G56:G59" si="29">IF(A56="HGN",A56,RIGHT(F56,3))</f>
        <v>ICE</v>
      </c>
      <c r="H56" s="943" t="s">
        <v>1114</v>
      </c>
      <c r="I56" s="928" t="str">
        <f t="shared" si="21"/>
        <v>F</v>
      </c>
      <c r="J56" s="928" t="str">
        <f t="shared" si="22"/>
        <v>LCV</v>
      </c>
      <c r="K56" s="928" t="str">
        <f t="shared" si="23"/>
        <v/>
      </c>
      <c r="L56" s="942" t="str">
        <f t="shared" si="24"/>
        <v>TFLCVGAS-N</v>
      </c>
      <c r="M56" s="942" t="str">
        <f t="shared" si="25"/>
        <v>TFLCVGAS-E</v>
      </c>
      <c r="N56" s="948" cm="1">
        <f t="array" ref="N56">INDEX(VehicleCostData2022!$T$16:$T$86,MATCH(1,(VehicleCostData2022!$R$16:$R$86=$E56)*(VehicleCostData2022!$S$16:$S$86=$F56),0))</f>
        <v>922889.00000000012</v>
      </c>
      <c r="O56" s="945">
        <f t="shared" si="27"/>
        <v>901024.93794285762</v>
      </c>
      <c r="P56" s="945">
        <f t="shared" si="27"/>
        <v>910071.30047390983</v>
      </c>
      <c r="Q56" s="945">
        <f t="shared" si="27"/>
        <v>919208.48920920654</v>
      </c>
      <c r="R56" s="945">
        <f t="shared" si="27"/>
        <v>928437.416051112</v>
      </c>
      <c r="S56" s="945">
        <f t="shared" si="27"/>
        <v>937759.00205756316</v>
      </c>
      <c r="T56" s="945">
        <f t="shared" si="27"/>
        <v>947174.17753399198</v>
      </c>
      <c r="U56" s="945">
        <f t="shared" si="27"/>
        <v>956683.88212617149</v>
      </c>
      <c r="V56" s="945">
        <f t="shared" si="27"/>
        <v>966289.06491399405</v>
      </c>
      <c r="W56" s="945">
        <f t="shared" si="27"/>
        <v>975990.68450618966</v>
      </c>
      <c r="X56" s="946">
        <v>2.7E-2</v>
      </c>
      <c r="Y56" s="947">
        <f t="shared" si="13"/>
        <v>24918.003000000004</v>
      </c>
      <c r="Z56" s="947">
        <f t="shared" si="13"/>
        <v>24327.673324457155</v>
      </c>
      <c r="AA56" s="947">
        <f t="shared" si="13"/>
        <v>24571.925112795565</v>
      </c>
      <c r="AB56" s="947">
        <f t="shared" si="13"/>
        <v>24818.629208648577</v>
      </c>
      <c r="AC56" s="947">
        <f t="shared" si="20"/>
        <v>25067.810233380023</v>
      </c>
      <c r="AD56" s="947">
        <f t="shared" si="20"/>
        <v>25319.493055554205</v>
      </c>
      <c r="AE56" s="947">
        <f t="shared" si="20"/>
        <v>25573.702793417782</v>
      </c>
      <c r="AF56" s="947">
        <f t="shared" si="20"/>
        <v>25830.464817406631</v>
      </c>
      <c r="AG56" s="947">
        <f t="shared" si="20"/>
        <v>26089.804752677839</v>
      </c>
      <c r="AH56" s="947">
        <f t="shared" si="20"/>
        <v>26351.74848166712</v>
      </c>
    </row>
    <row r="57" spans="1:34" x14ac:dyDescent="0.25">
      <c r="A57" s="928" t="s">
        <v>511</v>
      </c>
      <c r="B57" s="928" t="s">
        <v>653</v>
      </c>
      <c r="C57" s="928" t="s">
        <v>724</v>
      </c>
      <c r="D57" s="928" t="s">
        <v>687</v>
      </c>
      <c r="E57" s="928" t="s">
        <v>725</v>
      </c>
      <c r="F57" s="928" t="s">
        <v>687</v>
      </c>
      <c r="G57" s="942" t="str">
        <f t="shared" si="29"/>
        <v>ICE</v>
      </c>
      <c r="H57" s="943" t="s">
        <v>1114</v>
      </c>
      <c r="I57" s="928" t="str">
        <f t="shared" si="21"/>
        <v>F</v>
      </c>
      <c r="J57" s="928" t="str">
        <f t="shared" si="22"/>
        <v>HCV1</v>
      </c>
      <c r="K57" s="928" t="str">
        <f t="shared" si="23"/>
        <v/>
      </c>
      <c r="L57" s="942" t="str">
        <f t="shared" si="24"/>
        <v>TFHCV1ODS-N</v>
      </c>
      <c r="M57" s="942" t="str">
        <f t="shared" si="25"/>
        <v>TFHCV1ODS-E</v>
      </c>
      <c r="N57" s="948" cm="1">
        <f t="array" ref="N57">INDEX(VehicleCostData2022!$T$16:$T$86,MATCH(1,(VehicleCostData2022!$R$16:$R$86=$E57)*(VehicleCostData2022!$S$16:$S$86=$F57),0))</f>
        <v>524668.23529411759</v>
      </c>
      <c r="O57" s="945">
        <f t="shared" si="27"/>
        <v>512238.37768840115</v>
      </c>
      <c r="P57" s="945">
        <f t="shared" si="27"/>
        <v>517381.29202045838</v>
      </c>
      <c r="Q57" s="945">
        <f t="shared" si="27"/>
        <v>522575.84162425413</v>
      </c>
      <c r="R57" s="945">
        <f t="shared" si="27"/>
        <v>527822.5449220516</v>
      </c>
      <c r="S57" s="945">
        <f t="shared" si="27"/>
        <v>533121.92554111534</v>
      </c>
      <c r="T57" s="945">
        <f t="shared" si="27"/>
        <v>538474.51236596901</v>
      </c>
      <c r="U57" s="945">
        <f t="shared" si="27"/>
        <v>543880.83959117939</v>
      </c>
      <c r="V57" s="945">
        <f t="shared" si="27"/>
        <v>549341.44677466981</v>
      </c>
      <c r="W57" s="945">
        <f t="shared" si="27"/>
        <v>554856.87889156805</v>
      </c>
      <c r="X57" s="946">
        <v>2.7E-2</v>
      </c>
      <c r="Y57" s="947">
        <f t="shared" si="13"/>
        <v>14166.042352941175</v>
      </c>
      <c r="Z57" s="947">
        <f t="shared" si="13"/>
        <v>13830.436197586831</v>
      </c>
      <c r="AA57" s="947">
        <f t="shared" si="13"/>
        <v>13969.294884552377</v>
      </c>
      <c r="AB57" s="947">
        <f t="shared" si="13"/>
        <v>14109.547723854861</v>
      </c>
      <c r="AC57" s="947">
        <f t="shared" si="20"/>
        <v>14251.208712895394</v>
      </c>
      <c r="AD57" s="947">
        <f t="shared" si="20"/>
        <v>14394.291989610114</v>
      </c>
      <c r="AE57" s="947">
        <f t="shared" si="20"/>
        <v>14538.811833881164</v>
      </c>
      <c r="AF57" s="947">
        <f t="shared" si="20"/>
        <v>14684.782668961843</v>
      </c>
      <c r="AG57" s="947">
        <f t="shared" si="20"/>
        <v>14832.219062916085</v>
      </c>
      <c r="AH57" s="947">
        <f t="shared" si="20"/>
        <v>14981.135730072338</v>
      </c>
    </row>
    <row r="58" spans="1:34" x14ac:dyDescent="0.25">
      <c r="A58" s="928" t="s">
        <v>573</v>
      </c>
      <c r="B58" s="928" t="s">
        <v>653</v>
      </c>
      <c r="C58" s="928" t="s">
        <v>724</v>
      </c>
      <c r="D58" s="928" t="s">
        <v>687</v>
      </c>
      <c r="E58" s="928" t="s">
        <v>725</v>
      </c>
      <c r="F58" s="928" t="s">
        <v>680</v>
      </c>
      <c r="G58" s="942" t="str">
        <f t="shared" si="29"/>
        <v>ICE</v>
      </c>
      <c r="H58" s="943" t="s">
        <v>1114</v>
      </c>
      <c r="I58" s="928" t="str">
        <f t="shared" si="21"/>
        <v>F</v>
      </c>
      <c r="J58" s="928" t="str">
        <f t="shared" si="22"/>
        <v>HCV1</v>
      </c>
      <c r="K58" s="928" t="str">
        <f t="shared" si="23"/>
        <v/>
      </c>
      <c r="L58" s="942" t="str">
        <f t="shared" si="24"/>
        <v>TFHCV1OGS-N</v>
      </c>
      <c r="M58" s="942" t="str">
        <f t="shared" si="25"/>
        <v>TFHCV1OGS-E</v>
      </c>
      <c r="N58" s="948" cm="1">
        <f t="array" ref="N58">INDEX(VehicleCostData2022!$T$16:$T$86,MATCH(1,(VehicleCostData2022!$R$16:$R$86=$E58)*(VehicleCostData2022!$S$16:$S$86=$F58),0))</f>
        <v>413379.15922975913</v>
      </c>
      <c r="O58" s="945">
        <f t="shared" si="27"/>
        <v>403585.83891655912</v>
      </c>
      <c r="P58" s="945">
        <f t="shared" si="27"/>
        <v>407637.87305844825</v>
      </c>
      <c r="Q58" s="945">
        <f t="shared" si="27"/>
        <v>411730.58994760894</v>
      </c>
      <c r="R58" s="945">
        <f t="shared" si="27"/>
        <v>415864.39804208168</v>
      </c>
      <c r="S58" s="945">
        <f t="shared" si="27"/>
        <v>420039.70990085846</v>
      </c>
      <c r="T58" s="945">
        <f t="shared" si="27"/>
        <v>424256.94222505653</v>
      </c>
      <c r="U58" s="945">
        <f t="shared" si="27"/>
        <v>428516.51589950547</v>
      </c>
      <c r="V58" s="945">
        <f t="shared" si="27"/>
        <v>432818.85603475274</v>
      </c>
      <c r="W58" s="945">
        <f t="shared" si="27"/>
        <v>437164.39200948947</v>
      </c>
      <c r="X58" s="946">
        <v>2.7E-2</v>
      </c>
      <c r="Y58" s="947">
        <f t="shared" si="13"/>
        <v>11161.237299203496</v>
      </c>
      <c r="Z58" s="947">
        <f t="shared" si="13"/>
        <v>10896.817650747096</v>
      </c>
      <c r="AA58" s="947">
        <f t="shared" si="13"/>
        <v>11006.222572578103</v>
      </c>
      <c r="AB58" s="947">
        <f t="shared" si="13"/>
        <v>11116.725928585442</v>
      </c>
      <c r="AC58" s="947">
        <f t="shared" si="20"/>
        <v>11228.338747136206</v>
      </c>
      <c r="AD58" s="947">
        <f t="shared" si="20"/>
        <v>11341.072167323178</v>
      </c>
      <c r="AE58" s="947">
        <f t="shared" si="20"/>
        <v>11454.937440076526</v>
      </c>
      <c r="AF58" s="947">
        <f t="shared" si="20"/>
        <v>11569.945929286647</v>
      </c>
      <c r="AG58" s="947">
        <f t="shared" si="20"/>
        <v>11686.109112938324</v>
      </c>
      <c r="AH58" s="947">
        <f t="shared" si="20"/>
        <v>11803.438584256215</v>
      </c>
    </row>
    <row r="59" spans="1:34" x14ac:dyDescent="0.25">
      <c r="A59" s="928" t="s">
        <v>501</v>
      </c>
      <c r="B59" s="928" t="s">
        <v>653</v>
      </c>
      <c r="C59" s="928" t="s">
        <v>724</v>
      </c>
      <c r="D59" s="928" t="s">
        <v>687</v>
      </c>
      <c r="E59" s="928" t="s">
        <v>725</v>
      </c>
      <c r="F59" s="928" t="s">
        <v>692</v>
      </c>
      <c r="G59" s="942" t="str">
        <f t="shared" si="29"/>
        <v>BEV</v>
      </c>
      <c r="H59" s="943" t="s">
        <v>1114</v>
      </c>
      <c r="I59" s="928" t="str">
        <f t="shared" si="21"/>
        <v>F</v>
      </c>
      <c r="J59" s="928" t="str">
        <f t="shared" si="22"/>
        <v>HCV1</v>
      </c>
      <c r="K59" s="928" t="str">
        <f t="shared" si="23"/>
        <v/>
      </c>
      <c r="L59" s="942" t="str">
        <f t="shared" si="24"/>
        <v>TFHCV1ELC-N</v>
      </c>
      <c r="M59" s="942" t="str">
        <f t="shared" si="25"/>
        <v>TFHCV1ELC-E</v>
      </c>
      <c r="N59" s="948" cm="1">
        <f t="array" ref="N59">INDEX(VehicleCostData2022!$T$16:$T$86,MATCH(1,(VehicleCostData2022!$R$16:$R$86=$E59)*(VehicleCostData2022!$S$16:$S$86=$F59),0))</f>
        <v>692174.4</v>
      </c>
      <c r="O59" s="945">
        <f t="shared" si="27"/>
        <v>2464905.7368061692</v>
      </c>
      <c r="P59" s="945">
        <f t="shared" si="27"/>
        <v>1726267.6798035922</v>
      </c>
      <c r="Q59" s="945">
        <f t="shared" si="27"/>
        <v>987629.62280101504</v>
      </c>
      <c r="R59" s="945">
        <f t="shared" si="27"/>
        <v>642793.66536585428</v>
      </c>
      <c r="S59" s="945">
        <f t="shared" si="27"/>
        <v>560492.44097561145</v>
      </c>
      <c r="T59" s="945">
        <f t="shared" si="27"/>
        <v>544454.25365853694</v>
      </c>
      <c r="U59" s="945">
        <f t="shared" si="27"/>
        <v>528416.06634146359</v>
      </c>
      <c r="V59" s="945">
        <f t="shared" si="27"/>
        <v>512377.87902439025</v>
      </c>
      <c r="W59" s="945">
        <f t="shared" si="27"/>
        <v>496339.6917073169</v>
      </c>
      <c r="X59" s="946">
        <v>2.0250000000000001E-2</v>
      </c>
      <c r="Y59" s="947">
        <f t="shared" si="13"/>
        <v>14016.5316</v>
      </c>
      <c r="Z59" s="947">
        <f t="shared" si="13"/>
        <v>49914.341170324929</v>
      </c>
      <c r="AA59" s="947">
        <f t="shared" si="13"/>
        <v>34956.920516022743</v>
      </c>
      <c r="AB59" s="947">
        <f t="shared" si="13"/>
        <v>19999.499861720557</v>
      </c>
      <c r="AC59" s="947">
        <f t="shared" si="20"/>
        <v>13016.57172365855</v>
      </c>
      <c r="AD59" s="947">
        <f t="shared" si="20"/>
        <v>11349.971929756131</v>
      </c>
      <c r="AE59" s="947">
        <f t="shared" si="20"/>
        <v>11025.198636585374</v>
      </c>
      <c r="AF59" s="947">
        <f t="shared" si="20"/>
        <v>10700.425343414638</v>
      </c>
      <c r="AG59" s="947">
        <f t="shared" si="20"/>
        <v>10375.652050243903</v>
      </c>
      <c r="AH59" s="947">
        <f t="shared" si="20"/>
        <v>10050.878757073167</v>
      </c>
    </row>
    <row r="60" spans="1:34" x14ac:dyDescent="0.25">
      <c r="A60" s="949" t="s">
        <v>504</v>
      </c>
      <c r="B60" s="928" t="s">
        <v>653</v>
      </c>
      <c r="C60" s="928" t="s">
        <v>724</v>
      </c>
      <c r="D60" s="928" t="s">
        <v>687</v>
      </c>
      <c r="E60" s="928" t="s">
        <v>725</v>
      </c>
      <c r="F60" s="928" t="s">
        <v>699</v>
      </c>
      <c r="G60" s="949" t="s">
        <v>1348</v>
      </c>
      <c r="H60" s="943" t="s">
        <v>1114</v>
      </c>
      <c r="I60" s="928" t="str">
        <f t="shared" si="21"/>
        <v>F</v>
      </c>
      <c r="J60" s="928" t="str">
        <f t="shared" si="22"/>
        <v>HCV1</v>
      </c>
      <c r="K60" s="928" t="str">
        <f t="shared" si="23"/>
        <v/>
      </c>
      <c r="L60" s="942" t="str">
        <f t="shared" si="24"/>
        <v>TFHCV1HGN-N</v>
      </c>
      <c r="M60" s="942" t="str">
        <f t="shared" si="25"/>
        <v>TFHCV1HGN-E</v>
      </c>
      <c r="N60" s="948" cm="1">
        <f t="array" ref="N60">INDEX(VehicleCostData2022!$T$16:$T$86,MATCH(1,(VehicleCostData2022!$R$16:$R$86=$E60)*(VehicleCostData2022!$S$16:$S$86=$F60),0))</f>
        <v>1189638.0676295361</v>
      </c>
      <c r="O60" s="945">
        <f t="shared" si="27"/>
        <v>4236426.1053616675</v>
      </c>
      <c r="P60" s="945">
        <f t="shared" si="27"/>
        <v>2966931.0896399347</v>
      </c>
      <c r="Q60" s="945">
        <f t="shared" si="27"/>
        <v>1697436.0739182022</v>
      </c>
      <c r="R60" s="945">
        <f t="shared" si="27"/>
        <v>1104767.5469510886</v>
      </c>
      <c r="S60" s="945">
        <f t="shared" si="27"/>
        <v>963316.67915367614</v>
      </c>
      <c r="T60" s="945">
        <f t="shared" si="27"/>
        <v>935751.89465981862</v>
      </c>
      <c r="U60" s="945">
        <f t="shared" si="27"/>
        <v>908187.11016596318</v>
      </c>
      <c r="V60" s="945">
        <f t="shared" si="27"/>
        <v>880622.32567210787</v>
      </c>
      <c r="W60" s="945">
        <f t="shared" si="27"/>
        <v>853057.54117825243</v>
      </c>
      <c r="X60" s="946">
        <v>2.0250000000000001E-2</v>
      </c>
      <c r="Y60" s="947">
        <f t="shared" si="13"/>
        <v>24090.170869498106</v>
      </c>
      <c r="Z60" s="947">
        <f t="shared" si="13"/>
        <v>85787.628633573768</v>
      </c>
      <c r="AA60" s="947">
        <f t="shared" si="13"/>
        <v>60080.354565208683</v>
      </c>
      <c r="AB60" s="947">
        <f t="shared" si="13"/>
        <v>34373.080496843599</v>
      </c>
      <c r="AC60" s="947">
        <f t="shared" si="20"/>
        <v>22371.542825759545</v>
      </c>
      <c r="AD60" s="947">
        <f t="shared" si="20"/>
        <v>19507.162752861943</v>
      </c>
      <c r="AE60" s="947">
        <f t="shared" si="20"/>
        <v>18948.975866861329</v>
      </c>
      <c r="AF60" s="947">
        <f t="shared" si="20"/>
        <v>18390.788980860754</v>
      </c>
      <c r="AG60" s="947">
        <f t="shared" si="20"/>
        <v>17832.602094860184</v>
      </c>
      <c r="AH60" s="947">
        <f t="shared" si="20"/>
        <v>17274.415208859613</v>
      </c>
    </row>
    <row r="61" spans="1:34" x14ac:dyDescent="0.25">
      <c r="A61" s="928" t="s">
        <v>509</v>
      </c>
      <c r="B61" s="928" t="s">
        <v>653</v>
      </c>
      <c r="C61" s="928" t="s">
        <v>724</v>
      </c>
      <c r="D61" s="928" t="s">
        <v>687</v>
      </c>
      <c r="E61" s="928" t="s">
        <v>725</v>
      </c>
      <c r="F61" s="928" t="s">
        <v>700</v>
      </c>
      <c r="G61" s="942" t="str">
        <f t="shared" ref="G61:G63" si="30">IF(A61="HGN",A61,RIGHT(F61,3))</f>
        <v>ICE</v>
      </c>
      <c r="H61" s="943" t="s">
        <v>1114</v>
      </c>
      <c r="I61" s="928" t="str">
        <f t="shared" si="21"/>
        <v>F</v>
      </c>
      <c r="J61" s="928" t="str">
        <f t="shared" si="22"/>
        <v>HCV1</v>
      </c>
      <c r="K61" s="928" t="str">
        <f t="shared" si="23"/>
        <v/>
      </c>
      <c r="L61" s="942" t="str">
        <f t="shared" si="24"/>
        <v>TFHCV1GAS-N</v>
      </c>
      <c r="M61" s="942" t="str">
        <f t="shared" si="25"/>
        <v>TFHCV1GAS-E</v>
      </c>
      <c r="N61" s="948" cm="1">
        <f t="array" ref="N61">INDEX(VehicleCostData2022!$T$16:$T$86,MATCH(1,(VehicleCostData2022!$R$16:$R$86=$E61)*(VehicleCostData2022!$S$16:$S$86=$F61),0))</f>
        <v>648193.49071566667</v>
      </c>
      <c r="O61" s="945">
        <f t="shared" ref="O61:W76" si="31">$N61*INDEX($O$3:$W$6,MATCH($G61,$K$3:$K$6,0),MATCH(O$10,$O$2:$W$2,0))</f>
        <v>632837.20983460394</v>
      </c>
      <c r="P61" s="945">
        <f t="shared" si="31"/>
        <v>639190.94609896734</v>
      </c>
      <c r="Q61" s="945">
        <f t="shared" si="31"/>
        <v>645608.47438423231</v>
      </c>
      <c r="R61" s="945">
        <f t="shared" si="31"/>
        <v>652090.43516739714</v>
      </c>
      <c r="S61" s="945">
        <f t="shared" si="31"/>
        <v>658637.47535590071</v>
      </c>
      <c r="T61" s="945">
        <f t="shared" si="31"/>
        <v>665250.24835218408</v>
      </c>
      <c r="U61" s="945">
        <f t="shared" si="31"/>
        <v>671929.4141189009</v>
      </c>
      <c r="V61" s="945">
        <f t="shared" si="31"/>
        <v>678675.63924478367</v>
      </c>
      <c r="W61" s="945">
        <f t="shared" si="31"/>
        <v>685489.59701116814</v>
      </c>
      <c r="X61" s="946">
        <v>2.7E-2</v>
      </c>
      <c r="Y61" s="947">
        <f t="shared" si="13"/>
        <v>17501.224249323001</v>
      </c>
      <c r="Z61" s="947">
        <f t="shared" si="13"/>
        <v>17086.604665534305</v>
      </c>
      <c r="AA61" s="947">
        <f t="shared" si="13"/>
        <v>17258.155544672118</v>
      </c>
      <c r="AB61" s="947">
        <f t="shared" si="13"/>
        <v>17431.428808374272</v>
      </c>
      <c r="AC61" s="947">
        <f t="shared" si="20"/>
        <v>17606.441749519723</v>
      </c>
      <c r="AD61" s="947">
        <f t="shared" si="20"/>
        <v>17783.211834609319</v>
      </c>
      <c r="AE61" s="947">
        <f t="shared" si="20"/>
        <v>17961.756705508971</v>
      </c>
      <c r="AF61" s="947">
        <f t="shared" si="20"/>
        <v>18142.094181210323</v>
      </c>
      <c r="AG61" s="947">
        <f t="shared" si="20"/>
        <v>18324.24225960916</v>
      </c>
      <c r="AH61" s="947">
        <f t="shared" si="20"/>
        <v>18508.219119301539</v>
      </c>
    </row>
    <row r="62" spans="1:34" x14ac:dyDescent="0.25">
      <c r="A62" s="928" t="s">
        <v>511</v>
      </c>
      <c r="B62" s="928" t="s">
        <v>653</v>
      </c>
      <c r="C62" s="928" t="s">
        <v>728</v>
      </c>
      <c r="D62" s="928" t="s">
        <v>687</v>
      </c>
      <c r="E62" s="928" t="s">
        <v>725</v>
      </c>
      <c r="F62" s="928" t="s">
        <v>687</v>
      </c>
      <c r="G62" s="942" t="str">
        <f t="shared" si="30"/>
        <v>ICE</v>
      </c>
      <c r="H62" s="943" t="s">
        <v>1114</v>
      </c>
      <c r="I62" s="928" t="str">
        <f t="shared" si="21"/>
        <v>F</v>
      </c>
      <c r="J62" s="928" t="str">
        <f t="shared" si="22"/>
        <v>HCV2</v>
      </c>
      <c r="K62" s="928" t="str">
        <f t="shared" si="23"/>
        <v/>
      </c>
      <c r="L62" s="942" t="str">
        <f t="shared" si="24"/>
        <v>TFHCV2ODS-N</v>
      </c>
      <c r="M62" s="942" t="str">
        <f t="shared" si="25"/>
        <v>TFHCV2ODS-E</v>
      </c>
      <c r="N62" s="948" cm="1">
        <f t="array" ref="N62">INDEX(VehicleCostData2022!$T$16:$T$86,MATCH(1,(VehicleCostData2022!$R$16:$R$86=$E62)*(VehicleCostData2022!$S$16:$S$86=$F62),0))</f>
        <v>524668.23529411759</v>
      </c>
      <c r="O62" s="945">
        <f t="shared" si="31"/>
        <v>512238.37768840115</v>
      </c>
      <c r="P62" s="945">
        <f t="shared" si="31"/>
        <v>517381.29202045838</v>
      </c>
      <c r="Q62" s="945">
        <f t="shared" si="31"/>
        <v>522575.84162425413</v>
      </c>
      <c r="R62" s="945">
        <f t="shared" si="31"/>
        <v>527822.5449220516</v>
      </c>
      <c r="S62" s="945">
        <f t="shared" si="31"/>
        <v>533121.92554111534</v>
      </c>
      <c r="T62" s="945">
        <f t="shared" si="31"/>
        <v>538474.51236596901</v>
      </c>
      <c r="U62" s="945">
        <f t="shared" si="31"/>
        <v>543880.83959117939</v>
      </c>
      <c r="V62" s="945">
        <f t="shared" si="31"/>
        <v>549341.44677466981</v>
      </c>
      <c r="W62" s="945">
        <f t="shared" si="31"/>
        <v>554856.87889156805</v>
      </c>
      <c r="X62" s="946">
        <v>2.7E-2</v>
      </c>
      <c r="Y62" s="947">
        <f t="shared" si="13"/>
        <v>14166.042352941175</v>
      </c>
      <c r="Z62" s="947">
        <f t="shared" si="13"/>
        <v>13830.436197586831</v>
      </c>
      <c r="AA62" s="947">
        <f t="shared" si="13"/>
        <v>13969.294884552377</v>
      </c>
      <c r="AB62" s="947">
        <f t="shared" si="13"/>
        <v>14109.547723854861</v>
      </c>
      <c r="AC62" s="947">
        <f t="shared" si="20"/>
        <v>14251.208712895394</v>
      </c>
      <c r="AD62" s="947">
        <f t="shared" si="20"/>
        <v>14394.291989610114</v>
      </c>
      <c r="AE62" s="947">
        <f t="shared" si="20"/>
        <v>14538.811833881164</v>
      </c>
      <c r="AF62" s="947">
        <f t="shared" si="20"/>
        <v>14684.782668961843</v>
      </c>
      <c r="AG62" s="947">
        <f t="shared" si="20"/>
        <v>14832.219062916085</v>
      </c>
      <c r="AH62" s="947">
        <f t="shared" si="20"/>
        <v>14981.135730072338</v>
      </c>
    </row>
    <row r="63" spans="1:34" x14ac:dyDescent="0.25">
      <c r="A63" s="928" t="s">
        <v>501</v>
      </c>
      <c r="B63" s="928" t="s">
        <v>653</v>
      </c>
      <c r="C63" s="928" t="s">
        <v>728</v>
      </c>
      <c r="D63" s="928" t="s">
        <v>687</v>
      </c>
      <c r="E63" s="928" t="s">
        <v>725</v>
      </c>
      <c r="F63" s="928" t="s">
        <v>692</v>
      </c>
      <c r="G63" s="942" t="str">
        <f t="shared" si="30"/>
        <v>BEV</v>
      </c>
      <c r="H63" s="943" t="s">
        <v>1114</v>
      </c>
      <c r="I63" s="928" t="str">
        <f t="shared" si="21"/>
        <v>F</v>
      </c>
      <c r="J63" s="928" t="str">
        <f t="shared" si="22"/>
        <v>HCV2</v>
      </c>
      <c r="K63" s="928" t="str">
        <f t="shared" si="23"/>
        <v/>
      </c>
      <c r="L63" s="942" t="str">
        <f t="shared" si="24"/>
        <v>TFHCV2ELC-N</v>
      </c>
      <c r="M63" s="942" t="str">
        <f t="shared" si="25"/>
        <v>TFHCV2ELC-E</v>
      </c>
      <c r="N63" s="948" cm="1">
        <f t="array" ref="N63">INDEX(VehicleCostData2022!$T$16:$T$86,MATCH(1,(VehicleCostData2022!$R$16:$R$86=$E63)*(VehicleCostData2022!$S$16:$S$86=$F63),0))</f>
        <v>692174.4</v>
      </c>
      <c r="O63" s="945">
        <f t="shared" si="31"/>
        <v>2464905.7368061692</v>
      </c>
      <c r="P63" s="945">
        <f t="shared" si="31"/>
        <v>1726267.6798035922</v>
      </c>
      <c r="Q63" s="945">
        <f t="shared" si="31"/>
        <v>987629.62280101504</v>
      </c>
      <c r="R63" s="945">
        <f t="shared" si="31"/>
        <v>642793.66536585428</v>
      </c>
      <c r="S63" s="945">
        <f t="shared" si="31"/>
        <v>560492.44097561145</v>
      </c>
      <c r="T63" s="945">
        <f t="shared" si="31"/>
        <v>544454.25365853694</v>
      </c>
      <c r="U63" s="945">
        <f t="shared" si="31"/>
        <v>528416.06634146359</v>
      </c>
      <c r="V63" s="945">
        <f t="shared" si="31"/>
        <v>512377.87902439025</v>
      </c>
      <c r="W63" s="945">
        <f t="shared" si="31"/>
        <v>496339.6917073169</v>
      </c>
      <c r="X63" s="946">
        <v>2.0250000000000001E-2</v>
      </c>
      <c r="Y63" s="947">
        <f t="shared" si="13"/>
        <v>14016.5316</v>
      </c>
      <c r="Z63" s="947">
        <f t="shared" si="13"/>
        <v>49914.341170324929</v>
      </c>
      <c r="AA63" s="947">
        <f t="shared" si="13"/>
        <v>34956.920516022743</v>
      </c>
      <c r="AB63" s="947">
        <f t="shared" si="13"/>
        <v>19999.499861720557</v>
      </c>
      <c r="AC63" s="947">
        <f t="shared" si="20"/>
        <v>13016.57172365855</v>
      </c>
      <c r="AD63" s="947">
        <f t="shared" si="20"/>
        <v>11349.971929756131</v>
      </c>
      <c r="AE63" s="947">
        <f t="shared" si="20"/>
        <v>11025.198636585374</v>
      </c>
      <c r="AF63" s="947">
        <f t="shared" si="20"/>
        <v>10700.425343414638</v>
      </c>
      <c r="AG63" s="947">
        <f t="shared" si="20"/>
        <v>10375.652050243903</v>
      </c>
      <c r="AH63" s="947">
        <f t="shared" si="20"/>
        <v>10050.878757073167</v>
      </c>
    </row>
    <row r="64" spans="1:34" x14ac:dyDescent="0.25">
      <c r="A64" s="949" t="s">
        <v>504</v>
      </c>
      <c r="B64" s="928" t="s">
        <v>653</v>
      </c>
      <c r="C64" s="928" t="s">
        <v>728</v>
      </c>
      <c r="D64" s="928" t="s">
        <v>687</v>
      </c>
      <c r="E64" s="928" t="s">
        <v>725</v>
      </c>
      <c r="F64" s="928" t="s">
        <v>699</v>
      </c>
      <c r="G64" s="949" t="s">
        <v>1348</v>
      </c>
      <c r="H64" s="943" t="s">
        <v>1114</v>
      </c>
      <c r="I64" s="928" t="str">
        <f t="shared" si="21"/>
        <v>F</v>
      </c>
      <c r="J64" s="928" t="str">
        <f t="shared" si="22"/>
        <v>HCV2</v>
      </c>
      <c r="K64" s="928" t="str">
        <f t="shared" si="23"/>
        <v/>
      </c>
      <c r="L64" s="942" t="str">
        <f t="shared" si="24"/>
        <v>TFHCV2HGN-N</v>
      </c>
      <c r="M64" s="942" t="str">
        <f t="shared" si="25"/>
        <v>TFHCV2HGN-E</v>
      </c>
      <c r="N64" s="948" cm="1">
        <f t="array" ref="N64">INDEX(VehicleCostData2022!$T$16:$T$86,MATCH(1,(VehicleCostData2022!$R$16:$R$86=$E64)*(VehicleCostData2022!$S$16:$S$86=$F64),0))</f>
        <v>1189638.0676295361</v>
      </c>
      <c r="O64" s="945">
        <f t="shared" si="31"/>
        <v>4236426.1053616675</v>
      </c>
      <c r="P64" s="945">
        <f t="shared" si="31"/>
        <v>2966931.0896399347</v>
      </c>
      <c r="Q64" s="945">
        <f t="shared" si="31"/>
        <v>1697436.0739182022</v>
      </c>
      <c r="R64" s="945">
        <f t="shared" si="31"/>
        <v>1104767.5469510886</v>
      </c>
      <c r="S64" s="945">
        <f t="shared" si="31"/>
        <v>963316.67915367614</v>
      </c>
      <c r="T64" s="945">
        <f t="shared" si="31"/>
        <v>935751.89465981862</v>
      </c>
      <c r="U64" s="945">
        <f t="shared" si="31"/>
        <v>908187.11016596318</v>
      </c>
      <c r="V64" s="945">
        <f t="shared" si="31"/>
        <v>880622.32567210787</v>
      </c>
      <c r="W64" s="945">
        <f t="shared" si="31"/>
        <v>853057.54117825243</v>
      </c>
      <c r="X64" s="946">
        <v>2.0250000000000001E-2</v>
      </c>
      <c r="Y64" s="947">
        <f t="shared" si="13"/>
        <v>24090.170869498106</v>
      </c>
      <c r="Z64" s="947">
        <f t="shared" si="13"/>
        <v>85787.628633573768</v>
      </c>
      <c r="AA64" s="947">
        <f t="shared" si="13"/>
        <v>60080.354565208683</v>
      </c>
      <c r="AB64" s="947">
        <f t="shared" si="13"/>
        <v>34373.080496843599</v>
      </c>
      <c r="AC64" s="947">
        <f t="shared" si="20"/>
        <v>22371.542825759545</v>
      </c>
      <c r="AD64" s="947">
        <f t="shared" si="20"/>
        <v>19507.162752861943</v>
      </c>
      <c r="AE64" s="947">
        <f t="shared" si="20"/>
        <v>18948.975866861329</v>
      </c>
      <c r="AF64" s="947">
        <f t="shared" si="20"/>
        <v>18390.788980860754</v>
      </c>
      <c r="AG64" s="947">
        <f t="shared" si="20"/>
        <v>17832.602094860184</v>
      </c>
      <c r="AH64" s="947">
        <f t="shared" si="20"/>
        <v>17274.415208859613</v>
      </c>
    </row>
    <row r="65" spans="1:34" x14ac:dyDescent="0.25">
      <c r="A65" s="928" t="s">
        <v>509</v>
      </c>
      <c r="B65" s="928" t="s">
        <v>653</v>
      </c>
      <c r="C65" s="928" t="s">
        <v>728</v>
      </c>
      <c r="D65" s="928" t="s">
        <v>687</v>
      </c>
      <c r="E65" s="928" t="s">
        <v>725</v>
      </c>
      <c r="F65" s="928" t="s">
        <v>700</v>
      </c>
      <c r="G65" s="942" t="str">
        <f t="shared" ref="G65:G67" si="32">IF(A65="HGN",A65,RIGHT(F65,3))</f>
        <v>ICE</v>
      </c>
      <c r="H65" s="943" t="s">
        <v>1114</v>
      </c>
      <c r="I65" s="928" t="str">
        <f t="shared" si="21"/>
        <v>F</v>
      </c>
      <c r="J65" s="928" t="str">
        <f t="shared" si="22"/>
        <v>HCV2</v>
      </c>
      <c r="K65" s="928" t="str">
        <f t="shared" si="23"/>
        <v/>
      </c>
      <c r="L65" s="942" t="str">
        <f t="shared" si="24"/>
        <v>TFHCV2GAS-N</v>
      </c>
      <c r="M65" s="942" t="str">
        <f t="shared" si="25"/>
        <v>TFHCV2GAS-E</v>
      </c>
      <c r="N65" s="948" cm="1">
        <f t="array" ref="N65">INDEX(VehicleCostData2022!$T$16:$T$86,MATCH(1,(VehicleCostData2022!$R$16:$R$86=$E65)*(VehicleCostData2022!$S$16:$S$86=$F65),0))</f>
        <v>648193.49071566667</v>
      </c>
      <c r="O65" s="945">
        <f t="shared" si="31"/>
        <v>632837.20983460394</v>
      </c>
      <c r="P65" s="945">
        <f t="shared" si="31"/>
        <v>639190.94609896734</v>
      </c>
      <c r="Q65" s="945">
        <f t="shared" si="31"/>
        <v>645608.47438423231</v>
      </c>
      <c r="R65" s="945">
        <f t="shared" si="31"/>
        <v>652090.43516739714</v>
      </c>
      <c r="S65" s="945">
        <f t="shared" si="31"/>
        <v>658637.47535590071</v>
      </c>
      <c r="T65" s="945">
        <f t="shared" si="31"/>
        <v>665250.24835218408</v>
      </c>
      <c r="U65" s="945">
        <f t="shared" si="31"/>
        <v>671929.4141189009</v>
      </c>
      <c r="V65" s="945">
        <f t="shared" si="31"/>
        <v>678675.63924478367</v>
      </c>
      <c r="W65" s="945">
        <f t="shared" si="31"/>
        <v>685489.59701116814</v>
      </c>
      <c r="X65" s="946">
        <v>2.7E-2</v>
      </c>
      <c r="Y65" s="947">
        <f t="shared" si="13"/>
        <v>17501.224249323001</v>
      </c>
      <c r="Z65" s="947">
        <f t="shared" si="13"/>
        <v>17086.604665534305</v>
      </c>
      <c r="AA65" s="947">
        <f t="shared" si="13"/>
        <v>17258.155544672118</v>
      </c>
      <c r="AB65" s="947">
        <f t="shared" si="13"/>
        <v>17431.428808374272</v>
      </c>
      <c r="AC65" s="947">
        <f t="shared" si="20"/>
        <v>17606.441749519723</v>
      </c>
      <c r="AD65" s="947">
        <f t="shared" si="20"/>
        <v>17783.211834609319</v>
      </c>
      <c r="AE65" s="947">
        <f t="shared" si="20"/>
        <v>17961.756705508971</v>
      </c>
      <c r="AF65" s="947">
        <f t="shared" si="20"/>
        <v>18142.094181210323</v>
      </c>
      <c r="AG65" s="947">
        <f t="shared" si="20"/>
        <v>18324.24225960916</v>
      </c>
      <c r="AH65" s="947">
        <f t="shared" si="20"/>
        <v>18508.219119301539</v>
      </c>
    </row>
    <row r="66" spans="1:34" x14ac:dyDescent="0.25">
      <c r="A66" s="928" t="s">
        <v>511</v>
      </c>
      <c r="B66" s="928" t="s">
        <v>653</v>
      </c>
      <c r="C66" s="928" t="s">
        <v>731</v>
      </c>
      <c r="D66" s="928" t="s">
        <v>687</v>
      </c>
      <c r="E66" s="928" t="s">
        <v>725</v>
      </c>
      <c r="F66" s="928" t="s">
        <v>687</v>
      </c>
      <c r="G66" s="942" t="str">
        <f t="shared" si="32"/>
        <v>ICE</v>
      </c>
      <c r="H66" s="943" t="s">
        <v>1114</v>
      </c>
      <c r="I66" s="928" t="str">
        <f t="shared" si="21"/>
        <v>F</v>
      </c>
      <c r="J66" s="928" t="str">
        <f t="shared" si="22"/>
        <v>HCV3</v>
      </c>
      <c r="K66" s="928" t="str">
        <f t="shared" si="23"/>
        <v/>
      </c>
      <c r="L66" s="942" t="str">
        <f t="shared" si="24"/>
        <v>TFHCV3ODS-N</v>
      </c>
      <c r="M66" s="942" t="str">
        <f t="shared" si="25"/>
        <v>TFHCV3ODS-E</v>
      </c>
      <c r="N66" s="948" cm="1">
        <f t="array" ref="N66">INDEX(VehicleCostData2022!$T$16:$T$86,MATCH(1,(VehicleCostData2022!$R$16:$R$86=$E66)*(VehicleCostData2022!$S$16:$S$86=$F66),0))</f>
        <v>524668.23529411759</v>
      </c>
      <c r="O66" s="945">
        <f t="shared" si="31"/>
        <v>512238.37768840115</v>
      </c>
      <c r="P66" s="945">
        <f t="shared" si="31"/>
        <v>517381.29202045838</v>
      </c>
      <c r="Q66" s="945">
        <f t="shared" si="31"/>
        <v>522575.84162425413</v>
      </c>
      <c r="R66" s="945">
        <f t="shared" si="31"/>
        <v>527822.5449220516</v>
      </c>
      <c r="S66" s="945">
        <f t="shared" si="31"/>
        <v>533121.92554111534</v>
      </c>
      <c r="T66" s="945">
        <f t="shared" si="31"/>
        <v>538474.51236596901</v>
      </c>
      <c r="U66" s="945">
        <f t="shared" si="31"/>
        <v>543880.83959117939</v>
      </c>
      <c r="V66" s="945">
        <f t="shared" si="31"/>
        <v>549341.44677466981</v>
      </c>
      <c r="W66" s="945">
        <f t="shared" si="31"/>
        <v>554856.87889156805</v>
      </c>
      <c r="X66" s="946">
        <v>2.7E-2</v>
      </c>
      <c r="Y66" s="947">
        <f t="shared" si="13"/>
        <v>14166.042352941175</v>
      </c>
      <c r="Z66" s="947">
        <f t="shared" si="13"/>
        <v>13830.436197586831</v>
      </c>
      <c r="AA66" s="947">
        <f t="shared" si="13"/>
        <v>13969.294884552377</v>
      </c>
      <c r="AB66" s="947">
        <f t="shared" si="13"/>
        <v>14109.547723854861</v>
      </c>
      <c r="AC66" s="947">
        <f t="shared" si="20"/>
        <v>14251.208712895394</v>
      </c>
      <c r="AD66" s="947">
        <f t="shared" si="20"/>
        <v>14394.291989610114</v>
      </c>
      <c r="AE66" s="947">
        <f t="shared" si="20"/>
        <v>14538.811833881164</v>
      </c>
      <c r="AF66" s="947">
        <f t="shared" si="20"/>
        <v>14684.782668961843</v>
      </c>
      <c r="AG66" s="947">
        <f t="shared" si="20"/>
        <v>14832.219062916085</v>
      </c>
      <c r="AH66" s="947">
        <f t="shared" si="20"/>
        <v>14981.135730072338</v>
      </c>
    </row>
    <row r="67" spans="1:34" x14ac:dyDescent="0.25">
      <c r="A67" s="928" t="s">
        <v>501</v>
      </c>
      <c r="B67" s="928" t="s">
        <v>653</v>
      </c>
      <c r="C67" s="928" t="s">
        <v>731</v>
      </c>
      <c r="D67" s="928" t="s">
        <v>687</v>
      </c>
      <c r="E67" s="928" t="s">
        <v>725</v>
      </c>
      <c r="F67" s="928" t="s">
        <v>692</v>
      </c>
      <c r="G67" s="942" t="str">
        <f t="shared" si="32"/>
        <v>BEV</v>
      </c>
      <c r="H67" s="943" t="s">
        <v>1114</v>
      </c>
      <c r="I67" s="928" t="str">
        <f t="shared" si="21"/>
        <v>F</v>
      </c>
      <c r="J67" s="928" t="str">
        <f t="shared" si="22"/>
        <v>HCV3</v>
      </c>
      <c r="K67" s="928" t="str">
        <f t="shared" si="23"/>
        <v/>
      </c>
      <c r="L67" s="942" t="str">
        <f t="shared" si="24"/>
        <v>TFHCV3ELC-N</v>
      </c>
      <c r="M67" s="942" t="str">
        <f t="shared" si="25"/>
        <v>TFHCV3ELC-E</v>
      </c>
      <c r="N67" s="948" cm="1">
        <f t="array" ref="N67">INDEX(VehicleCostData2022!$T$16:$T$86,MATCH(1,(VehicleCostData2022!$R$16:$R$86=$E67)*(VehicleCostData2022!$S$16:$S$86=$F67),0))</f>
        <v>692174.4</v>
      </c>
      <c r="O67" s="945">
        <f t="shared" si="31"/>
        <v>2464905.7368061692</v>
      </c>
      <c r="P67" s="945">
        <f t="shared" si="31"/>
        <v>1726267.6798035922</v>
      </c>
      <c r="Q67" s="945">
        <f t="shared" si="31"/>
        <v>987629.62280101504</v>
      </c>
      <c r="R67" s="945">
        <f t="shared" si="31"/>
        <v>642793.66536585428</v>
      </c>
      <c r="S67" s="945">
        <f t="shared" si="31"/>
        <v>560492.44097561145</v>
      </c>
      <c r="T67" s="945">
        <f t="shared" si="31"/>
        <v>544454.25365853694</v>
      </c>
      <c r="U67" s="945">
        <f t="shared" si="31"/>
        <v>528416.06634146359</v>
      </c>
      <c r="V67" s="945">
        <f t="shared" si="31"/>
        <v>512377.87902439025</v>
      </c>
      <c r="W67" s="945">
        <f t="shared" si="31"/>
        <v>496339.6917073169</v>
      </c>
      <c r="X67" s="946">
        <v>2.0250000000000001E-2</v>
      </c>
      <c r="Y67" s="947">
        <f t="shared" si="13"/>
        <v>14016.5316</v>
      </c>
      <c r="Z67" s="947">
        <f t="shared" si="13"/>
        <v>49914.341170324929</v>
      </c>
      <c r="AA67" s="947">
        <f t="shared" si="13"/>
        <v>34956.920516022743</v>
      </c>
      <c r="AB67" s="947">
        <f t="shared" si="13"/>
        <v>19999.499861720557</v>
      </c>
      <c r="AC67" s="947">
        <f t="shared" si="20"/>
        <v>13016.57172365855</v>
      </c>
      <c r="AD67" s="947">
        <f t="shared" si="20"/>
        <v>11349.971929756131</v>
      </c>
      <c r="AE67" s="947">
        <f t="shared" si="20"/>
        <v>11025.198636585374</v>
      </c>
      <c r="AF67" s="947">
        <f t="shared" si="20"/>
        <v>10700.425343414638</v>
      </c>
      <c r="AG67" s="947">
        <f t="shared" si="20"/>
        <v>10375.652050243903</v>
      </c>
      <c r="AH67" s="947">
        <f t="shared" si="20"/>
        <v>10050.878757073167</v>
      </c>
    </row>
    <row r="68" spans="1:34" x14ac:dyDescent="0.25">
      <c r="A68" s="949" t="s">
        <v>504</v>
      </c>
      <c r="B68" s="928" t="s">
        <v>653</v>
      </c>
      <c r="C68" s="928" t="s">
        <v>731</v>
      </c>
      <c r="D68" s="928" t="s">
        <v>687</v>
      </c>
      <c r="E68" s="928" t="s">
        <v>725</v>
      </c>
      <c r="F68" s="928" t="s">
        <v>699</v>
      </c>
      <c r="G68" s="949" t="s">
        <v>1348</v>
      </c>
      <c r="H68" s="943" t="s">
        <v>1114</v>
      </c>
      <c r="I68" s="928" t="str">
        <f t="shared" si="21"/>
        <v>F</v>
      </c>
      <c r="J68" s="928" t="str">
        <f t="shared" si="22"/>
        <v>HCV3</v>
      </c>
      <c r="K68" s="928" t="str">
        <f t="shared" si="23"/>
        <v/>
      </c>
      <c r="L68" s="942" t="str">
        <f t="shared" si="24"/>
        <v>TFHCV3HGN-N</v>
      </c>
      <c r="M68" s="942" t="str">
        <f t="shared" si="25"/>
        <v>TFHCV3HGN-E</v>
      </c>
      <c r="N68" s="948" cm="1">
        <f t="array" ref="N68">INDEX(VehicleCostData2022!$T$16:$T$86,MATCH(1,(VehicleCostData2022!$R$16:$R$86=$E68)*(VehicleCostData2022!$S$16:$S$86=$F68),0))</f>
        <v>1189638.0676295361</v>
      </c>
      <c r="O68" s="945">
        <f t="shared" si="31"/>
        <v>4236426.1053616675</v>
      </c>
      <c r="P68" s="945">
        <f t="shared" si="31"/>
        <v>2966931.0896399347</v>
      </c>
      <c r="Q68" s="945">
        <f t="shared" si="31"/>
        <v>1697436.0739182022</v>
      </c>
      <c r="R68" s="945">
        <f t="shared" si="31"/>
        <v>1104767.5469510886</v>
      </c>
      <c r="S68" s="945">
        <f t="shared" si="31"/>
        <v>963316.67915367614</v>
      </c>
      <c r="T68" s="945">
        <f t="shared" si="31"/>
        <v>935751.89465981862</v>
      </c>
      <c r="U68" s="945">
        <f t="shared" si="31"/>
        <v>908187.11016596318</v>
      </c>
      <c r="V68" s="945">
        <f t="shared" si="31"/>
        <v>880622.32567210787</v>
      </c>
      <c r="W68" s="945">
        <f t="shared" si="31"/>
        <v>853057.54117825243</v>
      </c>
      <c r="X68" s="946">
        <v>2.0250000000000001E-2</v>
      </c>
      <c r="Y68" s="947">
        <f t="shared" si="13"/>
        <v>24090.170869498106</v>
      </c>
      <c r="Z68" s="947">
        <f t="shared" si="13"/>
        <v>85787.628633573768</v>
      </c>
      <c r="AA68" s="947">
        <f t="shared" si="13"/>
        <v>60080.354565208683</v>
      </c>
      <c r="AB68" s="947">
        <f t="shared" si="13"/>
        <v>34373.080496843599</v>
      </c>
      <c r="AC68" s="947">
        <f t="shared" si="20"/>
        <v>22371.542825759545</v>
      </c>
      <c r="AD68" s="947">
        <f t="shared" si="20"/>
        <v>19507.162752861943</v>
      </c>
      <c r="AE68" s="947">
        <f t="shared" si="20"/>
        <v>18948.975866861329</v>
      </c>
      <c r="AF68" s="947">
        <f t="shared" si="20"/>
        <v>18390.788980860754</v>
      </c>
      <c r="AG68" s="947">
        <f t="shared" si="20"/>
        <v>17832.602094860184</v>
      </c>
      <c r="AH68" s="947">
        <f t="shared" si="20"/>
        <v>17274.415208859613</v>
      </c>
    </row>
    <row r="69" spans="1:34" x14ac:dyDescent="0.25">
      <c r="A69" s="928" t="s">
        <v>509</v>
      </c>
      <c r="B69" s="928" t="s">
        <v>653</v>
      </c>
      <c r="C69" s="928" t="s">
        <v>731</v>
      </c>
      <c r="D69" s="928" t="s">
        <v>687</v>
      </c>
      <c r="E69" s="928" t="s">
        <v>725</v>
      </c>
      <c r="F69" s="928" t="s">
        <v>700</v>
      </c>
      <c r="G69" s="942" t="str">
        <f t="shared" ref="G69:G71" si="33">IF(A69="HGN",A69,RIGHT(F69,3))</f>
        <v>ICE</v>
      </c>
      <c r="H69" s="943" t="s">
        <v>1114</v>
      </c>
      <c r="I69" s="928" t="str">
        <f t="shared" si="21"/>
        <v>F</v>
      </c>
      <c r="J69" s="928" t="str">
        <f t="shared" si="22"/>
        <v>HCV3</v>
      </c>
      <c r="K69" s="928" t="str">
        <f t="shared" si="23"/>
        <v/>
      </c>
      <c r="L69" s="942" t="str">
        <f t="shared" si="24"/>
        <v>TFHCV3GAS-N</v>
      </c>
      <c r="M69" s="942" t="str">
        <f t="shared" si="25"/>
        <v>TFHCV3GAS-E</v>
      </c>
      <c r="N69" s="948" cm="1">
        <f t="array" ref="N69">INDEX(VehicleCostData2022!$T$16:$T$86,MATCH(1,(VehicleCostData2022!$R$16:$R$86=$E69)*(VehicleCostData2022!$S$16:$S$86=$F69),0))</f>
        <v>648193.49071566667</v>
      </c>
      <c r="O69" s="945">
        <f t="shared" si="31"/>
        <v>632837.20983460394</v>
      </c>
      <c r="P69" s="945">
        <f t="shared" si="31"/>
        <v>639190.94609896734</v>
      </c>
      <c r="Q69" s="945">
        <f t="shared" si="31"/>
        <v>645608.47438423231</v>
      </c>
      <c r="R69" s="945">
        <f t="shared" si="31"/>
        <v>652090.43516739714</v>
      </c>
      <c r="S69" s="945">
        <f t="shared" si="31"/>
        <v>658637.47535590071</v>
      </c>
      <c r="T69" s="945">
        <f t="shared" si="31"/>
        <v>665250.24835218408</v>
      </c>
      <c r="U69" s="945">
        <f t="shared" si="31"/>
        <v>671929.4141189009</v>
      </c>
      <c r="V69" s="945">
        <f t="shared" si="31"/>
        <v>678675.63924478367</v>
      </c>
      <c r="W69" s="945">
        <f t="shared" si="31"/>
        <v>685489.59701116814</v>
      </c>
      <c r="X69" s="946">
        <v>2.7E-2</v>
      </c>
      <c r="Y69" s="947">
        <f t="shared" si="13"/>
        <v>17501.224249323001</v>
      </c>
      <c r="Z69" s="947">
        <f t="shared" si="13"/>
        <v>17086.604665534305</v>
      </c>
      <c r="AA69" s="947">
        <f t="shared" si="13"/>
        <v>17258.155544672118</v>
      </c>
      <c r="AB69" s="947">
        <f t="shared" si="13"/>
        <v>17431.428808374272</v>
      </c>
      <c r="AC69" s="947">
        <f t="shared" si="20"/>
        <v>17606.441749519723</v>
      </c>
      <c r="AD69" s="947">
        <f t="shared" si="20"/>
        <v>17783.211834609319</v>
      </c>
      <c r="AE69" s="947">
        <f t="shared" si="20"/>
        <v>17961.756705508971</v>
      </c>
      <c r="AF69" s="947">
        <f t="shared" si="20"/>
        <v>18142.094181210323</v>
      </c>
      <c r="AG69" s="947">
        <f t="shared" si="20"/>
        <v>18324.24225960916</v>
      </c>
      <c r="AH69" s="947">
        <f t="shared" si="20"/>
        <v>18508.219119301539</v>
      </c>
    </row>
    <row r="70" spans="1:34" x14ac:dyDescent="0.25">
      <c r="A70" s="928" t="s">
        <v>511</v>
      </c>
      <c r="B70" s="928" t="s">
        <v>653</v>
      </c>
      <c r="C70" s="928" t="s">
        <v>732</v>
      </c>
      <c r="D70" s="928" t="s">
        <v>687</v>
      </c>
      <c r="E70" s="928" t="s">
        <v>733</v>
      </c>
      <c r="F70" s="928" t="s">
        <v>687</v>
      </c>
      <c r="G70" s="942" t="str">
        <f t="shared" si="33"/>
        <v>ICE</v>
      </c>
      <c r="H70" s="943" t="s">
        <v>1114</v>
      </c>
      <c r="I70" s="928" t="str">
        <f t="shared" si="21"/>
        <v>F</v>
      </c>
      <c r="J70" s="928" t="str">
        <f t="shared" si="22"/>
        <v>HCV4</v>
      </c>
      <c r="K70" s="928" t="str">
        <f t="shared" si="23"/>
        <v/>
      </c>
      <c r="L70" s="942" t="str">
        <f t="shared" si="24"/>
        <v>TFHCV4ODS-N</v>
      </c>
      <c r="M70" s="942" t="str">
        <f t="shared" si="25"/>
        <v>TFHCV4ODS-E</v>
      </c>
      <c r="N70" s="948" cm="1">
        <f t="array" ref="N70">INDEX(VehicleCostData2022!$T$16:$T$86,MATCH(1,(VehicleCostData2022!$R$16:$R$86=$E70)*(VehicleCostData2022!$S$16:$S$86=$F70),0))</f>
        <v>906349.91499240114</v>
      </c>
      <c r="O70" s="945">
        <f t="shared" si="31"/>
        <v>884877.6785838193</v>
      </c>
      <c r="P70" s="945">
        <f t="shared" si="31"/>
        <v>893761.92133783363</v>
      </c>
      <c r="Q70" s="945">
        <f t="shared" si="31"/>
        <v>902735.36260054866</v>
      </c>
      <c r="R70" s="945">
        <f t="shared" si="31"/>
        <v>911798.89793213469</v>
      </c>
      <c r="S70" s="945">
        <f t="shared" si="31"/>
        <v>920953.43188425817</v>
      </c>
      <c r="T70" s="945">
        <f t="shared" si="31"/>
        <v>930199.87809035648</v>
      </c>
      <c r="U70" s="945">
        <f t="shared" si="31"/>
        <v>939539.15935681935</v>
      </c>
      <c r="V70" s="945">
        <f t="shared" si="31"/>
        <v>948972.20775508776</v>
      </c>
      <c r="W70" s="945">
        <f t="shared" si="31"/>
        <v>958499.96471467346</v>
      </c>
      <c r="X70" s="946">
        <v>2.7E-2</v>
      </c>
      <c r="Y70" s="947">
        <f t="shared" si="13"/>
        <v>24471.447704794831</v>
      </c>
      <c r="Z70" s="947">
        <f t="shared" si="13"/>
        <v>23891.69732176312</v>
      </c>
      <c r="AA70" s="947">
        <f t="shared" si="13"/>
        <v>24131.571876121507</v>
      </c>
      <c r="AB70" s="947">
        <f t="shared" si="13"/>
        <v>24373.854790214813</v>
      </c>
      <c r="AC70" s="947">
        <f t="shared" si="20"/>
        <v>24618.570244167637</v>
      </c>
      <c r="AD70" s="947">
        <f t="shared" si="20"/>
        <v>24865.74266087497</v>
      </c>
      <c r="AE70" s="947">
        <f t="shared" si="20"/>
        <v>25115.396708439624</v>
      </c>
      <c r="AF70" s="947">
        <f t="shared" si="20"/>
        <v>25367.557302634123</v>
      </c>
      <c r="AG70" s="947">
        <f t="shared" si="20"/>
        <v>25622.249609387371</v>
      </c>
      <c r="AH70" s="947">
        <f t="shared" si="20"/>
        <v>25879.499047296184</v>
      </c>
    </row>
    <row r="71" spans="1:34" x14ac:dyDescent="0.25">
      <c r="A71" s="928" t="s">
        <v>501</v>
      </c>
      <c r="B71" s="928" t="s">
        <v>653</v>
      </c>
      <c r="C71" s="928" t="s">
        <v>732</v>
      </c>
      <c r="D71" s="928" t="s">
        <v>687</v>
      </c>
      <c r="E71" s="928" t="s">
        <v>733</v>
      </c>
      <c r="F71" s="928" t="s">
        <v>692</v>
      </c>
      <c r="G71" s="942" t="str">
        <f t="shared" si="33"/>
        <v>BEV</v>
      </c>
      <c r="H71" s="943" t="s">
        <v>1114</v>
      </c>
      <c r="I71" s="928" t="str">
        <f t="shared" si="21"/>
        <v>F</v>
      </c>
      <c r="J71" s="928" t="str">
        <f t="shared" si="22"/>
        <v>HCV4</v>
      </c>
      <c r="K71" s="928" t="str">
        <f t="shared" si="23"/>
        <v/>
      </c>
      <c r="L71" s="942" t="str">
        <f t="shared" si="24"/>
        <v>TFHCV4ELC-N</v>
      </c>
      <c r="M71" s="942" t="str">
        <f t="shared" si="25"/>
        <v>TFHCV4ELC-E</v>
      </c>
      <c r="N71" s="948" cm="1">
        <f t="array" ref="N71">INDEX(VehicleCostData2022!$T$16:$T$86,MATCH(1,(VehicleCostData2022!$R$16:$R$86=$E71)*(VehicleCostData2022!$S$16:$S$86=$F71),0))</f>
        <v>1195712.1975341928</v>
      </c>
      <c r="O71" s="945">
        <f t="shared" si="31"/>
        <v>4258056.7199121248</v>
      </c>
      <c r="P71" s="945">
        <f t="shared" si="31"/>
        <v>2982079.8355879751</v>
      </c>
      <c r="Q71" s="945">
        <f t="shared" si="31"/>
        <v>1706102.9512638254</v>
      </c>
      <c r="R71" s="945">
        <f t="shared" si="31"/>
        <v>1110408.3395393766</v>
      </c>
      <c r="S71" s="945">
        <f t="shared" si="31"/>
        <v>968235.2428813494</v>
      </c>
      <c r="T71" s="945">
        <f t="shared" si="31"/>
        <v>940529.71635311563</v>
      </c>
      <c r="U71" s="945">
        <f t="shared" si="31"/>
        <v>912824.18982488406</v>
      </c>
      <c r="V71" s="945">
        <f t="shared" si="31"/>
        <v>885118.66329665249</v>
      </c>
      <c r="W71" s="945">
        <f t="shared" si="31"/>
        <v>857413.13676842093</v>
      </c>
      <c r="X71" s="946">
        <v>2.0250000000000001E-2</v>
      </c>
      <c r="Y71" s="947">
        <f t="shared" si="13"/>
        <v>24213.172000067407</v>
      </c>
      <c r="Z71" s="947">
        <f t="shared" si="13"/>
        <v>86225.648578220527</v>
      </c>
      <c r="AA71" s="947">
        <f t="shared" si="13"/>
        <v>60387.116670656498</v>
      </c>
      <c r="AB71" s="947">
        <f t="shared" si="13"/>
        <v>34548.584763092469</v>
      </c>
      <c r="AC71" s="947">
        <f t="shared" si="20"/>
        <v>22485.768875672376</v>
      </c>
      <c r="AD71" s="947">
        <f t="shared" si="20"/>
        <v>19606.763668347325</v>
      </c>
      <c r="AE71" s="947">
        <f t="shared" si="20"/>
        <v>19045.726756150591</v>
      </c>
      <c r="AF71" s="947">
        <f t="shared" si="20"/>
        <v>18484.689843953904</v>
      </c>
      <c r="AG71" s="947">
        <f t="shared" si="20"/>
        <v>17923.652931757213</v>
      </c>
      <c r="AH71" s="947">
        <f t="shared" si="20"/>
        <v>17362.616019560523</v>
      </c>
    </row>
    <row r="72" spans="1:34" x14ac:dyDescent="0.25">
      <c r="A72" s="949" t="s">
        <v>504</v>
      </c>
      <c r="B72" s="928" t="s">
        <v>653</v>
      </c>
      <c r="C72" s="928" t="s">
        <v>732</v>
      </c>
      <c r="D72" s="928" t="s">
        <v>687</v>
      </c>
      <c r="E72" s="928" t="s">
        <v>733</v>
      </c>
      <c r="F72" s="928" t="s">
        <v>699</v>
      </c>
      <c r="G72" s="949" t="s">
        <v>1348</v>
      </c>
      <c r="H72" s="943" t="s">
        <v>1114</v>
      </c>
      <c r="I72" s="928" t="str">
        <f t="shared" si="21"/>
        <v>F</v>
      </c>
      <c r="J72" s="928" t="str">
        <f t="shared" si="22"/>
        <v>HCV4</v>
      </c>
      <c r="K72" s="928" t="str">
        <f t="shared" si="23"/>
        <v/>
      </c>
      <c r="L72" s="942" t="str">
        <f t="shared" si="24"/>
        <v>TFHCV4HGN-N</v>
      </c>
      <c r="M72" s="942" t="str">
        <f t="shared" si="25"/>
        <v>TFHCV4HGN-E</v>
      </c>
      <c r="N72" s="948" cm="1">
        <f t="array" ref="N72">INDEX(VehicleCostData2022!$T$16:$T$86,MATCH(1,(VehicleCostData2022!$R$16:$R$86=$E72)*(VehicleCostData2022!$S$16:$S$86=$F72),0))</f>
        <v>1854400.0079945058</v>
      </c>
      <c r="O72" s="945">
        <f t="shared" si="31"/>
        <v>6603713.1943034343</v>
      </c>
      <c r="P72" s="945">
        <f t="shared" si="31"/>
        <v>4624832.70000803</v>
      </c>
      <c r="Q72" s="945">
        <f t="shared" si="31"/>
        <v>2645952.2057126253</v>
      </c>
      <c r="R72" s="945">
        <f t="shared" si="31"/>
        <v>1722104.3976680702</v>
      </c>
      <c r="S72" s="945">
        <f t="shared" si="31"/>
        <v>1501611.7137906777</v>
      </c>
      <c r="T72" s="945">
        <f t="shared" si="31"/>
        <v>1458643.9087273865</v>
      </c>
      <c r="U72" s="945">
        <f t="shared" si="31"/>
        <v>1415676.1036640988</v>
      </c>
      <c r="V72" s="945">
        <f t="shared" si="31"/>
        <v>1372708.298600811</v>
      </c>
      <c r="W72" s="945">
        <f t="shared" si="31"/>
        <v>1329740.4935375233</v>
      </c>
      <c r="X72" s="946">
        <v>2.0250000000000001E-2</v>
      </c>
      <c r="Y72" s="947">
        <f t="shared" si="13"/>
        <v>37551.600161888746</v>
      </c>
      <c r="Z72" s="947">
        <f t="shared" si="13"/>
        <v>133725.19218464455</v>
      </c>
      <c r="AA72" s="947">
        <f t="shared" si="13"/>
        <v>93652.862175162605</v>
      </c>
      <c r="AB72" s="947">
        <f t="shared" si="13"/>
        <v>53580.532165680663</v>
      </c>
      <c r="AC72" s="947">
        <f t="shared" si="20"/>
        <v>34872.614052778423</v>
      </c>
      <c r="AD72" s="947">
        <f t="shared" si="20"/>
        <v>30407.637204261224</v>
      </c>
      <c r="AE72" s="947">
        <f t="shared" si="20"/>
        <v>29537.539151729579</v>
      </c>
      <c r="AF72" s="947">
        <f t="shared" si="20"/>
        <v>28667.441099198</v>
      </c>
      <c r="AG72" s="947">
        <f t="shared" si="20"/>
        <v>27797.343046666425</v>
      </c>
      <c r="AH72" s="947">
        <f t="shared" si="20"/>
        <v>26927.24499413485</v>
      </c>
    </row>
    <row r="73" spans="1:34" x14ac:dyDescent="0.25">
      <c r="A73" s="928" t="s">
        <v>509</v>
      </c>
      <c r="B73" s="928" t="s">
        <v>653</v>
      </c>
      <c r="C73" s="928" t="s">
        <v>732</v>
      </c>
      <c r="D73" s="928" t="s">
        <v>687</v>
      </c>
      <c r="E73" s="928" t="s">
        <v>733</v>
      </c>
      <c r="F73" s="928" t="s">
        <v>700</v>
      </c>
      <c r="G73" s="942" t="str">
        <f t="shared" ref="G73:G75" si="34">IF(A73="HGN",A73,RIGHT(F73,3))</f>
        <v>ICE</v>
      </c>
      <c r="H73" s="943" t="s">
        <v>1114</v>
      </c>
      <c r="I73" s="928" t="str">
        <f t="shared" si="21"/>
        <v>F</v>
      </c>
      <c r="J73" s="928" t="str">
        <f t="shared" si="22"/>
        <v>HCV4</v>
      </c>
      <c r="K73" s="928" t="str">
        <f t="shared" si="23"/>
        <v/>
      </c>
      <c r="L73" s="942" t="str">
        <f t="shared" si="24"/>
        <v>TFHCV4GAS-N</v>
      </c>
      <c r="M73" s="942" t="str">
        <f t="shared" si="25"/>
        <v>TFHCV4GAS-E</v>
      </c>
      <c r="N73" s="948" cm="1">
        <f t="array" ref="N73">INDEX(VehicleCostData2022!$T$16:$T$86,MATCH(1,(VehicleCostData2022!$R$16:$R$86=$E73)*(VehicleCostData2022!$S$16:$S$86=$F73),0))</f>
        <v>1090585.1281432109</v>
      </c>
      <c r="O73" s="945">
        <f t="shared" si="31"/>
        <v>1064748.1955106626</v>
      </c>
      <c r="P73" s="945">
        <f t="shared" si="31"/>
        <v>1075438.3526586592</v>
      </c>
      <c r="Q73" s="945">
        <f t="shared" si="31"/>
        <v>1086235.8398404897</v>
      </c>
      <c r="R73" s="945">
        <f t="shared" si="31"/>
        <v>1097141.7346582888</v>
      </c>
      <c r="S73" s="945">
        <f t="shared" si="31"/>
        <v>1108157.1255334031</v>
      </c>
      <c r="T73" s="945">
        <f t="shared" si="31"/>
        <v>1119283.1118150167</v>
      </c>
      <c r="U73" s="945">
        <f t="shared" si="31"/>
        <v>1130520.8038898665</v>
      </c>
      <c r="V73" s="945">
        <f t="shared" si="31"/>
        <v>1141871.3232930629</v>
      </c>
      <c r="W73" s="945">
        <f t="shared" si="31"/>
        <v>1153335.8028200171</v>
      </c>
      <c r="X73" s="946">
        <v>2.7E-2</v>
      </c>
      <c r="Y73" s="947">
        <f t="shared" si="13"/>
        <v>29445.798459866695</v>
      </c>
      <c r="Z73" s="947">
        <f t="shared" si="13"/>
        <v>28748.201278787892</v>
      </c>
      <c r="AA73" s="947">
        <f t="shared" si="13"/>
        <v>29036.8355217838</v>
      </c>
      <c r="AB73" s="947">
        <f t="shared" si="13"/>
        <v>29328.367675693222</v>
      </c>
      <c r="AC73" s="947">
        <f t="shared" si="20"/>
        <v>29622.826835773798</v>
      </c>
      <c r="AD73" s="947">
        <f t="shared" si="20"/>
        <v>29920.242389401883</v>
      </c>
      <c r="AE73" s="947">
        <f t="shared" si="20"/>
        <v>30220.644019005453</v>
      </c>
      <c r="AF73" s="947">
        <f t="shared" si="20"/>
        <v>30524.061705026394</v>
      </c>
      <c r="AG73" s="947">
        <f t="shared" si="20"/>
        <v>30830.525728912697</v>
      </c>
      <c r="AH73" s="947">
        <f t="shared" si="20"/>
        <v>31140.066676140461</v>
      </c>
    </row>
    <row r="74" spans="1:34" x14ac:dyDescent="0.25">
      <c r="A74" s="928" t="s">
        <v>511</v>
      </c>
      <c r="B74" s="928" t="s">
        <v>653</v>
      </c>
      <c r="C74" s="928" t="s">
        <v>734</v>
      </c>
      <c r="D74" s="928" t="s">
        <v>687</v>
      </c>
      <c r="E74" s="928" t="s">
        <v>735</v>
      </c>
      <c r="F74" s="928" t="s">
        <v>687</v>
      </c>
      <c r="G74" s="942" t="str">
        <f t="shared" si="34"/>
        <v>ICE</v>
      </c>
      <c r="H74" s="943" t="s">
        <v>1114</v>
      </c>
      <c r="I74" s="928" t="str">
        <f t="shared" si="21"/>
        <v>F</v>
      </c>
      <c r="J74" s="928" t="str">
        <f t="shared" si="22"/>
        <v>HCV5</v>
      </c>
      <c r="K74" s="928" t="str">
        <f t="shared" si="23"/>
        <v/>
      </c>
      <c r="L74" s="942" t="str">
        <f t="shared" si="24"/>
        <v>TFHCV5ODS-N</v>
      </c>
      <c r="M74" s="942" t="str">
        <f t="shared" si="25"/>
        <v>TFHCV5ODS-E</v>
      </c>
      <c r="N74" s="948" cm="1">
        <f t="array" ref="N74">INDEX(VehicleCostData2022!$T$16:$T$86,MATCH(1,(VehicleCostData2022!$R$16:$R$86=$E74)*(VehicleCostData2022!$S$16:$S$86=$F74),0))</f>
        <v>861659.92260461533</v>
      </c>
      <c r="O74" s="945">
        <f t="shared" si="31"/>
        <v>841246.43190315517</v>
      </c>
      <c r="P74" s="945">
        <f t="shared" si="31"/>
        <v>849692.61344650399</v>
      </c>
      <c r="Q74" s="945">
        <f t="shared" si="31"/>
        <v>858223.59532891843</v>
      </c>
      <c r="R74" s="945">
        <f t="shared" si="31"/>
        <v>866840.22895259364</v>
      </c>
      <c r="S74" s="945">
        <f t="shared" si="31"/>
        <v>875543.37426787091</v>
      </c>
      <c r="T74" s="945">
        <f t="shared" si="31"/>
        <v>884333.8998590617</v>
      </c>
      <c r="U74" s="945">
        <f t="shared" si="31"/>
        <v>893212.68303113349</v>
      </c>
      <c r="V74" s="945">
        <f t="shared" si="31"/>
        <v>902180.60989726614</v>
      </c>
      <c r="W74" s="945">
        <f t="shared" si="31"/>
        <v>911238.57546728675</v>
      </c>
      <c r="X74" s="946">
        <v>2.7E-2</v>
      </c>
      <c r="Y74" s="947">
        <f t="shared" si="13"/>
        <v>23264.817910324615</v>
      </c>
      <c r="Z74" s="947">
        <f t="shared" si="13"/>
        <v>22713.653661385189</v>
      </c>
      <c r="AA74" s="947">
        <f t="shared" si="13"/>
        <v>22941.700563055609</v>
      </c>
      <c r="AB74" s="947">
        <f t="shared" si="13"/>
        <v>23172.037073880798</v>
      </c>
      <c r="AC74" s="947">
        <f t="shared" si="20"/>
        <v>23404.68618172003</v>
      </c>
      <c r="AD74" s="947">
        <f t="shared" si="20"/>
        <v>23639.671105232515</v>
      </c>
      <c r="AE74" s="947">
        <f t="shared" si="20"/>
        <v>23877.015296194666</v>
      </c>
      <c r="AF74" s="947">
        <f t="shared" si="20"/>
        <v>24116.742441840604</v>
      </c>
      <c r="AG74" s="947">
        <f t="shared" si="20"/>
        <v>24358.876467226186</v>
      </c>
      <c r="AH74" s="947">
        <f t="shared" si="20"/>
        <v>24603.441537616742</v>
      </c>
    </row>
    <row r="75" spans="1:34" x14ac:dyDescent="0.25">
      <c r="A75" s="928" t="s">
        <v>501</v>
      </c>
      <c r="B75" s="928" t="s">
        <v>653</v>
      </c>
      <c r="C75" s="928" t="s">
        <v>734</v>
      </c>
      <c r="D75" s="928" t="s">
        <v>687</v>
      </c>
      <c r="E75" s="928" t="s">
        <v>735</v>
      </c>
      <c r="F75" s="928" t="s">
        <v>692</v>
      </c>
      <c r="G75" s="942" t="str">
        <f t="shared" si="34"/>
        <v>BEV</v>
      </c>
      <c r="H75" s="943" t="s">
        <v>1114</v>
      </c>
      <c r="I75" s="928" t="str">
        <f t="shared" ref="I75:I93" si="35">IF(B75="PAS","P","F")</f>
        <v>F</v>
      </c>
      <c r="J75" s="928" t="str">
        <f t="shared" ref="J75:J93" si="36">IF(I75="P",IF(OR(C75="CAR",C75="SUV",C75="MOT"),"PR","PU"),C75)</f>
        <v>HCV5</v>
      </c>
      <c r="K75" s="928" t="str">
        <f t="shared" ref="K75:K93" si="37">IF(I75="P",C75,"")</f>
        <v/>
      </c>
      <c r="L75" s="942" t="str">
        <f t="shared" ref="L75:L93" si="38">H75&amp;I75&amp;J75&amp;K75&amp;A75&amp;"-N"</f>
        <v>TFHCV5ELC-N</v>
      </c>
      <c r="M75" s="942" t="str">
        <f t="shared" ref="M75:M93" si="39">H75&amp;I75&amp;J75&amp;K75&amp;A75&amp;"-E"</f>
        <v>TFHCV5ELC-E</v>
      </c>
      <c r="N75" s="948" cm="1">
        <f t="array" ref="N75">INDEX(VehicleCostData2022!$T$16:$T$86,MATCH(1,(VehicleCostData2022!$R$16:$R$86=$E75)*(VehicleCostData2022!$S$16:$S$86=$F75),0))</f>
        <v>1136754.4284409683</v>
      </c>
      <c r="O75" s="945">
        <f t="shared" si="31"/>
        <v>4048101.9118938241</v>
      </c>
      <c r="P75" s="945">
        <f t="shared" si="31"/>
        <v>2835040.4604551233</v>
      </c>
      <c r="Q75" s="945">
        <f t="shared" si="31"/>
        <v>1621979.0090164228</v>
      </c>
      <c r="R75" s="945">
        <f t="shared" si="31"/>
        <v>1055656.7039729247</v>
      </c>
      <c r="S75" s="945">
        <f t="shared" si="31"/>
        <v>920493.82985951856</v>
      </c>
      <c r="T75" s="945">
        <f t="shared" si="31"/>
        <v>894154.39798100607</v>
      </c>
      <c r="U75" s="945">
        <f t="shared" si="31"/>
        <v>867814.96610249556</v>
      </c>
      <c r="V75" s="945">
        <f t="shared" si="31"/>
        <v>841475.53422398504</v>
      </c>
      <c r="W75" s="945">
        <f t="shared" si="31"/>
        <v>815136.10234547453</v>
      </c>
      <c r="X75" s="946">
        <v>2.0250000000000001E-2</v>
      </c>
      <c r="Y75" s="947">
        <f t="shared" si="13"/>
        <v>23019.277175929608</v>
      </c>
      <c r="Z75" s="947">
        <f t="shared" si="13"/>
        <v>81974.063715849945</v>
      </c>
      <c r="AA75" s="947">
        <f t="shared" si="13"/>
        <v>57409.569324216252</v>
      </c>
      <c r="AB75" s="947">
        <f t="shared" si="13"/>
        <v>32845.07493258256</v>
      </c>
      <c r="AC75" s="947">
        <f t="shared" si="20"/>
        <v>21377.048255451726</v>
      </c>
      <c r="AD75" s="947">
        <f t="shared" si="20"/>
        <v>18640.000054655251</v>
      </c>
      <c r="AE75" s="947">
        <f t="shared" si="20"/>
        <v>18106.626559115375</v>
      </c>
      <c r="AF75" s="947">
        <f t="shared" si="20"/>
        <v>17573.253063575536</v>
      </c>
      <c r="AG75" s="947">
        <f t="shared" si="20"/>
        <v>17039.879568035696</v>
      </c>
      <c r="AH75" s="947">
        <f t="shared" si="20"/>
        <v>16506.50607249586</v>
      </c>
    </row>
    <row r="76" spans="1:34" x14ac:dyDescent="0.25">
      <c r="A76" s="949" t="s">
        <v>504</v>
      </c>
      <c r="B76" s="928" t="s">
        <v>653</v>
      </c>
      <c r="C76" s="928" t="s">
        <v>734</v>
      </c>
      <c r="D76" s="928" t="s">
        <v>687</v>
      </c>
      <c r="E76" s="928" t="s">
        <v>735</v>
      </c>
      <c r="F76" s="928" t="s">
        <v>699</v>
      </c>
      <c r="G76" s="949" t="s">
        <v>1348</v>
      </c>
      <c r="H76" s="943" t="s">
        <v>1114</v>
      </c>
      <c r="I76" s="928" t="str">
        <f t="shared" si="35"/>
        <v>F</v>
      </c>
      <c r="J76" s="928" t="str">
        <f t="shared" si="36"/>
        <v>HCV5</v>
      </c>
      <c r="K76" s="928" t="str">
        <f t="shared" si="37"/>
        <v/>
      </c>
      <c r="L76" s="942" t="str">
        <f t="shared" si="38"/>
        <v>TFHCV5HGN-N</v>
      </c>
      <c r="M76" s="942" t="str">
        <f t="shared" si="39"/>
        <v>TFHCV5HGN-E</v>
      </c>
      <c r="N76" s="948" cm="1">
        <f t="array" ref="N76">INDEX(VehicleCostData2022!$T$16:$T$86,MATCH(1,(VehicleCostData2022!$R$16:$R$86=$E76)*(VehicleCostData2022!$S$16:$S$86=$F76),0))</f>
        <v>1887434.9410157723</v>
      </c>
      <c r="O76" s="945">
        <f t="shared" si="31"/>
        <v>6721354.0604191525</v>
      </c>
      <c r="P76" s="945">
        <f t="shared" si="31"/>
        <v>4707221.0940010594</v>
      </c>
      <c r="Q76" s="945">
        <f t="shared" si="31"/>
        <v>2693088.1275829664</v>
      </c>
      <c r="R76" s="945">
        <f t="shared" si="31"/>
        <v>1752782.5702237953</v>
      </c>
      <c r="S76" s="945">
        <f t="shared" si="31"/>
        <v>1528361.9522371667</v>
      </c>
      <c r="T76" s="945">
        <f t="shared" si="31"/>
        <v>1484628.7036038705</v>
      </c>
      <c r="U76" s="945">
        <f t="shared" si="31"/>
        <v>1440895.4549705777</v>
      </c>
      <c r="V76" s="945">
        <f t="shared" si="31"/>
        <v>1397162.206337285</v>
      </c>
      <c r="W76" s="945">
        <f t="shared" si="31"/>
        <v>1353428.9577039923</v>
      </c>
      <c r="X76" s="946">
        <v>2.0250000000000001E-2</v>
      </c>
      <c r="Y76" s="947">
        <f t="shared" si="13"/>
        <v>38220.557555569387</v>
      </c>
      <c r="Z76" s="947">
        <f t="shared" si="13"/>
        <v>136107.41972348784</v>
      </c>
      <c r="AA76" s="947">
        <f t="shared" si="13"/>
        <v>95321.227153521453</v>
      </c>
      <c r="AB76" s="947">
        <f t="shared" si="13"/>
        <v>54535.034583555069</v>
      </c>
      <c r="AC76" s="947">
        <f t="shared" si="20"/>
        <v>35493.847047031857</v>
      </c>
      <c r="AD76" s="947">
        <f t="shared" si="20"/>
        <v>30949.329532802625</v>
      </c>
      <c r="AE76" s="947">
        <f t="shared" si="20"/>
        <v>30063.73124797838</v>
      </c>
      <c r="AF76" s="947">
        <f t="shared" si="20"/>
        <v>29178.132963154199</v>
      </c>
      <c r="AG76" s="947">
        <f t="shared" si="20"/>
        <v>28292.534678330023</v>
      </c>
      <c r="AH76" s="947">
        <f t="shared" si="20"/>
        <v>27406.936393505843</v>
      </c>
    </row>
    <row r="77" spans="1:34" x14ac:dyDescent="0.25">
      <c r="A77" s="928" t="s">
        <v>509</v>
      </c>
      <c r="B77" s="928" t="s">
        <v>653</v>
      </c>
      <c r="C77" s="928" t="s">
        <v>734</v>
      </c>
      <c r="D77" s="928" t="s">
        <v>687</v>
      </c>
      <c r="E77" s="928" t="s">
        <v>735</v>
      </c>
      <c r="F77" s="928" t="s">
        <v>700</v>
      </c>
      <c r="G77" s="942" t="str">
        <f t="shared" ref="G77:G79" si="40">IF(A77="HGN",A77,RIGHT(F77,3))</f>
        <v>ICE</v>
      </c>
      <c r="H77" s="943" t="s">
        <v>1114</v>
      </c>
      <c r="I77" s="928" t="str">
        <f t="shared" si="35"/>
        <v>F</v>
      </c>
      <c r="J77" s="928" t="str">
        <f t="shared" si="36"/>
        <v>HCV5</v>
      </c>
      <c r="K77" s="928" t="str">
        <f t="shared" si="37"/>
        <v/>
      </c>
      <c r="L77" s="942" t="str">
        <f t="shared" si="38"/>
        <v>TFHCV5GAS-N</v>
      </c>
      <c r="M77" s="942" t="str">
        <f t="shared" si="39"/>
        <v>TFHCV5GAS-E</v>
      </c>
      <c r="N77" s="948" cm="1">
        <f t="array" ref="N77">INDEX(VehicleCostData2022!$T$16:$T$86,MATCH(1,(VehicleCostData2022!$R$16:$R$86=$E77)*(VehicleCostData2022!$S$16:$S$86=$F77),0))</f>
        <v>995097.14073852904</v>
      </c>
      <c r="O77" s="945">
        <f t="shared" ref="O77:W92" si="41">$N77*INDEX($O$3:$W$6,MATCH($G77,$K$3:$K$6,0),MATCH(O$10,$O$2:$W$2,0))</f>
        <v>971522.4035404562</v>
      </c>
      <c r="P77" s="945">
        <f t="shared" si="41"/>
        <v>981276.56627154758</v>
      </c>
      <c r="Q77" s="945">
        <f t="shared" si="41"/>
        <v>991128.66157757246</v>
      </c>
      <c r="R77" s="945">
        <f t="shared" si="41"/>
        <v>1001079.6727094261</v>
      </c>
      <c r="S77" s="945">
        <f t="shared" si="41"/>
        <v>1011130.592789921</v>
      </c>
      <c r="T77" s="945">
        <f t="shared" si="41"/>
        <v>1021282.4249129019</v>
      </c>
      <c r="U77" s="945">
        <f t="shared" si="41"/>
        <v>1031536.1822433565</v>
      </c>
      <c r="V77" s="945">
        <f t="shared" si="41"/>
        <v>1041892.8881185302</v>
      </c>
      <c r="W77" s="945">
        <f t="shared" si="41"/>
        <v>1052353.576150056</v>
      </c>
      <c r="X77" s="946">
        <v>2.7E-2</v>
      </c>
      <c r="Y77" s="947">
        <f t="shared" ref="Y77:AE93" si="42">N77*$X77</f>
        <v>26867.622799940284</v>
      </c>
      <c r="Z77" s="947">
        <f t="shared" si="42"/>
        <v>26231.104895592318</v>
      </c>
      <c r="AA77" s="947">
        <f t="shared" si="42"/>
        <v>26494.467289331784</v>
      </c>
      <c r="AB77" s="947">
        <f t="shared" si="42"/>
        <v>26760.473862594456</v>
      </c>
      <c r="AC77" s="947">
        <f t="shared" si="20"/>
        <v>27029.151163154507</v>
      </c>
      <c r="AD77" s="947">
        <f t="shared" si="20"/>
        <v>27300.526005327865</v>
      </c>
      <c r="AE77" s="947">
        <f t="shared" si="20"/>
        <v>27574.625472648353</v>
      </c>
      <c r="AF77" s="947">
        <f t="shared" si="20"/>
        <v>27851.476920570625</v>
      </c>
      <c r="AG77" s="947">
        <f t="shared" si="20"/>
        <v>28131.107979200315</v>
      </c>
      <c r="AH77" s="947">
        <f t="shared" si="20"/>
        <v>28413.546556051511</v>
      </c>
    </row>
    <row r="78" spans="1:34" x14ac:dyDescent="0.25">
      <c r="A78" s="928" t="s">
        <v>511</v>
      </c>
      <c r="B78" s="928" t="s">
        <v>653</v>
      </c>
      <c r="C78" s="928" t="s">
        <v>741</v>
      </c>
      <c r="D78" s="928" t="s">
        <v>687</v>
      </c>
      <c r="E78" s="928" t="s">
        <v>735</v>
      </c>
      <c r="F78" s="928" t="s">
        <v>687</v>
      </c>
      <c r="G78" s="942" t="str">
        <f t="shared" si="40"/>
        <v>ICE</v>
      </c>
      <c r="H78" s="943" t="s">
        <v>1114</v>
      </c>
      <c r="I78" s="928" t="str">
        <f t="shared" si="35"/>
        <v>F</v>
      </c>
      <c r="J78" s="928" t="str">
        <f t="shared" si="36"/>
        <v>HCV6</v>
      </c>
      <c r="K78" s="928" t="str">
        <f t="shared" si="37"/>
        <v/>
      </c>
      <c r="L78" s="942" t="str">
        <f t="shared" si="38"/>
        <v>TFHCV6ODS-N</v>
      </c>
      <c r="M78" s="942" t="str">
        <f t="shared" si="39"/>
        <v>TFHCV6ODS-E</v>
      </c>
      <c r="N78" s="948" cm="1">
        <f t="array" ref="N78">INDEX(VehicleCostData2022!$T$16:$T$86,MATCH(1,(VehicleCostData2022!$R$16:$R$86=$E78)*(VehicleCostData2022!$S$16:$S$86=$F78),0))</f>
        <v>861659.92260461533</v>
      </c>
      <c r="O78" s="945">
        <f t="shared" si="41"/>
        <v>841246.43190315517</v>
      </c>
      <c r="P78" s="945">
        <f t="shared" si="41"/>
        <v>849692.61344650399</v>
      </c>
      <c r="Q78" s="945">
        <f t="shared" si="41"/>
        <v>858223.59532891843</v>
      </c>
      <c r="R78" s="945">
        <f t="shared" si="41"/>
        <v>866840.22895259364</v>
      </c>
      <c r="S78" s="945">
        <f t="shared" si="41"/>
        <v>875543.37426787091</v>
      </c>
      <c r="T78" s="945">
        <f t="shared" si="41"/>
        <v>884333.8998590617</v>
      </c>
      <c r="U78" s="945">
        <f t="shared" si="41"/>
        <v>893212.68303113349</v>
      </c>
      <c r="V78" s="945">
        <f t="shared" si="41"/>
        <v>902180.60989726614</v>
      </c>
      <c r="W78" s="945">
        <f t="shared" si="41"/>
        <v>911238.57546728675</v>
      </c>
      <c r="X78" s="946">
        <v>2.7E-2</v>
      </c>
      <c r="Y78" s="947">
        <f t="shared" si="42"/>
        <v>23264.817910324615</v>
      </c>
      <c r="Z78" s="947">
        <f t="shared" si="42"/>
        <v>22713.653661385189</v>
      </c>
      <c r="AA78" s="947">
        <f t="shared" si="42"/>
        <v>22941.700563055609</v>
      </c>
      <c r="AB78" s="947">
        <f t="shared" si="42"/>
        <v>23172.037073880798</v>
      </c>
      <c r="AC78" s="947">
        <f t="shared" si="20"/>
        <v>23404.68618172003</v>
      </c>
      <c r="AD78" s="947">
        <f t="shared" si="20"/>
        <v>23639.671105232515</v>
      </c>
      <c r="AE78" s="947">
        <f t="shared" si="20"/>
        <v>23877.015296194666</v>
      </c>
      <c r="AF78" s="947">
        <f t="shared" si="20"/>
        <v>24116.742441840604</v>
      </c>
      <c r="AG78" s="947">
        <f t="shared" si="20"/>
        <v>24358.876467226186</v>
      </c>
      <c r="AH78" s="947">
        <f t="shared" si="20"/>
        <v>24603.441537616742</v>
      </c>
    </row>
    <row r="79" spans="1:34" x14ac:dyDescent="0.25">
      <c r="A79" s="928" t="s">
        <v>501</v>
      </c>
      <c r="B79" s="928" t="s">
        <v>653</v>
      </c>
      <c r="C79" s="928" t="s">
        <v>741</v>
      </c>
      <c r="D79" s="928" t="s">
        <v>687</v>
      </c>
      <c r="E79" s="928" t="s">
        <v>735</v>
      </c>
      <c r="F79" s="928" t="s">
        <v>692</v>
      </c>
      <c r="G79" s="942" t="str">
        <f t="shared" si="40"/>
        <v>BEV</v>
      </c>
      <c r="H79" s="943" t="s">
        <v>1114</v>
      </c>
      <c r="I79" s="928" t="str">
        <f t="shared" si="35"/>
        <v>F</v>
      </c>
      <c r="J79" s="928" t="str">
        <f t="shared" si="36"/>
        <v>HCV6</v>
      </c>
      <c r="K79" s="928" t="str">
        <f t="shared" si="37"/>
        <v/>
      </c>
      <c r="L79" s="942" t="str">
        <f t="shared" si="38"/>
        <v>TFHCV6ELC-N</v>
      </c>
      <c r="M79" s="942" t="str">
        <f t="shared" si="39"/>
        <v>TFHCV6ELC-E</v>
      </c>
      <c r="N79" s="948" cm="1">
        <f t="array" ref="N79">INDEX(VehicleCostData2022!$T$16:$T$86,MATCH(1,(VehicleCostData2022!$R$16:$R$86=$E79)*(VehicleCostData2022!$S$16:$S$86=$F79),0))</f>
        <v>1136754.4284409683</v>
      </c>
      <c r="O79" s="945">
        <f t="shared" si="41"/>
        <v>4048101.9118938241</v>
      </c>
      <c r="P79" s="945">
        <f t="shared" si="41"/>
        <v>2835040.4604551233</v>
      </c>
      <c r="Q79" s="945">
        <f t="shared" si="41"/>
        <v>1621979.0090164228</v>
      </c>
      <c r="R79" s="945">
        <f t="shared" si="41"/>
        <v>1055656.7039729247</v>
      </c>
      <c r="S79" s="945">
        <f t="shared" si="41"/>
        <v>920493.82985951856</v>
      </c>
      <c r="T79" s="945">
        <f t="shared" si="41"/>
        <v>894154.39798100607</v>
      </c>
      <c r="U79" s="945">
        <f t="shared" si="41"/>
        <v>867814.96610249556</v>
      </c>
      <c r="V79" s="945">
        <f t="shared" si="41"/>
        <v>841475.53422398504</v>
      </c>
      <c r="W79" s="945">
        <f t="shared" si="41"/>
        <v>815136.10234547453</v>
      </c>
      <c r="X79" s="946">
        <v>2.0250000000000001E-2</v>
      </c>
      <c r="Y79" s="947">
        <f t="shared" si="42"/>
        <v>23019.277175929608</v>
      </c>
      <c r="Z79" s="947">
        <f t="shared" si="42"/>
        <v>81974.063715849945</v>
      </c>
      <c r="AA79" s="947">
        <f t="shared" si="42"/>
        <v>57409.569324216252</v>
      </c>
      <c r="AB79" s="947">
        <f t="shared" si="42"/>
        <v>32845.07493258256</v>
      </c>
      <c r="AC79" s="947">
        <f t="shared" si="20"/>
        <v>21377.048255451726</v>
      </c>
      <c r="AD79" s="947">
        <f t="shared" si="20"/>
        <v>18640.000054655251</v>
      </c>
      <c r="AE79" s="947">
        <f t="shared" si="20"/>
        <v>18106.626559115375</v>
      </c>
      <c r="AF79" s="947">
        <f t="shared" si="20"/>
        <v>17573.253063575536</v>
      </c>
      <c r="AG79" s="947">
        <f t="shared" si="20"/>
        <v>17039.879568035696</v>
      </c>
      <c r="AH79" s="947">
        <f t="shared" si="20"/>
        <v>16506.50607249586</v>
      </c>
    </row>
    <row r="80" spans="1:34" x14ac:dyDescent="0.25">
      <c r="A80" s="949" t="s">
        <v>504</v>
      </c>
      <c r="B80" s="928" t="s">
        <v>653</v>
      </c>
      <c r="C80" s="928" t="s">
        <v>741</v>
      </c>
      <c r="D80" s="928" t="s">
        <v>687</v>
      </c>
      <c r="E80" s="928" t="s">
        <v>735</v>
      </c>
      <c r="F80" s="928" t="s">
        <v>699</v>
      </c>
      <c r="G80" s="949" t="s">
        <v>1348</v>
      </c>
      <c r="H80" s="943" t="s">
        <v>1114</v>
      </c>
      <c r="I80" s="928" t="str">
        <f t="shared" si="35"/>
        <v>F</v>
      </c>
      <c r="J80" s="928" t="str">
        <f t="shared" si="36"/>
        <v>HCV6</v>
      </c>
      <c r="K80" s="928" t="str">
        <f t="shared" si="37"/>
        <v/>
      </c>
      <c r="L80" s="942" t="str">
        <f t="shared" si="38"/>
        <v>TFHCV6HGN-N</v>
      </c>
      <c r="M80" s="942" t="str">
        <f t="shared" si="39"/>
        <v>TFHCV6HGN-E</v>
      </c>
      <c r="N80" s="948" cm="1">
        <f t="array" ref="N80">INDEX(VehicleCostData2022!$T$16:$T$86,MATCH(1,(VehicleCostData2022!$R$16:$R$86=$E80)*(VehicleCostData2022!$S$16:$S$86=$F80),0))</f>
        <v>1887434.9410157723</v>
      </c>
      <c r="O80" s="945">
        <f t="shared" si="41"/>
        <v>6721354.0604191525</v>
      </c>
      <c r="P80" s="945">
        <f t="shared" si="41"/>
        <v>4707221.0940010594</v>
      </c>
      <c r="Q80" s="945">
        <f t="shared" si="41"/>
        <v>2693088.1275829664</v>
      </c>
      <c r="R80" s="945">
        <f t="shared" si="41"/>
        <v>1752782.5702237953</v>
      </c>
      <c r="S80" s="945">
        <f t="shared" si="41"/>
        <v>1528361.9522371667</v>
      </c>
      <c r="T80" s="945">
        <f t="shared" si="41"/>
        <v>1484628.7036038705</v>
      </c>
      <c r="U80" s="945">
        <f t="shared" si="41"/>
        <v>1440895.4549705777</v>
      </c>
      <c r="V80" s="945">
        <f t="shared" si="41"/>
        <v>1397162.206337285</v>
      </c>
      <c r="W80" s="945">
        <f t="shared" si="41"/>
        <v>1353428.9577039923</v>
      </c>
      <c r="X80" s="946">
        <v>2.0250000000000001E-2</v>
      </c>
      <c r="Y80" s="947">
        <f t="shared" si="42"/>
        <v>38220.557555569387</v>
      </c>
      <c r="Z80" s="947">
        <f t="shared" si="42"/>
        <v>136107.41972348784</v>
      </c>
      <c r="AA80" s="947">
        <f t="shared" si="42"/>
        <v>95321.227153521453</v>
      </c>
      <c r="AB80" s="947">
        <f t="shared" si="42"/>
        <v>54535.034583555069</v>
      </c>
      <c r="AC80" s="947">
        <f t="shared" si="20"/>
        <v>35493.847047031857</v>
      </c>
      <c r="AD80" s="947">
        <f t="shared" si="20"/>
        <v>30949.329532802625</v>
      </c>
      <c r="AE80" s="947">
        <f t="shared" si="20"/>
        <v>30063.73124797838</v>
      </c>
      <c r="AF80" s="947">
        <f t="shared" si="20"/>
        <v>29178.132963154199</v>
      </c>
      <c r="AG80" s="947">
        <f t="shared" si="20"/>
        <v>28292.534678330023</v>
      </c>
      <c r="AH80" s="947">
        <f t="shared" si="20"/>
        <v>27406.936393505843</v>
      </c>
    </row>
    <row r="81" spans="1:34" x14ac:dyDescent="0.25">
      <c r="A81" s="928" t="s">
        <v>509</v>
      </c>
      <c r="B81" s="928" t="s">
        <v>653</v>
      </c>
      <c r="C81" s="928" t="s">
        <v>741</v>
      </c>
      <c r="D81" s="928" t="s">
        <v>687</v>
      </c>
      <c r="E81" s="928" t="s">
        <v>735</v>
      </c>
      <c r="F81" s="928" t="s">
        <v>700</v>
      </c>
      <c r="G81" s="942" t="str">
        <f t="shared" ref="G81:G83" si="43">IF(A81="HGN",A81,RIGHT(F81,3))</f>
        <v>ICE</v>
      </c>
      <c r="H81" s="943" t="s">
        <v>1114</v>
      </c>
      <c r="I81" s="928" t="str">
        <f t="shared" si="35"/>
        <v>F</v>
      </c>
      <c r="J81" s="928" t="str">
        <f t="shared" si="36"/>
        <v>HCV6</v>
      </c>
      <c r="K81" s="928" t="str">
        <f t="shared" si="37"/>
        <v/>
      </c>
      <c r="L81" s="942" t="str">
        <f t="shared" si="38"/>
        <v>TFHCV6GAS-N</v>
      </c>
      <c r="M81" s="942" t="str">
        <f t="shared" si="39"/>
        <v>TFHCV6GAS-E</v>
      </c>
      <c r="N81" s="948" cm="1">
        <f t="array" ref="N81">INDEX(VehicleCostData2022!$T$16:$T$86,MATCH(1,(VehicleCostData2022!$R$16:$R$86=$E81)*(VehicleCostData2022!$S$16:$S$86=$F81),0))</f>
        <v>995097.14073852904</v>
      </c>
      <c r="O81" s="945">
        <f t="shared" si="41"/>
        <v>971522.4035404562</v>
      </c>
      <c r="P81" s="945">
        <f t="shared" si="41"/>
        <v>981276.56627154758</v>
      </c>
      <c r="Q81" s="945">
        <f t="shared" si="41"/>
        <v>991128.66157757246</v>
      </c>
      <c r="R81" s="945">
        <f t="shared" si="41"/>
        <v>1001079.6727094261</v>
      </c>
      <c r="S81" s="945">
        <f t="shared" si="41"/>
        <v>1011130.592789921</v>
      </c>
      <c r="T81" s="945">
        <f t="shared" si="41"/>
        <v>1021282.4249129019</v>
      </c>
      <c r="U81" s="945">
        <f t="shared" si="41"/>
        <v>1031536.1822433565</v>
      </c>
      <c r="V81" s="945">
        <f t="shared" si="41"/>
        <v>1041892.8881185302</v>
      </c>
      <c r="W81" s="945">
        <f t="shared" si="41"/>
        <v>1052353.576150056</v>
      </c>
      <c r="X81" s="946">
        <v>2.7E-2</v>
      </c>
      <c r="Y81" s="947">
        <f t="shared" si="42"/>
        <v>26867.622799940284</v>
      </c>
      <c r="Z81" s="947">
        <f t="shared" si="42"/>
        <v>26231.104895592318</v>
      </c>
      <c r="AA81" s="947">
        <f t="shared" si="42"/>
        <v>26494.467289331784</v>
      </c>
      <c r="AB81" s="947">
        <f t="shared" si="42"/>
        <v>26760.473862594456</v>
      </c>
      <c r="AC81" s="947">
        <f t="shared" si="20"/>
        <v>27029.151163154507</v>
      </c>
      <c r="AD81" s="947">
        <f t="shared" si="20"/>
        <v>27300.526005327865</v>
      </c>
      <c r="AE81" s="947">
        <f t="shared" si="20"/>
        <v>27574.625472648353</v>
      </c>
      <c r="AF81" s="947">
        <f t="shared" si="20"/>
        <v>27851.476920570625</v>
      </c>
      <c r="AG81" s="947">
        <f t="shared" si="20"/>
        <v>28131.107979200315</v>
      </c>
      <c r="AH81" s="947">
        <f t="shared" si="20"/>
        <v>28413.546556051511</v>
      </c>
    </row>
    <row r="82" spans="1:34" x14ac:dyDescent="0.25">
      <c r="A82" s="928" t="s">
        <v>511</v>
      </c>
      <c r="B82" s="928" t="s">
        <v>653</v>
      </c>
      <c r="C82" s="928" t="s">
        <v>746</v>
      </c>
      <c r="D82" s="928" t="s">
        <v>687</v>
      </c>
      <c r="E82" s="928" t="s">
        <v>747</v>
      </c>
      <c r="F82" s="928" t="s">
        <v>687</v>
      </c>
      <c r="G82" s="942" t="str">
        <f t="shared" si="43"/>
        <v>ICE</v>
      </c>
      <c r="H82" s="943" t="s">
        <v>1114</v>
      </c>
      <c r="I82" s="928" t="str">
        <f t="shared" si="35"/>
        <v>F</v>
      </c>
      <c r="J82" s="928" t="str">
        <f t="shared" si="36"/>
        <v>HCV7</v>
      </c>
      <c r="K82" s="928" t="str">
        <f t="shared" si="37"/>
        <v/>
      </c>
      <c r="L82" s="942" t="str">
        <f t="shared" si="38"/>
        <v>TFHCV7ODS-N</v>
      </c>
      <c r="M82" s="942" t="str">
        <f t="shared" si="39"/>
        <v>TFHCV7ODS-E</v>
      </c>
      <c r="N82" s="948" cm="1">
        <f t="array" ref="N82">INDEX(VehicleCostData2022!$T$16:$T$86,MATCH(1,(VehicleCostData2022!$R$16:$R$86=$E82)*(VehicleCostData2022!$S$16:$S$86=$F82),0))</f>
        <v>1133048.1053792366</v>
      </c>
      <c r="O82" s="945">
        <f t="shared" si="41"/>
        <v>1106205.1870112212</v>
      </c>
      <c r="P82" s="945">
        <f t="shared" si="41"/>
        <v>1117311.5756737606</v>
      </c>
      <c r="Q82" s="945">
        <f t="shared" si="41"/>
        <v>1128529.4733678717</v>
      </c>
      <c r="R82" s="945">
        <f t="shared" si="41"/>
        <v>1139859.9996531613</v>
      </c>
      <c r="S82" s="945">
        <f t="shared" si="41"/>
        <v>1151304.2853297042</v>
      </c>
      <c r="T82" s="945">
        <f t="shared" si="41"/>
        <v>1162863.4725508986</v>
      </c>
      <c r="U82" s="945">
        <f t="shared" si="41"/>
        <v>1174538.7149374534</v>
      </c>
      <c r="V82" s="945">
        <f t="shared" si="41"/>
        <v>1186331.177692523</v>
      </c>
      <c r="W82" s="945">
        <f t="shared" si="41"/>
        <v>1198242.0377179945</v>
      </c>
      <c r="X82" s="946">
        <v>2.7E-2</v>
      </c>
      <c r="Y82" s="947">
        <f t="shared" si="42"/>
        <v>30592.298845239387</v>
      </c>
      <c r="Z82" s="947">
        <f t="shared" si="42"/>
        <v>29867.54004930297</v>
      </c>
      <c r="AA82" s="947">
        <f t="shared" si="42"/>
        <v>30167.412543191534</v>
      </c>
      <c r="AB82" s="947">
        <f t="shared" si="42"/>
        <v>30470.295780932534</v>
      </c>
      <c r="AC82" s="947">
        <f t="shared" si="20"/>
        <v>30776.219990635353</v>
      </c>
      <c r="AD82" s="947">
        <f t="shared" si="20"/>
        <v>31085.215703902013</v>
      </c>
      <c r="AE82" s="947">
        <f t="shared" si="20"/>
        <v>31397.313758874261</v>
      </c>
      <c r="AF82" s="947">
        <f t="shared" ref="AF82:AH93" si="44">U82*$X82</f>
        <v>31712.545303311243</v>
      </c>
      <c r="AG82" s="947">
        <f t="shared" si="44"/>
        <v>32030.94179769812</v>
      </c>
      <c r="AH82" s="947">
        <f t="shared" si="44"/>
        <v>32352.535018385854</v>
      </c>
    </row>
    <row r="83" spans="1:34" x14ac:dyDescent="0.25">
      <c r="A83" s="928" t="s">
        <v>501</v>
      </c>
      <c r="B83" s="928" t="s">
        <v>653</v>
      </c>
      <c r="C83" s="928" t="s">
        <v>746</v>
      </c>
      <c r="D83" s="928" t="s">
        <v>687</v>
      </c>
      <c r="E83" s="928" t="s">
        <v>747</v>
      </c>
      <c r="F83" s="928" t="s">
        <v>692</v>
      </c>
      <c r="G83" s="942" t="str">
        <f t="shared" si="43"/>
        <v>BEV</v>
      </c>
      <c r="H83" s="943" t="s">
        <v>1114</v>
      </c>
      <c r="I83" s="928" t="str">
        <f t="shared" si="35"/>
        <v>F</v>
      </c>
      <c r="J83" s="928" t="str">
        <f t="shared" si="36"/>
        <v>HCV7</v>
      </c>
      <c r="K83" s="928" t="str">
        <f t="shared" si="37"/>
        <v/>
      </c>
      <c r="L83" s="942" t="str">
        <f t="shared" si="38"/>
        <v>TFHCV7ELC-N</v>
      </c>
      <c r="M83" s="942" t="str">
        <f t="shared" si="39"/>
        <v>TFHCV7ELC-E</v>
      </c>
      <c r="N83" s="948" cm="1">
        <f t="array" ref="N83">INDEX(VehicleCostData2022!$T$16:$T$86,MATCH(1,(VehicleCostData2022!$R$16:$R$86=$E83)*(VehicleCostData2022!$S$16:$S$86=$F83),0))</f>
        <v>1494786.3044774705</v>
      </c>
      <c r="O83" s="945">
        <f t="shared" si="41"/>
        <v>5323091.0262006363</v>
      </c>
      <c r="P83" s="945">
        <f t="shared" si="41"/>
        <v>3727964.0588159696</v>
      </c>
      <c r="Q83" s="945">
        <f t="shared" si="41"/>
        <v>2132837.0914313029</v>
      </c>
      <c r="R83" s="945">
        <f t="shared" si="41"/>
        <v>1388146.0620238963</v>
      </c>
      <c r="S83" s="945">
        <f t="shared" si="41"/>
        <v>1210412.3246012726</v>
      </c>
      <c r="T83" s="945">
        <f t="shared" si="41"/>
        <v>1175777.0321804499</v>
      </c>
      <c r="U83" s="945">
        <f t="shared" si="41"/>
        <v>1141141.7397596303</v>
      </c>
      <c r="V83" s="945">
        <f t="shared" si="41"/>
        <v>1106506.4473388104</v>
      </c>
      <c r="W83" s="945">
        <f t="shared" si="41"/>
        <v>1071871.1549179906</v>
      </c>
      <c r="X83" s="946">
        <v>2.0250000000000001E-2</v>
      </c>
      <c r="Y83" s="947">
        <f t="shared" si="42"/>
        <v>30269.422665668779</v>
      </c>
      <c r="Z83" s="947">
        <f t="shared" si="42"/>
        <v>107792.59328056288</v>
      </c>
      <c r="AA83" s="947">
        <f t="shared" si="42"/>
        <v>75491.272191023381</v>
      </c>
      <c r="AB83" s="947">
        <f t="shared" si="42"/>
        <v>43189.951101483886</v>
      </c>
      <c r="AC83" s="947">
        <f t="shared" si="42"/>
        <v>28109.957755983902</v>
      </c>
      <c r="AD83" s="947">
        <f t="shared" si="42"/>
        <v>24510.849573175772</v>
      </c>
      <c r="AE83" s="947">
        <f t="shared" si="42"/>
        <v>23809.484901654112</v>
      </c>
      <c r="AF83" s="947">
        <f t="shared" si="44"/>
        <v>23108.120230132514</v>
      </c>
      <c r="AG83" s="947">
        <f t="shared" si="44"/>
        <v>22406.755558610912</v>
      </c>
      <c r="AH83" s="947">
        <f t="shared" si="44"/>
        <v>21705.39088708931</v>
      </c>
    </row>
    <row r="84" spans="1:34" x14ac:dyDescent="0.25">
      <c r="A84" s="949" t="s">
        <v>504</v>
      </c>
      <c r="B84" s="928" t="s">
        <v>653</v>
      </c>
      <c r="C84" s="928" t="s">
        <v>746</v>
      </c>
      <c r="D84" s="928" t="s">
        <v>687</v>
      </c>
      <c r="E84" s="928" t="s">
        <v>747</v>
      </c>
      <c r="F84" s="928" t="s">
        <v>699</v>
      </c>
      <c r="G84" s="949" t="s">
        <v>1348</v>
      </c>
      <c r="H84" s="943" t="s">
        <v>1114</v>
      </c>
      <c r="I84" s="928" t="str">
        <f t="shared" si="35"/>
        <v>F</v>
      </c>
      <c r="J84" s="928" t="str">
        <f t="shared" si="36"/>
        <v>HCV7</v>
      </c>
      <c r="K84" s="928" t="str">
        <f t="shared" si="37"/>
        <v/>
      </c>
      <c r="L84" s="942" t="str">
        <f t="shared" si="38"/>
        <v>TFHCV7HGN-N</v>
      </c>
      <c r="M84" s="942" t="str">
        <f t="shared" si="39"/>
        <v>TFHCV7HGN-E</v>
      </c>
      <c r="N84" s="948" cm="1">
        <f t="array" ref="N84">INDEX(VehicleCostData2022!$T$16:$T$86,MATCH(1,(VehicleCostData2022!$R$16:$R$86=$E84)*(VehicleCostData2022!$S$16:$S$86=$F84),0))</f>
        <v>2565517.2470272132</v>
      </c>
      <c r="O84" s="945">
        <f t="shared" si="41"/>
        <v>9136076.3704530932</v>
      </c>
      <c r="P84" s="945">
        <f t="shared" si="41"/>
        <v>6398343.402358952</v>
      </c>
      <c r="Q84" s="945">
        <f t="shared" si="41"/>
        <v>3660610.4342648112</v>
      </c>
      <c r="R84" s="945">
        <f t="shared" si="41"/>
        <v>2382489.492208811</v>
      </c>
      <c r="S84" s="945">
        <f t="shared" si="41"/>
        <v>2077443.2341781401</v>
      </c>
      <c r="T84" s="945">
        <f t="shared" si="41"/>
        <v>2017998.3223567726</v>
      </c>
      <c r="U84" s="945">
        <f t="shared" si="41"/>
        <v>1958553.4105354098</v>
      </c>
      <c r="V84" s="945">
        <f t="shared" si="41"/>
        <v>1899108.4987140468</v>
      </c>
      <c r="W84" s="945">
        <f t="shared" si="41"/>
        <v>1839663.586892684</v>
      </c>
      <c r="X84" s="946">
        <v>2.0250000000000001E-2</v>
      </c>
      <c r="Y84" s="947">
        <f t="shared" si="42"/>
        <v>51951.724252301072</v>
      </c>
      <c r="Z84" s="947">
        <f t="shared" si="42"/>
        <v>185005.54650167516</v>
      </c>
      <c r="AA84" s="947">
        <f t="shared" si="42"/>
        <v>129566.45389776878</v>
      </c>
      <c r="AB84" s="947">
        <f t="shared" si="42"/>
        <v>74127.361293862428</v>
      </c>
      <c r="AC84" s="947">
        <f t="shared" si="42"/>
        <v>48245.412217228426</v>
      </c>
      <c r="AD84" s="947">
        <f t="shared" si="42"/>
        <v>42068.22549210734</v>
      </c>
      <c r="AE84" s="947">
        <f t="shared" si="42"/>
        <v>40864.466027724644</v>
      </c>
      <c r="AF84" s="947">
        <f t="shared" si="44"/>
        <v>39660.70656334205</v>
      </c>
      <c r="AG84" s="947">
        <f t="shared" si="44"/>
        <v>38456.947098959448</v>
      </c>
      <c r="AH84" s="947">
        <f t="shared" si="44"/>
        <v>37253.187634576854</v>
      </c>
    </row>
    <row r="85" spans="1:34" x14ac:dyDescent="0.25">
      <c r="A85" s="928" t="s">
        <v>509</v>
      </c>
      <c r="B85" s="928" t="s">
        <v>653</v>
      </c>
      <c r="C85" s="928" t="s">
        <v>746</v>
      </c>
      <c r="D85" s="928" t="s">
        <v>687</v>
      </c>
      <c r="E85" s="928" t="s">
        <v>747</v>
      </c>
      <c r="F85" s="928" t="s">
        <v>700</v>
      </c>
      <c r="G85" s="942" t="str">
        <f t="shared" ref="G85:G87" si="45">IF(A85="HGN",A85,RIGHT(F85,3))</f>
        <v>ICE</v>
      </c>
      <c r="H85" s="943" t="s">
        <v>1114</v>
      </c>
      <c r="I85" s="928" t="str">
        <f t="shared" si="35"/>
        <v>F</v>
      </c>
      <c r="J85" s="928" t="str">
        <f t="shared" si="36"/>
        <v>HCV7</v>
      </c>
      <c r="K85" s="928" t="str">
        <f t="shared" si="37"/>
        <v/>
      </c>
      <c r="L85" s="942" t="str">
        <f t="shared" si="38"/>
        <v>TFHCV7GAS-N</v>
      </c>
      <c r="M85" s="942" t="str">
        <f t="shared" si="39"/>
        <v>TFHCV7GAS-E</v>
      </c>
      <c r="N85" s="948" cm="1">
        <f t="array" ref="N85">INDEX(VehicleCostData2022!$T$16:$T$86,MATCH(1,(VehicleCostData2022!$R$16:$R$86=$E85)*(VehicleCostData2022!$S$16:$S$86=$F85),0))</f>
        <v>1314023.0851808547</v>
      </c>
      <c r="O85" s="945">
        <f t="shared" si="41"/>
        <v>1282892.7084194976</v>
      </c>
      <c r="P85" s="945">
        <f t="shared" si="41"/>
        <v>1295773.0539461186</v>
      </c>
      <c r="Q85" s="945">
        <f t="shared" si="41"/>
        <v>1308782.7191732849</v>
      </c>
      <c r="R85" s="945">
        <f t="shared" si="41"/>
        <v>1321923.0024811465</v>
      </c>
      <c r="S85" s="945">
        <f t="shared" si="41"/>
        <v>1335195.2152856935</v>
      </c>
      <c r="T85" s="945">
        <f t="shared" si="41"/>
        <v>1348600.6821696374</v>
      </c>
      <c r="U85" s="945">
        <f t="shared" si="41"/>
        <v>1362140.7410146061</v>
      </c>
      <c r="V85" s="945">
        <f t="shared" si="41"/>
        <v>1375816.7431346667</v>
      </c>
      <c r="W85" s="945">
        <f t="shared" si="41"/>
        <v>1389630.0534111874</v>
      </c>
      <c r="X85" s="946">
        <v>2.7E-2</v>
      </c>
      <c r="Y85" s="947">
        <f t="shared" si="42"/>
        <v>35478.623299883075</v>
      </c>
      <c r="Z85" s="947">
        <f t="shared" si="42"/>
        <v>34638.103127326438</v>
      </c>
      <c r="AA85" s="947">
        <f t="shared" si="42"/>
        <v>34985.872456545199</v>
      </c>
      <c r="AB85" s="947">
        <f t="shared" si="42"/>
        <v>35337.133417678691</v>
      </c>
      <c r="AC85" s="947">
        <f t="shared" si="42"/>
        <v>35691.921066990952</v>
      </c>
      <c r="AD85" s="947">
        <f t="shared" si="42"/>
        <v>36050.270812713723</v>
      </c>
      <c r="AE85" s="947">
        <f t="shared" si="42"/>
        <v>36412.218418580211</v>
      </c>
      <c r="AF85" s="947">
        <f t="shared" si="44"/>
        <v>36777.800007394362</v>
      </c>
      <c r="AG85" s="947">
        <f t="shared" si="44"/>
        <v>37147.052064636002</v>
      </c>
      <c r="AH85" s="947">
        <f t="shared" si="44"/>
        <v>37520.011442102055</v>
      </c>
    </row>
    <row r="86" spans="1:34" x14ac:dyDescent="0.25">
      <c r="A86" s="928" t="s">
        <v>511</v>
      </c>
      <c r="B86" s="928" t="s">
        <v>653</v>
      </c>
      <c r="C86" s="928" t="s">
        <v>750</v>
      </c>
      <c r="D86" s="928" t="s">
        <v>687</v>
      </c>
      <c r="E86" s="928" t="s">
        <v>747</v>
      </c>
      <c r="F86" s="928" t="s">
        <v>687</v>
      </c>
      <c r="G86" s="942" t="str">
        <f t="shared" si="45"/>
        <v>ICE</v>
      </c>
      <c r="H86" s="943" t="s">
        <v>1114</v>
      </c>
      <c r="I86" s="928" t="str">
        <f t="shared" si="35"/>
        <v>F</v>
      </c>
      <c r="J86" s="928" t="str">
        <f t="shared" si="36"/>
        <v>HCV8</v>
      </c>
      <c r="K86" s="928" t="str">
        <f t="shared" si="37"/>
        <v/>
      </c>
      <c r="L86" s="942" t="str">
        <f t="shared" si="38"/>
        <v>TFHCV8ODS-N</v>
      </c>
      <c r="M86" s="942" t="str">
        <f t="shared" si="39"/>
        <v>TFHCV8ODS-E</v>
      </c>
      <c r="N86" s="948" cm="1">
        <f t="array" ref="N86">INDEX(VehicleCostData2022!$T$16:$T$86,MATCH(1,(VehicleCostData2022!$R$16:$R$86=$E86)*(VehicleCostData2022!$S$16:$S$86=$F86),0))</f>
        <v>1133048.1053792366</v>
      </c>
      <c r="O86" s="945">
        <f t="shared" si="41"/>
        <v>1106205.1870112212</v>
      </c>
      <c r="P86" s="945">
        <f t="shared" si="41"/>
        <v>1117311.5756737606</v>
      </c>
      <c r="Q86" s="945">
        <f t="shared" si="41"/>
        <v>1128529.4733678717</v>
      </c>
      <c r="R86" s="945">
        <f t="shared" si="41"/>
        <v>1139859.9996531613</v>
      </c>
      <c r="S86" s="945">
        <f t="shared" si="41"/>
        <v>1151304.2853297042</v>
      </c>
      <c r="T86" s="945">
        <f t="shared" si="41"/>
        <v>1162863.4725508986</v>
      </c>
      <c r="U86" s="945">
        <f t="shared" si="41"/>
        <v>1174538.7149374534</v>
      </c>
      <c r="V86" s="945">
        <f t="shared" si="41"/>
        <v>1186331.177692523</v>
      </c>
      <c r="W86" s="945">
        <f t="shared" si="41"/>
        <v>1198242.0377179945</v>
      </c>
      <c r="X86" s="946">
        <v>2.7E-2</v>
      </c>
      <c r="Y86" s="947">
        <f t="shared" si="42"/>
        <v>30592.298845239387</v>
      </c>
      <c r="Z86" s="947">
        <f t="shared" si="42"/>
        <v>29867.54004930297</v>
      </c>
      <c r="AA86" s="947">
        <f t="shared" si="42"/>
        <v>30167.412543191534</v>
      </c>
      <c r="AB86" s="947">
        <f t="shared" si="42"/>
        <v>30470.295780932534</v>
      </c>
      <c r="AC86" s="947">
        <f t="shared" si="42"/>
        <v>30776.219990635353</v>
      </c>
      <c r="AD86" s="947">
        <f t="shared" si="42"/>
        <v>31085.215703902013</v>
      </c>
      <c r="AE86" s="947">
        <f t="shared" si="42"/>
        <v>31397.313758874261</v>
      </c>
      <c r="AF86" s="947">
        <f t="shared" si="44"/>
        <v>31712.545303311243</v>
      </c>
      <c r="AG86" s="947">
        <f t="shared" si="44"/>
        <v>32030.94179769812</v>
      </c>
      <c r="AH86" s="947">
        <f t="shared" si="44"/>
        <v>32352.535018385854</v>
      </c>
    </row>
    <row r="87" spans="1:34" x14ac:dyDescent="0.25">
      <c r="A87" s="928" t="s">
        <v>501</v>
      </c>
      <c r="B87" s="928" t="s">
        <v>653</v>
      </c>
      <c r="C87" s="928" t="s">
        <v>750</v>
      </c>
      <c r="D87" s="928" t="s">
        <v>687</v>
      </c>
      <c r="E87" s="928" t="s">
        <v>747</v>
      </c>
      <c r="F87" s="928" t="s">
        <v>692</v>
      </c>
      <c r="G87" s="942" t="str">
        <f t="shared" si="45"/>
        <v>BEV</v>
      </c>
      <c r="H87" s="943" t="s">
        <v>1114</v>
      </c>
      <c r="I87" s="928" t="str">
        <f t="shared" si="35"/>
        <v>F</v>
      </c>
      <c r="J87" s="928" t="str">
        <f t="shared" si="36"/>
        <v>HCV8</v>
      </c>
      <c r="K87" s="928" t="str">
        <f t="shared" si="37"/>
        <v/>
      </c>
      <c r="L87" s="942" t="str">
        <f t="shared" si="38"/>
        <v>TFHCV8ELC-N</v>
      </c>
      <c r="M87" s="942" t="str">
        <f t="shared" si="39"/>
        <v>TFHCV8ELC-E</v>
      </c>
      <c r="N87" s="948" cm="1">
        <f t="array" ref="N87">INDEX(VehicleCostData2022!$T$16:$T$86,MATCH(1,(VehicleCostData2022!$R$16:$R$86=$E87)*(VehicleCostData2022!$S$16:$S$86=$F87),0))</f>
        <v>1494786.3044774705</v>
      </c>
      <c r="O87" s="945">
        <f t="shared" si="41"/>
        <v>5323091.0262006363</v>
      </c>
      <c r="P87" s="945">
        <f t="shared" si="41"/>
        <v>3727964.0588159696</v>
      </c>
      <c r="Q87" s="945">
        <f t="shared" si="41"/>
        <v>2132837.0914313029</v>
      </c>
      <c r="R87" s="945">
        <f t="shared" si="41"/>
        <v>1388146.0620238963</v>
      </c>
      <c r="S87" s="945">
        <f t="shared" si="41"/>
        <v>1210412.3246012726</v>
      </c>
      <c r="T87" s="945">
        <f t="shared" si="41"/>
        <v>1175777.0321804499</v>
      </c>
      <c r="U87" s="945">
        <f t="shared" si="41"/>
        <v>1141141.7397596303</v>
      </c>
      <c r="V87" s="945">
        <f t="shared" si="41"/>
        <v>1106506.4473388104</v>
      </c>
      <c r="W87" s="945">
        <f t="shared" si="41"/>
        <v>1071871.1549179906</v>
      </c>
      <c r="X87" s="946">
        <v>2.0250000000000001E-2</v>
      </c>
      <c r="Y87" s="947">
        <f t="shared" si="42"/>
        <v>30269.422665668779</v>
      </c>
      <c r="Z87" s="947">
        <f t="shared" si="42"/>
        <v>107792.59328056288</v>
      </c>
      <c r="AA87" s="947">
        <f t="shared" si="42"/>
        <v>75491.272191023381</v>
      </c>
      <c r="AB87" s="947">
        <f t="shared" si="42"/>
        <v>43189.951101483886</v>
      </c>
      <c r="AC87" s="947">
        <f t="shared" si="42"/>
        <v>28109.957755983902</v>
      </c>
      <c r="AD87" s="947">
        <f t="shared" si="42"/>
        <v>24510.849573175772</v>
      </c>
      <c r="AE87" s="947">
        <f t="shared" si="42"/>
        <v>23809.484901654112</v>
      </c>
      <c r="AF87" s="947">
        <f t="shared" si="44"/>
        <v>23108.120230132514</v>
      </c>
      <c r="AG87" s="947">
        <f t="shared" si="44"/>
        <v>22406.755558610912</v>
      </c>
      <c r="AH87" s="947">
        <f t="shared" si="44"/>
        <v>21705.39088708931</v>
      </c>
    </row>
    <row r="88" spans="1:34" x14ac:dyDescent="0.25">
      <c r="A88" s="949" t="s">
        <v>504</v>
      </c>
      <c r="B88" s="928" t="s">
        <v>653</v>
      </c>
      <c r="C88" s="928" t="s">
        <v>750</v>
      </c>
      <c r="D88" s="928" t="s">
        <v>687</v>
      </c>
      <c r="E88" s="928" t="s">
        <v>747</v>
      </c>
      <c r="F88" s="928" t="s">
        <v>699</v>
      </c>
      <c r="G88" s="949" t="s">
        <v>1348</v>
      </c>
      <c r="H88" s="943" t="s">
        <v>1114</v>
      </c>
      <c r="I88" s="928" t="str">
        <f t="shared" si="35"/>
        <v>F</v>
      </c>
      <c r="J88" s="928" t="str">
        <f t="shared" si="36"/>
        <v>HCV8</v>
      </c>
      <c r="K88" s="928" t="str">
        <f t="shared" si="37"/>
        <v/>
      </c>
      <c r="L88" s="942" t="str">
        <f t="shared" si="38"/>
        <v>TFHCV8HGN-N</v>
      </c>
      <c r="M88" s="942" t="str">
        <f t="shared" si="39"/>
        <v>TFHCV8HGN-E</v>
      </c>
      <c r="N88" s="948" cm="1">
        <f t="array" ref="N88">INDEX(VehicleCostData2022!$T$16:$T$86,MATCH(1,(VehicleCostData2022!$R$16:$R$86=$E88)*(VehicleCostData2022!$S$16:$S$86=$F88),0))</f>
        <v>2565517.2470272132</v>
      </c>
      <c r="O88" s="945">
        <f t="shared" si="41"/>
        <v>9136076.3704530932</v>
      </c>
      <c r="P88" s="945">
        <f t="shared" si="41"/>
        <v>6398343.402358952</v>
      </c>
      <c r="Q88" s="945">
        <f t="shared" si="41"/>
        <v>3660610.4342648112</v>
      </c>
      <c r="R88" s="945">
        <f t="shared" si="41"/>
        <v>2382489.492208811</v>
      </c>
      <c r="S88" s="945">
        <f t="shared" si="41"/>
        <v>2077443.2341781401</v>
      </c>
      <c r="T88" s="945">
        <f t="shared" si="41"/>
        <v>2017998.3223567726</v>
      </c>
      <c r="U88" s="945">
        <f t="shared" si="41"/>
        <v>1958553.4105354098</v>
      </c>
      <c r="V88" s="945">
        <f t="shared" si="41"/>
        <v>1899108.4987140468</v>
      </c>
      <c r="W88" s="945">
        <f t="shared" si="41"/>
        <v>1839663.586892684</v>
      </c>
      <c r="X88" s="946">
        <v>2.0250000000000001E-2</v>
      </c>
      <c r="Y88" s="947">
        <f t="shared" si="42"/>
        <v>51951.724252301072</v>
      </c>
      <c r="Z88" s="947">
        <f t="shared" si="42"/>
        <v>185005.54650167516</v>
      </c>
      <c r="AA88" s="947">
        <f t="shared" si="42"/>
        <v>129566.45389776878</v>
      </c>
      <c r="AB88" s="947">
        <f t="shared" si="42"/>
        <v>74127.361293862428</v>
      </c>
      <c r="AC88" s="947">
        <f t="shared" si="42"/>
        <v>48245.412217228426</v>
      </c>
      <c r="AD88" s="947">
        <f t="shared" si="42"/>
        <v>42068.22549210734</v>
      </c>
      <c r="AE88" s="947">
        <f t="shared" si="42"/>
        <v>40864.466027724644</v>
      </c>
      <c r="AF88" s="947">
        <f t="shared" si="44"/>
        <v>39660.70656334205</v>
      </c>
      <c r="AG88" s="947">
        <f t="shared" si="44"/>
        <v>38456.947098959448</v>
      </c>
      <c r="AH88" s="947">
        <f t="shared" si="44"/>
        <v>37253.187634576854</v>
      </c>
    </row>
    <row r="89" spans="1:34" x14ac:dyDescent="0.25">
      <c r="A89" s="928" t="s">
        <v>509</v>
      </c>
      <c r="B89" s="928" t="s">
        <v>653</v>
      </c>
      <c r="C89" s="928" t="s">
        <v>750</v>
      </c>
      <c r="D89" s="928" t="s">
        <v>687</v>
      </c>
      <c r="E89" s="928" t="s">
        <v>747</v>
      </c>
      <c r="F89" s="928" t="s">
        <v>700</v>
      </c>
      <c r="G89" s="942" t="str">
        <f t="shared" ref="G89:G91" si="46">IF(A89="HGN",A89,RIGHT(F89,3))</f>
        <v>ICE</v>
      </c>
      <c r="H89" s="943" t="s">
        <v>1114</v>
      </c>
      <c r="I89" s="928" t="str">
        <f t="shared" si="35"/>
        <v>F</v>
      </c>
      <c r="J89" s="928" t="str">
        <f t="shared" si="36"/>
        <v>HCV8</v>
      </c>
      <c r="K89" s="928" t="str">
        <f t="shared" si="37"/>
        <v/>
      </c>
      <c r="L89" s="942" t="str">
        <f t="shared" si="38"/>
        <v>TFHCV8GAS-N</v>
      </c>
      <c r="M89" s="942" t="str">
        <f t="shared" si="39"/>
        <v>TFHCV8GAS-E</v>
      </c>
      <c r="N89" s="948" cm="1">
        <f t="array" ref="N89">INDEX(VehicleCostData2022!$T$16:$T$86,MATCH(1,(VehicleCostData2022!$R$16:$R$86=$E89)*(VehicleCostData2022!$S$16:$S$86=$F89),0))</f>
        <v>1314023.0851808547</v>
      </c>
      <c r="O89" s="945">
        <f t="shared" si="41"/>
        <v>1282892.7084194976</v>
      </c>
      <c r="P89" s="945">
        <f t="shared" si="41"/>
        <v>1295773.0539461186</v>
      </c>
      <c r="Q89" s="945">
        <f t="shared" si="41"/>
        <v>1308782.7191732849</v>
      </c>
      <c r="R89" s="945">
        <f t="shared" si="41"/>
        <v>1321923.0024811465</v>
      </c>
      <c r="S89" s="945">
        <f t="shared" si="41"/>
        <v>1335195.2152856935</v>
      </c>
      <c r="T89" s="945">
        <f t="shared" si="41"/>
        <v>1348600.6821696374</v>
      </c>
      <c r="U89" s="945">
        <f t="shared" si="41"/>
        <v>1362140.7410146061</v>
      </c>
      <c r="V89" s="945">
        <f t="shared" si="41"/>
        <v>1375816.7431346667</v>
      </c>
      <c r="W89" s="945">
        <f t="shared" si="41"/>
        <v>1389630.0534111874</v>
      </c>
      <c r="X89" s="946">
        <v>2.7E-2</v>
      </c>
      <c r="Y89" s="947">
        <f t="shared" si="42"/>
        <v>35478.623299883075</v>
      </c>
      <c r="Z89" s="947">
        <f t="shared" si="42"/>
        <v>34638.103127326438</v>
      </c>
      <c r="AA89" s="947">
        <f t="shared" si="42"/>
        <v>34985.872456545199</v>
      </c>
      <c r="AB89" s="947">
        <f t="shared" si="42"/>
        <v>35337.133417678691</v>
      </c>
      <c r="AC89" s="947">
        <f t="shared" si="42"/>
        <v>35691.921066990952</v>
      </c>
      <c r="AD89" s="947">
        <f t="shared" si="42"/>
        <v>36050.270812713723</v>
      </c>
      <c r="AE89" s="947">
        <f t="shared" si="42"/>
        <v>36412.218418580211</v>
      </c>
      <c r="AF89" s="947">
        <f t="shared" si="44"/>
        <v>36777.800007394362</v>
      </c>
      <c r="AG89" s="947">
        <f t="shared" si="44"/>
        <v>37147.052064636002</v>
      </c>
      <c r="AH89" s="947">
        <f t="shared" si="44"/>
        <v>37520.011442102055</v>
      </c>
    </row>
    <row r="90" spans="1:34" x14ac:dyDescent="0.25">
      <c r="A90" s="928" t="s">
        <v>511</v>
      </c>
      <c r="B90" s="928" t="s">
        <v>653</v>
      </c>
      <c r="C90" s="928" t="s">
        <v>757</v>
      </c>
      <c r="D90" s="928" t="s">
        <v>687</v>
      </c>
      <c r="E90" s="928" t="s">
        <v>747</v>
      </c>
      <c r="F90" s="928" t="s">
        <v>687</v>
      </c>
      <c r="G90" s="942" t="str">
        <f t="shared" si="46"/>
        <v>ICE</v>
      </c>
      <c r="H90" s="943" t="s">
        <v>1114</v>
      </c>
      <c r="I90" s="928" t="str">
        <f t="shared" si="35"/>
        <v>F</v>
      </c>
      <c r="J90" s="928" t="str">
        <f t="shared" si="36"/>
        <v>HCV9</v>
      </c>
      <c r="K90" s="928" t="str">
        <f t="shared" si="37"/>
        <v/>
      </c>
      <c r="L90" s="942" t="str">
        <f t="shared" si="38"/>
        <v>TFHCV9ODS-N</v>
      </c>
      <c r="M90" s="942" t="str">
        <f t="shared" si="39"/>
        <v>TFHCV9ODS-E</v>
      </c>
      <c r="N90" s="948" cm="1">
        <f t="array" ref="N90">INDEX(VehicleCostData2022!$T$16:$T$86,MATCH(1,(VehicleCostData2022!$R$16:$R$86=$E90)*(VehicleCostData2022!$S$16:$S$86=$F90),0))</f>
        <v>1133048.1053792366</v>
      </c>
      <c r="O90" s="945">
        <f t="shared" si="41"/>
        <v>1106205.1870112212</v>
      </c>
      <c r="P90" s="945">
        <f t="shared" si="41"/>
        <v>1117311.5756737606</v>
      </c>
      <c r="Q90" s="945">
        <f t="shared" si="41"/>
        <v>1128529.4733678717</v>
      </c>
      <c r="R90" s="945">
        <f t="shared" si="41"/>
        <v>1139859.9996531613</v>
      </c>
      <c r="S90" s="945">
        <f t="shared" si="41"/>
        <v>1151304.2853297042</v>
      </c>
      <c r="T90" s="945">
        <f t="shared" si="41"/>
        <v>1162863.4725508986</v>
      </c>
      <c r="U90" s="945">
        <f t="shared" si="41"/>
        <v>1174538.7149374534</v>
      </c>
      <c r="V90" s="945">
        <f t="shared" si="41"/>
        <v>1186331.177692523</v>
      </c>
      <c r="W90" s="945">
        <f t="shared" si="41"/>
        <v>1198242.0377179945</v>
      </c>
      <c r="X90" s="946">
        <v>2.7E-2</v>
      </c>
      <c r="Y90" s="947">
        <f t="shared" si="42"/>
        <v>30592.298845239387</v>
      </c>
      <c r="Z90" s="947">
        <f t="shared" si="42"/>
        <v>29867.54004930297</v>
      </c>
      <c r="AA90" s="947">
        <f t="shared" si="42"/>
        <v>30167.412543191534</v>
      </c>
      <c r="AB90" s="947">
        <f t="shared" si="42"/>
        <v>30470.295780932534</v>
      </c>
      <c r="AC90" s="947">
        <f t="shared" si="42"/>
        <v>30776.219990635353</v>
      </c>
      <c r="AD90" s="947">
        <f t="shared" si="42"/>
        <v>31085.215703902013</v>
      </c>
      <c r="AE90" s="947">
        <f t="shared" si="42"/>
        <v>31397.313758874261</v>
      </c>
      <c r="AF90" s="947">
        <f t="shared" si="44"/>
        <v>31712.545303311243</v>
      </c>
      <c r="AG90" s="947">
        <f t="shared" si="44"/>
        <v>32030.94179769812</v>
      </c>
      <c r="AH90" s="947">
        <f t="shared" si="44"/>
        <v>32352.535018385854</v>
      </c>
    </row>
    <row r="91" spans="1:34" x14ac:dyDescent="0.25">
      <c r="A91" s="928" t="s">
        <v>501</v>
      </c>
      <c r="B91" s="928" t="s">
        <v>653</v>
      </c>
      <c r="C91" s="928" t="s">
        <v>757</v>
      </c>
      <c r="D91" s="928" t="s">
        <v>687</v>
      </c>
      <c r="E91" s="928" t="s">
        <v>747</v>
      </c>
      <c r="F91" s="928" t="s">
        <v>692</v>
      </c>
      <c r="G91" s="942" t="str">
        <f t="shared" si="46"/>
        <v>BEV</v>
      </c>
      <c r="H91" s="943" t="s">
        <v>1114</v>
      </c>
      <c r="I91" s="928" t="str">
        <f t="shared" si="35"/>
        <v>F</v>
      </c>
      <c r="J91" s="928" t="str">
        <f t="shared" si="36"/>
        <v>HCV9</v>
      </c>
      <c r="K91" s="928" t="str">
        <f t="shared" si="37"/>
        <v/>
      </c>
      <c r="L91" s="942" t="str">
        <f t="shared" si="38"/>
        <v>TFHCV9ELC-N</v>
      </c>
      <c r="M91" s="942" t="str">
        <f t="shared" si="39"/>
        <v>TFHCV9ELC-E</v>
      </c>
      <c r="N91" s="948" cm="1">
        <f t="array" ref="N91">INDEX(VehicleCostData2022!$T$16:$T$86,MATCH(1,(VehicleCostData2022!$R$16:$R$86=$E91)*(VehicleCostData2022!$S$16:$S$86=$F91),0))</f>
        <v>1494786.3044774705</v>
      </c>
      <c r="O91" s="945">
        <f t="shared" si="41"/>
        <v>5323091.0262006363</v>
      </c>
      <c r="P91" s="945">
        <f t="shared" si="41"/>
        <v>3727964.0588159696</v>
      </c>
      <c r="Q91" s="945">
        <f t="shared" si="41"/>
        <v>2132837.0914313029</v>
      </c>
      <c r="R91" s="945">
        <f t="shared" si="41"/>
        <v>1388146.0620238963</v>
      </c>
      <c r="S91" s="945">
        <f t="shared" si="41"/>
        <v>1210412.3246012726</v>
      </c>
      <c r="T91" s="945">
        <f t="shared" si="41"/>
        <v>1175777.0321804499</v>
      </c>
      <c r="U91" s="945">
        <f t="shared" si="41"/>
        <v>1141141.7397596303</v>
      </c>
      <c r="V91" s="945">
        <f t="shared" si="41"/>
        <v>1106506.4473388104</v>
      </c>
      <c r="W91" s="945">
        <f t="shared" si="41"/>
        <v>1071871.1549179906</v>
      </c>
      <c r="X91" s="946">
        <v>2.0250000000000001E-2</v>
      </c>
      <c r="Y91" s="947">
        <f t="shared" si="42"/>
        <v>30269.422665668779</v>
      </c>
      <c r="Z91" s="947">
        <f t="shared" si="42"/>
        <v>107792.59328056288</v>
      </c>
      <c r="AA91" s="947">
        <f t="shared" si="42"/>
        <v>75491.272191023381</v>
      </c>
      <c r="AB91" s="947">
        <f t="shared" si="42"/>
        <v>43189.951101483886</v>
      </c>
      <c r="AC91" s="947">
        <f t="shared" si="42"/>
        <v>28109.957755983902</v>
      </c>
      <c r="AD91" s="947">
        <f t="shared" si="42"/>
        <v>24510.849573175772</v>
      </c>
      <c r="AE91" s="947">
        <f t="shared" si="42"/>
        <v>23809.484901654112</v>
      </c>
      <c r="AF91" s="947">
        <f t="shared" si="44"/>
        <v>23108.120230132514</v>
      </c>
      <c r="AG91" s="947">
        <f t="shared" si="44"/>
        <v>22406.755558610912</v>
      </c>
      <c r="AH91" s="947">
        <f t="shared" si="44"/>
        <v>21705.39088708931</v>
      </c>
    </row>
    <row r="92" spans="1:34" x14ac:dyDescent="0.25">
      <c r="A92" s="949" t="s">
        <v>504</v>
      </c>
      <c r="B92" s="928" t="s">
        <v>653</v>
      </c>
      <c r="C92" s="928" t="s">
        <v>757</v>
      </c>
      <c r="D92" s="928" t="s">
        <v>687</v>
      </c>
      <c r="E92" s="928" t="s">
        <v>747</v>
      </c>
      <c r="F92" s="928" t="s">
        <v>699</v>
      </c>
      <c r="G92" s="949" t="s">
        <v>1348</v>
      </c>
      <c r="H92" s="943" t="s">
        <v>1114</v>
      </c>
      <c r="I92" s="928" t="str">
        <f t="shared" si="35"/>
        <v>F</v>
      </c>
      <c r="J92" s="928" t="str">
        <f t="shared" si="36"/>
        <v>HCV9</v>
      </c>
      <c r="K92" s="928" t="str">
        <f t="shared" si="37"/>
        <v/>
      </c>
      <c r="L92" s="942" t="str">
        <f t="shared" si="38"/>
        <v>TFHCV9HGN-N</v>
      </c>
      <c r="M92" s="942" t="str">
        <f t="shared" si="39"/>
        <v>TFHCV9HGN-E</v>
      </c>
      <c r="N92" s="948" cm="1">
        <f t="array" ref="N92">INDEX(VehicleCostData2022!$T$16:$T$86,MATCH(1,(VehicleCostData2022!$R$16:$R$86=$E92)*(VehicleCostData2022!$S$16:$S$86=$F92),0))</f>
        <v>2565517.2470272132</v>
      </c>
      <c r="O92" s="945">
        <f t="shared" si="41"/>
        <v>9136076.3704530932</v>
      </c>
      <c r="P92" s="945">
        <f t="shared" si="41"/>
        <v>6398343.402358952</v>
      </c>
      <c r="Q92" s="945">
        <f t="shared" si="41"/>
        <v>3660610.4342648112</v>
      </c>
      <c r="R92" s="945">
        <f t="shared" si="41"/>
        <v>2382489.492208811</v>
      </c>
      <c r="S92" s="945">
        <f t="shared" si="41"/>
        <v>2077443.2341781401</v>
      </c>
      <c r="T92" s="945">
        <f t="shared" si="41"/>
        <v>2017998.3223567726</v>
      </c>
      <c r="U92" s="945">
        <f t="shared" si="41"/>
        <v>1958553.4105354098</v>
      </c>
      <c r="V92" s="945">
        <f t="shared" si="41"/>
        <v>1899108.4987140468</v>
      </c>
      <c r="W92" s="945">
        <f t="shared" si="41"/>
        <v>1839663.586892684</v>
      </c>
      <c r="X92" s="946">
        <v>2.0250000000000001E-2</v>
      </c>
      <c r="Y92" s="947">
        <f t="shared" si="42"/>
        <v>51951.724252301072</v>
      </c>
      <c r="Z92" s="947">
        <f t="shared" si="42"/>
        <v>185005.54650167516</v>
      </c>
      <c r="AA92" s="947">
        <f t="shared" si="42"/>
        <v>129566.45389776878</v>
      </c>
      <c r="AB92" s="947">
        <f t="shared" si="42"/>
        <v>74127.361293862428</v>
      </c>
      <c r="AC92" s="947">
        <f t="shared" si="42"/>
        <v>48245.412217228426</v>
      </c>
      <c r="AD92" s="947">
        <f t="shared" si="42"/>
        <v>42068.22549210734</v>
      </c>
      <c r="AE92" s="947">
        <f t="shared" si="42"/>
        <v>40864.466027724644</v>
      </c>
      <c r="AF92" s="947">
        <f t="shared" si="44"/>
        <v>39660.70656334205</v>
      </c>
      <c r="AG92" s="947">
        <f t="shared" si="44"/>
        <v>38456.947098959448</v>
      </c>
      <c r="AH92" s="947">
        <f t="shared" si="44"/>
        <v>37253.187634576854</v>
      </c>
    </row>
    <row r="93" spans="1:34" x14ac:dyDescent="0.25">
      <c r="A93" s="928" t="s">
        <v>509</v>
      </c>
      <c r="B93" s="928" t="s">
        <v>653</v>
      </c>
      <c r="C93" s="928" t="s">
        <v>757</v>
      </c>
      <c r="D93" s="928" t="s">
        <v>687</v>
      </c>
      <c r="E93" s="928" t="s">
        <v>747</v>
      </c>
      <c r="F93" s="928" t="s">
        <v>700</v>
      </c>
      <c r="G93" s="942" t="str">
        <f t="shared" ref="G93" si="47">IF(A93="HGN",A93,RIGHT(F93,3))</f>
        <v>ICE</v>
      </c>
      <c r="H93" s="943" t="s">
        <v>1114</v>
      </c>
      <c r="I93" s="928" t="str">
        <f t="shared" si="35"/>
        <v>F</v>
      </c>
      <c r="J93" s="928" t="str">
        <f t="shared" si="36"/>
        <v>HCV9</v>
      </c>
      <c r="K93" s="928" t="str">
        <f t="shared" si="37"/>
        <v/>
      </c>
      <c r="L93" s="942" t="str">
        <f t="shared" si="38"/>
        <v>TFHCV9GAS-N</v>
      </c>
      <c r="M93" s="942" t="str">
        <f t="shared" si="39"/>
        <v>TFHCV9GAS-E</v>
      </c>
      <c r="N93" s="948" cm="1">
        <f t="array" ref="N93">INDEX(VehicleCostData2022!$T$16:$T$86,MATCH(1,(VehicleCostData2022!$R$16:$R$86=$E93)*(VehicleCostData2022!$S$16:$S$86=$F93),0))</f>
        <v>1314023.0851808547</v>
      </c>
      <c r="O93" s="945">
        <f t="shared" ref="O93:W93" si="48">$N93*INDEX($O$3:$W$6,MATCH($G93,$K$3:$K$6,0),MATCH(O$10,$O$2:$W$2,0))</f>
        <v>1282892.7084194976</v>
      </c>
      <c r="P93" s="945">
        <f t="shared" si="48"/>
        <v>1295773.0539461186</v>
      </c>
      <c r="Q93" s="945">
        <f t="shared" si="48"/>
        <v>1308782.7191732849</v>
      </c>
      <c r="R93" s="945">
        <f t="shared" si="48"/>
        <v>1321923.0024811465</v>
      </c>
      <c r="S93" s="945">
        <f t="shared" si="48"/>
        <v>1335195.2152856935</v>
      </c>
      <c r="T93" s="945">
        <f t="shared" si="48"/>
        <v>1348600.6821696374</v>
      </c>
      <c r="U93" s="945">
        <f t="shared" si="48"/>
        <v>1362140.7410146061</v>
      </c>
      <c r="V93" s="945">
        <f t="shared" si="48"/>
        <v>1375816.7431346667</v>
      </c>
      <c r="W93" s="945">
        <f t="shared" si="48"/>
        <v>1389630.0534111874</v>
      </c>
      <c r="X93" s="946">
        <v>2.7E-2</v>
      </c>
      <c r="Y93" s="947">
        <f t="shared" si="42"/>
        <v>35478.623299883075</v>
      </c>
      <c r="Z93" s="947">
        <f t="shared" si="42"/>
        <v>34638.103127326438</v>
      </c>
      <c r="AA93" s="947">
        <f t="shared" si="42"/>
        <v>34985.872456545199</v>
      </c>
      <c r="AB93" s="947">
        <f t="shared" si="42"/>
        <v>35337.133417678691</v>
      </c>
      <c r="AC93" s="947">
        <f t="shared" si="42"/>
        <v>35691.921066990952</v>
      </c>
      <c r="AD93" s="947">
        <f t="shared" si="42"/>
        <v>36050.270812713723</v>
      </c>
      <c r="AE93" s="947">
        <f t="shared" si="42"/>
        <v>36412.218418580211</v>
      </c>
      <c r="AF93" s="947">
        <f t="shared" si="44"/>
        <v>36777.800007394362</v>
      </c>
      <c r="AG93" s="947">
        <f t="shared" si="44"/>
        <v>37147.052064636002</v>
      </c>
      <c r="AH93" s="947">
        <f t="shared" si="44"/>
        <v>37520.011442102055</v>
      </c>
    </row>
  </sheetData>
  <autoFilter ref="A10:AH93" xr:uid="{9574A656-50C4-4A2B-8928-EE9C17A08ECB}"/>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5DEC0C6-3C89-47A6-ACE1-5CAA0D799E2C}">
          <x14:formula1>
            <xm:f>'IEAWEO2023 cost data'!$B$11:$B$13</xm:f>
          </x14:formula1>
          <xm:sqref>M5</xm:sqref>
        </x14:dataValidation>
        <x14:dataValidation type="list" allowBlank="1" showInputMessage="1" showErrorMessage="1" xr:uid="{7A8DBEE0-DB37-49C3-A072-A469799B7EDC}">
          <x14:formula1>
            <xm:f>'IEAWEO2023 cost data'!$B$17:$B$19</xm:f>
          </x14:formula1>
          <xm:sqref>M4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93BB-BC66-41AC-B16F-BC5F9BCB7613}">
  <sheetPr>
    <tabColor rgb="FFFF0066"/>
  </sheetPr>
  <dimension ref="A1:T131"/>
  <sheetViews>
    <sheetView tabSelected="1" topLeftCell="A25" zoomScale="70" zoomScaleNormal="70" workbookViewId="0">
      <selection activeCell="D44" sqref="D44:D83"/>
    </sheetView>
  </sheetViews>
  <sheetFormatPr defaultRowHeight="15" x14ac:dyDescent="0.25"/>
  <cols>
    <col min="1" max="2" width="9.140625" style="950"/>
    <col min="3" max="3" width="17" style="950" customWidth="1"/>
    <col min="4" max="4" width="21.7109375" style="950" customWidth="1"/>
    <col min="5" max="5" width="15.5703125" style="950" customWidth="1"/>
    <col min="6" max="6" width="23.140625" style="950" customWidth="1"/>
    <col min="7" max="16" width="15.5703125" style="950" customWidth="1"/>
    <col min="17" max="17" width="9.140625" style="950"/>
    <col min="18" max="18" width="17.7109375" style="950" customWidth="1"/>
    <col min="19" max="19" width="14.5703125" style="950" customWidth="1"/>
    <col min="20" max="20" width="27.28515625" style="950" customWidth="1"/>
    <col min="21" max="16384" width="9.140625" style="950"/>
  </cols>
  <sheetData>
    <row r="1" spans="2:20" x14ac:dyDescent="0.25">
      <c r="B1" s="950" t="s">
        <v>1275</v>
      </c>
      <c r="R1" s="322"/>
      <c r="S1" s="322"/>
      <c r="T1" s="322"/>
    </row>
    <row r="2" spans="2:20" x14ac:dyDescent="0.25">
      <c r="B2" s="950" t="s">
        <v>1274</v>
      </c>
    </row>
    <row r="3" spans="2:20" x14ac:dyDescent="0.25">
      <c r="B3" s="748" t="s">
        <v>1273</v>
      </c>
    </row>
    <row r="4" spans="2:20" x14ac:dyDescent="0.25">
      <c r="B4" s="951">
        <v>43831</v>
      </c>
      <c r="C4" s="952">
        <v>327723</v>
      </c>
      <c r="E4" s="951">
        <v>43831</v>
      </c>
      <c r="F4" s="951">
        <v>43862</v>
      </c>
      <c r="G4" s="951">
        <v>43891</v>
      </c>
      <c r="H4" s="951">
        <v>43922</v>
      </c>
      <c r="I4" s="951">
        <v>43952</v>
      </c>
      <c r="J4" s="951">
        <v>43983</v>
      </c>
      <c r="K4" s="951">
        <v>44013</v>
      </c>
      <c r="L4" s="951">
        <v>44044</v>
      </c>
      <c r="M4" s="951">
        <v>44075</v>
      </c>
      <c r="N4" s="951">
        <v>44105</v>
      </c>
      <c r="O4" s="951">
        <v>44136</v>
      </c>
      <c r="P4" s="951">
        <v>44166</v>
      </c>
    </row>
    <row r="5" spans="2:20" x14ac:dyDescent="0.25">
      <c r="B5" s="951">
        <v>44197</v>
      </c>
      <c r="C5" s="952">
        <v>358390</v>
      </c>
      <c r="E5" s="952">
        <f t="shared" ref="E5:P5" si="0">_xlfn.FORECAST.LINEAR(E4,$C$4:$C$5,$B$4:$B$5)</f>
        <v>327723</v>
      </c>
      <c r="F5" s="952">
        <f t="shared" si="0"/>
        <v>330320.47814207664</v>
      </c>
      <c r="G5" s="952">
        <f t="shared" si="0"/>
        <v>332750.37704918068</v>
      </c>
      <c r="H5" s="952">
        <f t="shared" si="0"/>
        <v>335347.85519125685</v>
      </c>
      <c r="I5" s="952">
        <f t="shared" si="0"/>
        <v>337861.54371584719</v>
      </c>
      <c r="J5" s="952">
        <f t="shared" si="0"/>
        <v>340459.02185792383</v>
      </c>
      <c r="K5" s="952">
        <f t="shared" si="0"/>
        <v>342972.7103825137</v>
      </c>
      <c r="L5" s="952">
        <f t="shared" si="0"/>
        <v>345570.18852459034</v>
      </c>
      <c r="M5" s="952">
        <f t="shared" si="0"/>
        <v>348167.66666666698</v>
      </c>
      <c r="N5" s="952">
        <f t="shared" si="0"/>
        <v>350681.35519125685</v>
      </c>
      <c r="O5" s="952">
        <f t="shared" si="0"/>
        <v>353278.83333333349</v>
      </c>
      <c r="P5" s="952">
        <f t="shared" si="0"/>
        <v>355792.52185792383</v>
      </c>
    </row>
    <row r="6" spans="2:20" x14ac:dyDescent="0.25">
      <c r="C6" s="950" t="s">
        <v>1272</v>
      </c>
      <c r="E6" s="950">
        <f>'[6]CPI-hist'!B23</f>
        <v>91.9</v>
      </c>
      <c r="F6" s="950">
        <f>'[6]CPI-hist'!C23</f>
        <v>92.8</v>
      </c>
      <c r="G6" s="950">
        <f>'[6]CPI-hist'!D23</f>
        <v>93.1</v>
      </c>
      <c r="H6" s="950">
        <f>'[6]CPI-hist'!E23</f>
        <v>92.6</v>
      </c>
      <c r="I6" s="950">
        <f>'[6]CPI-hist'!F23</f>
        <v>92</v>
      </c>
      <c r="J6" s="950">
        <f>'[6]CPI-hist'!G23</f>
        <v>92.5</v>
      </c>
      <c r="K6" s="950">
        <f>'[6]CPI-hist'!H23</f>
        <v>93.7</v>
      </c>
      <c r="L6" s="950">
        <f>'[6]CPI-hist'!I23</f>
        <v>93.9</v>
      </c>
      <c r="M6" s="950">
        <f>'[6]CPI-hist'!J23</f>
        <v>94</v>
      </c>
      <c r="N6" s="950">
        <f>'[6]CPI-hist'!K23</f>
        <v>94.3</v>
      </c>
      <c r="O6" s="950">
        <f>'[6]CPI-hist'!L23</f>
        <v>94.3</v>
      </c>
      <c r="P6" s="950">
        <f>'[6]CPI-hist'!M23</f>
        <v>94.4</v>
      </c>
    </row>
    <row r="7" spans="2:20" x14ac:dyDescent="0.25">
      <c r="C7" s="950" t="s">
        <v>1271</v>
      </c>
      <c r="E7" s="950">
        <f t="shared" ref="E7:P7" si="1">E6/$E6</f>
        <v>1</v>
      </c>
      <c r="F7" s="950">
        <f t="shared" si="1"/>
        <v>1.0097932535364527</v>
      </c>
      <c r="G7" s="950">
        <f t="shared" si="1"/>
        <v>1.0130576713819368</v>
      </c>
      <c r="H7" s="950">
        <f t="shared" si="1"/>
        <v>1.0076169749727963</v>
      </c>
      <c r="I7" s="950">
        <f t="shared" si="1"/>
        <v>1.001088139281828</v>
      </c>
      <c r="J7" s="950">
        <f t="shared" si="1"/>
        <v>1.0065288356909683</v>
      </c>
      <c r="K7" s="950">
        <f t="shared" si="1"/>
        <v>1.0195865070729053</v>
      </c>
      <c r="L7" s="950">
        <f t="shared" si="1"/>
        <v>1.0217627856365614</v>
      </c>
      <c r="M7" s="950">
        <f t="shared" si="1"/>
        <v>1.0228509249183895</v>
      </c>
      <c r="N7" s="950">
        <f t="shared" si="1"/>
        <v>1.0261153427638736</v>
      </c>
      <c r="O7" s="950">
        <f t="shared" si="1"/>
        <v>1.0261153427638736</v>
      </c>
      <c r="P7" s="950">
        <f t="shared" si="1"/>
        <v>1.0272034820457019</v>
      </c>
    </row>
    <row r="8" spans="2:20" x14ac:dyDescent="0.25">
      <c r="C8" s="950" t="s">
        <v>1270</v>
      </c>
      <c r="E8" s="952">
        <f t="shared" ref="E8:P8" si="2">E5/E7</f>
        <v>327723</v>
      </c>
      <c r="F8" s="952">
        <f t="shared" si="2"/>
        <v>327116.93902216427</v>
      </c>
      <c r="G8" s="952">
        <f t="shared" si="2"/>
        <v>328461.43556197319</v>
      </c>
      <c r="H8" s="952">
        <f t="shared" si="2"/>
        <v>332812.82820816967</v>
      </c>
      <c r="I8" s="952">
        <f t="shared" si="2"/>
        <v>337494.30290746043</v>
      </c>
      <c r="J8" s="952">
        <f t="shared" si="2"/>
        <v>338250.63901344006</v>
      </c>
      <c r="K8" s="952">
        <f t="shared" si="2"/>
        <v>336384.1204285273</v>
      </c>
      <c r="L8" s="952">
        <f t="shared" si="2"/>
        <v>338209.80112257565</v>
      </c>
      <c r="M8" s="952">
        <f t="shared" si="2"/>
        <v>340389.45283687976</v>
      </c>
      <c r="N8" s="952">
        <f t="shared" si="2"/>
        <v>341756.27298066288</v>
      </c>
      <c r="O8" s="952">
        <f t="shared" si="2"/>
        <v>344287.64351360925</v>
      </c>
      <c r="P8" s="952">
        <f t="shared" si="2"/>
        <v>346370.05041041522</v>
      </c>
    </row>
    <row r="9" spans="2:20" x14ac:dyDescent="0.25">
      <c r="C9" s="950" t="s">
        <v>1269</v>
      </c>
      <c r="E9" s="952">
        <f>AVERAGE(E8:P8)</f>
        <v>336604.70716715645</v>
      </c>
    </row>
    <row r="10" spans="2:20" x14ac:dyDescent="0.25">
      <c r="C10" s="950" t="s">
        <v>1268</v>
      </c>
      <c r="E10" s="950">
        <f>AVERAGE(E7:P7)</f>
        <v>1.0151432716721069</v>
      </c>
    </row>
    <row r="11" spans="2:20" x14ac:dyDescent="0.25">
      <c r="C11" s="950" t="s">
        <v>1267</v>
      </c>
      <c r="E11" s="952">
        <f>E9*E10</f>
        <v>341702.00369389867</v>
      </c>
    </row>
    <row r="14" spans="2:20" x14ac:dyDescent="0.25">
      <c r="B14" s="950" t="s">
        <v>1276</v>
      </c>
      <c r="F14" s="950" t="s">
        <v>1266</v>
      </c>
      <c r="G14" s="748" t="s">
        <v>1265</v>
      </c>
    </row>
    <row r="15" spans="2:20" x14ac:dyDescent="0.25">
      <c r="B15" s="953" t="s">
        <v>390</v>
      </c>
      <c r="C15" s="953">
        <v>1</v>
      </c>
      <c r="D15" s="953">
        <v>179000</v>
      </c>
      <c r="F15" s="950" t="s">
        <v>1360</v>
      </c>
      <c r="G15" s="950">
        <v>1.1157057808455564</v>
      </c>
      <c r="H15" s="950" t="s">
        <v>1280</v>
      </c>
      <c r="R15" s="351" t="s">
        <v>1361</v>
      </c>
      <c r="S15" s="351" t="s">
        <v>1362</v>
      </c>
      <c r="T15" s="351" t="s">
        <v>1363</v>
      </c>
    </row>
    <row r="16" spans="2:20" x14ac:dyDescent="0.25">
      <c r="B16" s="953" t="s">
        <v>1264</v>
      </c>
      <c r="C16" s="953">
        <v>47</v>
      </c>
      <c r="D16" s="953">
        <v>229900</v>
      </c>
      <c r="F16" s="950" t="s">
        <v>1364</v>
      </c>
      <c r="G16" s="950">
        <v>1.13076</v>
      </c>
      <c r="H16" s="950" t="s">
        <v>1365</v>
      </c>
      <c r="R16" s="322" t="s">
        <v>681</v>
      </c>
      <c r="S16" s="255" t="s">
        <v>680</v>
      </c>
      <c r="T16" s="952">
        <f>D25</f>
        <v>263435.29411764705</v>
      </c>
    </row>
    <row r="17" spans="2:20" x14ac:dyDescent="0.25">
      <c r="B17" s="953" t="s">
        <v>1263</v>
      </c>
      <c r="C17" s="953">
        <v>94</v>
      </c>
      <c r="D17" s="953">
        <v>273900</v>
      </c>
      <c r="F17" s="950" t="s">
        <v>1364</v>
      </c>
      <c r="G17" s="950">
        <v>16.584166666666668</v>
      </c>
      <c r="H17" s="950" t="s">
        <v>1366</v>
      </c>
      <c r="I17" s="950">
        <v>18.503050620506183</v>
      </c>
      <c r="J17" s="950" t="s">
        <v>1280</v>
      </c>
      <c r="R17" s="322" t="s">
        <v>681</v>
      </c>
      <c r="S17" s="255" t="s">
        <v>687</v>
      </c>
      <c r="T17" s="952">
        <f>D29</f>
        <v>658729.4117647059</v>
      </c>
    </row>
    <row r="18" spans="2:20" x14ac:dyDescent="0.25">
      <c r="B18" s="953" t="s">
        <v>1262</v>
      </c>
      <c r="C18" s="953">
        <f>+C16+C17</f>
        <v>141</v>
      </c>
      <c r="D18" s="953">
        <v>310000</v>
      </c>
      <c r="F18" s="950" t="s">
        <v>1367</v>
      </c>
      <c r="G18" s="950">
        <v>1.0625</v>
      </c>
      <c r="H18" s="950" t="s">
        <v>1260</v>
      </c>
      <c r="I18" s="950" t="s">
        <v>1368</v>
      </c>
      <c r="R18" s="322" t="s">
        <v>681</v>
      </c>
      <c r="S18" s="255" t="s">
        <v>688</v>
      </c>
      <c r="T18" s="952">
        <f>D33</f>
        <v>478870.5882352941</v>
      </c>
    </row>
    <row r="19" spans="2:20" x14ac:dyDescent="0.25">
      <c r="B19" s="953" t="s">
        <v>388</v>
      </c>
      <c r="C19" s="953">
        <v>187</v>
      </c>
      <c r="D19" s="953">
        <v>412500</v>
      </c>
      <c r="F19" s="950" t="s">
        <v>1369</v>
      </c>
      <c r="G19" s="950">
        <v>1.0472999999999999</v>
      </c>
      <c r="H19" s="950" t="s">
        <v>1370</v>
      </c>
      <c r="R19" s="322" t="s">
        <v>681</v>
      </c>
      <c r="S19" s="255" t="s">
        <v>689</v>
      </c>
      <c r="T19" s="952">
        <f>D35</f>
        <v>1197433.100056743</v>
      </c>
    </row>
    <row r="20" spans="2:20" x14ac:dyDescent="0.25">
      <c r="B20" s="953"/>
      <c r="C20" s="953"/>
      <c r="D20" s="953"/>
      <c r="F20" s="950" t="s">
        <v>1371</v>
      </c>
      <c r="G20" s="950">
        <v>16.450808333333331</v>
      </c>
      <c r="H20" s="950" t="s">
        <v>1372</v>
      </c>
      <c r="I20" s="950">
        <v>16.450808333333331</v>
      </c>
      <c r="J20" s="950" t="s">
        <v>1280</v>
      </c>
      <c r="R20" s="322" t="s">
        <v>681</v>
      </c>
      <c r="S20" s="255" t="s">
        <v>691</v>
      </c>
      <c r="T20" s="952">
        <f>D37</f>
        <v>0</v>
      </c>
    </row>
    <row r="21" spans="2:20" x14ac:dyDescent="0.25">
      <c r="B21" s="953" t="s">
        <v>1261</v>
      </c>
      <c r="C21" s="953" t="s">
        <v>1260</v>
      </c>
      <c r="D21" s="954">
        <f>D17</f>
        <v>273900</v>
      </c>
      <c r="R21" s="322" t="s">
        <v>681</v>
      </c>
      <c r="S21" s="255" t="s">
        <v>695</v>
      </c>
      <c r="T21" s="952">
        <f>D38</f>
        <v>0</v>
      </c>
    </row>
    <row r="22" spans="2:20" x14ac:dyDescent="0.25">
      <c r="B22" s="953" t="s">
        <v>1259</v>
      </c>
      <c r="C22" s="953"/>
      <c r="D22" s="953">
        <f>AVERAGE('[6]CPI-hist'!$B$26:$H$26)</f>
        <v>109.08571428571427</v>
      </c>
      <c r="R22" s="322" t="s">
        <v>681</v>
      </c>
      <c r="S22" s="255" t="s">
        <v>839</v>
      </c>
      <c r="T22" s="952">
        <f>D40</f>
        <v>0</v>
      </c>
    </row>
    <row r="23" spans="2:20" x14ac:dyDescent="0.25">
      <c r="B23" s="953" t="s">
        <v>1258</v>
      </c>
      <c r="C23" s="953"/>
      <c r="D23" s="953">
        <f>AVERAGE('[6]CPI-hist'!$B$25:$M$25)</f>
        <v>104.24166666666667</v>
      </c>
      <c r="R23" s="322" t="s">
        <v>681</v>
      </c>
      <c r="S23" s="255" t="s">
        <v>838</v>
      </c>
      <c r="T23" s="952">
        <f>D41</f>
        <v>0</v>
      </c>
    </row>
    <row r="24" spans="2:20" x14ac:dyDescent="0.25">
      <c r="B24" s="953" t="s">
        <v>1310</v>
      </c>
      <c r="C24" s="953"/>
      <c r="D24" s="953">
        <f>AVERAGE('[6]CPI-hist'!$B$23:$M$23)</f>
        <v>93.291666666666671</v>
      </c>
      <c r="R24" s="322" t="s">
        <v>681</v>
      </c>
      <c r="S24" s="255" t="s">
        <v>692</v>
      </c>
      <c r="T24" s="952">
        <f>D44</f>
        <v>593681.6</v>
      </c>
    </row>
    <row r="25" spans="2:20" x14ac:dyDescent="0.25">
      <c r="B25" s="950" t="s">
        <v>1373</v>
      </c>
      <c r="D25" s="955">
        <f>279900/G18</f>
        <v>263435.29411764705</v>
      </c>
      <c r="E25" s="956"/>
      <c r="F25" s="950" t="s">
        <v>1374</v>
      </c>
      <c r="G25" s="957"/>
      <c r="R25" s="322" t="s">
        <v>681</v>
      </c>
      <c r="S25" s="255" t="s">
        <v>699</v>
      </c>
      <c r="T25" s="952">
        <f>D46</f>
        <v>1515975</v>
      </c>
    </row>
    <row r="26" spans="2:20" x14ac:dyDescent="0.25">
      <c r="R26" s="322" t="s">
        <v>681</v>
      </c>
      <c r="S26" s="255" t="s">
        <v>837</v>
      </c>
      <c r="T26" s="952">
        <f>D47</f>
        <v>0</v>
      </c>
    </row>
    <row r="27" spans="2:20" x14ac:dyDescent="0.25">
      <c r="B27" s="950" t="s">
        <v>1277</v>
      </c>
      <c r="R27" s="322" t="s">
        <v>681</v>
      </c>
      <c r="S27" s="255" t="s">
        <v>836</v>
      </c>
      <c r="T27" s="952">
        <f>D48</f>
        <v>0</v>
      </c>
    </row>
    <row r="28" spans="2:20" x14ac:dyDescent="0.25">
      <c r="C28" s="950" t="s">
        <v>1260</v>
      </c>
      <c r="D28" s="950">
        <v>699900</v>
      </c>
      <c r="F28" s="950" t="s">
        <v>1375</v>
      </c>
      <c r="R28" s="322" t="s">
        <v>681</v>
      </c>
      <c r="S28" s="255" t="s">
        <v>700</v>
      </c>
      <c r="T28" s="952">
        <f>D50</f>
        <v>724602.3529411765</v>
      </c>
    </row>
    <row r="29" spans="2:20" x14ac:dyDescent="0.25">
      <c r="C29" s="950" t="s">
        <v>1280</v>
      </c>
      <c r="D29" s="958">
        <f>D28/G18</f>
        <v>658729.4117647059</v>
      </c>
      <c r="R29" s="322" t="s">
        <v>715</v>
      </c>
      <c r="S29" s="483" t="s">
        <v>680</v>
      </c>
      <c r="T29" s="952">
        <f>D55</f>
        <v>141176.4705882353</v>
      </c>
    </row>
    <row r="30" spans="2:20" x14ac:dyDescent="0.25">
      <c r="D30" s="952"/>
      <c r="R30" s="322" t="s">
        <v>715</v>
      </c>
      <c r="S30" s="483" t="s">
        <v>688</v>
      </c>
      <c r="T30" s="952">
        <f>D56</f>
        <v>0</v>
      </c>
    </row>
    <row r="31" spans="2:20" x14ac:dyDescent="0.25">
      <c r="B31" s="950" t="s">
        <v>1281</v>
      </c>
      <c r="R31" s="322" t="s">
        <v>715</v>
      </c>
      <c r="S31" s="483" t="s">
        <v>692</v>
      </c>
      <c r="T31" s="952">
        <f>D57</f>
        <v>141176.4705882353</v>
      </c>
    </row>
    <row r="32" spans="2:20" x14ac:dyDescent="0.25">
      <c r="B32" s="950" t="s">
        <v>1283</v>
      </c>
      <c r="C32" s="950" t="s">
        <v>1260</v>
      </c>
      <c r="D32" s="950">
        <f>(504900+512700)/2</f>
        <v>508800</v>
      </c>
      <c r="F32" s="950" t="s">
        <v>1376</v>
      </c>
      <c r="R32" s="322" t="s">
        <v>715</v>
      </c>
      <c r="S32" s="483" t="s">
        <v>699</v>
      </c>
      <c r="T32" s="952">
        <f>D58</f>
        <v>0</v>
      </c>
    </row>
    <row r="33" spans="2:20" x14ac:dyDescent="0.25">
      <c r="C33" s="950" t="s">
        <v>1280</v>
      </c>
      <c r="D33" s="958">
        <f>D32/G18</f>
        <v>478870.5882352941</v>
      </c>
      <c r="E33" s="959"/>
      <c r="R33" s="322" t="s">
        <v>701</v>
      </c>
      <c r="S33" s="255" t="s">
        <v>680</v>
      </c>
      <c r="T33" s="952">
        <f t="shared" ref="T33:T45" si="3">D61</f>
        <v>440658.82352941175</v>
      </c>
    </row>
    <row r="34" spans="2:20" x14ac:dyDescent="0.25">
      <c r="R34" s="322" t="s">
        <v>701</v>
      </c>
      <c r="S34" s="255" t="s">
        <v>687</v>
      </c>
      <c r="T34" s="952">
        <f t="shared" si="3"/>
        <v>838990</v>
      </c>
    </row>
    <row r="35" spans="2:20" x14ac:dyDescent="0.25">
      <c r="B35" s="950" t="s">
        <v>689</v>
      </c>
      <c r="D35" s="960">
        <f>D33*$D$29/$D$25</f>
        <v>1197433.100056743</v>
      </c>
      <c r="E35" s="961" t="s">
        <v>288</v>
      </c>
      <c r="F35" s="950" t="s">
        <v>1377</v>
      </c>
      <c r="R35" s="322" t="s">
        <v>701</v>
      </c>
      <c r="S35" s="255" t="s">
        <v>688</v>
      </c>
      <c r="T35" s="952">
        <f t="shared" si="3"/>
        <v>496188.23529411765</v>
      </c>
    </row>
    <row r="36" spans="2:20" x14ac:dyDescent="0.25">
      <c r="R36" s="322" t="s">
        <v>701</v>
      </c>
      <c r="S36" s="255" t="s">
        <v>689</v>
      </c>
      <c r="T36" s="952">
        <f t="shared" si="3"/>
        <v>944714.92524562147</v>
      </c>
    </row>
    <row r="37" spans="2:20" x14ac:dyDescent="0.25">
      <c r="B37" s="950" t="s">
        <v>1285</v>
      </c>
      <c r="D37" s="962"/>
      <c r="E37" s="963"/>
      <c r="F37" s="963" t="s">
        <v>1378</v>
      </c>
      <c r="G37" s="950" t="s">
        <v>1379</v>
      </c>
      <c r="R37" s="322" t="s">
        <v>701</v>
      </c>
      <c r="S37" s="255" t="s">
        <v>691</v>
      </c>
      <c r="T37" s="952">
        <f t="shared" si="3"/>
        <v>0</v>
      </c>
    </row>
    <row r="38" spans="2:20" x14ac:dyDescent="0.25">
      <c r="B38" s="950" t="s">
        <v>695</v>
      </c>
      <c r="D38" s="962">
        <f>D37*$D$29/$D$25</f>
        <v>0</v>
      </c>
      <c r="E38" s="964" t="s">
        <v>288</v>
      </c>
      <c r="F38" s="963" t="s">
        <v>1377</v>
      </c>
      <c r="R38" s="322" t="s">
        <v>701</v>
      </c>
      <c r="S38" s="255" t="s">
        <v>695</v>
      </c>
      <c r="T38" s="952">
        <f t="shared" si="3"/>
        <v>0</v>
      </c>
    </row>
    <row r="39" spans="2:20" x14ac:dyDescent="0.25">
      <c r="D39" s="963"/>
      <c r="E39" s="963"/>
      <c r="F39" s="963"/>
      <c r="R39" s="322" t="s">
        <v>701</v>
      </c>
      <c r="S39" s="255" t="s">
        <v>839</v>
      </c>
      <c r="T39" s="952">
        <f t="shared" si="3"/>
        <v>0</v>
      </c>
    </row>
    <row r="40" spans="2:20" x14ac:dyDescent="0.25">
      <c r="B40" s="950" t="s">
        <v>839</v>
      </c>
      <c r="D40" s="962"/>
      <c r="E40" s="963"/>
      <c r="F40" s="963" t="s">
        <v>1380</v>
      </c>
      <c r="G40" s="950" t="s">
        <v>1381</v>
      </c>
      <c r="R40" s="322" t="s">
        <v>701</v>
      </c>
      <c r="S40" s="255" t="s">
        <v>838</v>
      </c>
      <c r="T40" s="952">
        <f t="shared" si="3"/>
        <v>0</v>
      </c>
    </row>
    <row r="41" spans="2:20" x14ac:dyDescent="0.25">
      <c r="B41" s="950" t="s">
        <v>838</v>
      </c>
      <c r="D41" s="962">
        <f>D40*$D$29/$D$25</f>
        <v>0</v>
      </c>
      <c r="E41" s="964" t="s">
        <v>288</v>
      </c>
      <c r="F41" s="963" t="s">
        <v>1377</v>
      </c>
      <c r="R41" s="322" t="s">
        <v>701</v>
      </c>
      <c r="S41" s="255" t="s">
        <v>692</v>
      </c>
      <c r="T41" s="952">
        <f t="shared" si="3"/>
        <v>903556.79999999993</v>
      </c>
    </row>
    <row r="42" spans="2:20" x14ac:dyDescent="0.25">
      <c r="D42" s="963"/>
      <c r="E42" s="963"/>
      <c r="F42" s="963"/>
      <c r="R42" s="322" t="s">
        <v>701</v>
      </c>
      <c r="S42" s="255" t="s">
        <v>699</v>
      </c>
      <c r="T42" s="952">
        <f t="shared" si="3"/>
        <v>2307246.0387520855</v>
      </c>
    </row>
    <row r="43" spans="2:20" x14ac:dyDescent="0.25">
      <c r="B43" s="950" t="s">
        <v>1288</v>
      </c>
      <c r="D43" s="950" t="s">
        <v>1289</v>
      </c>
      <c r="R43" s="322" t="s">
        <v>701</v>
      </c>
      <c r="S43" s="255" t="s">
        <v>837</v>
      </c>
      <c r="T43" s="952">
        <f t="shared" si="3"/>
        <v>0</v>
      </c>
    </row>
    <row r="44" spans="2:20" x14ac:dyDescent="0.25">
      <c r="D44" s="997">
        <f>742102/G18*$I$46</f>
        <v>593681.6</v>
      </c>
      <c r="E44" s="965" t="s">
        <v>1330</v>
      </c>
      <c r="F44" s="950" t="s">
        <v>1382</v>
      </c>
      <c r="H44" s="1001" t="s">
        <v>1412</v>
      </c>
      <c r="I44" s="1001"/>
      <c r="R44" s="322" t="s">
        <v>701</v>
      </c>
      <c r="S44" s="255" t="s">
        <v>836</v>
      </c>
      <c r="T44" s="952">
        <f t="shared" si="3"/>
        <v>0</v>
      </c>
    </row>
    <row r="45" spans="2:20" x14ac:dyDescent="0.25">
      <c r="H45" s="994" t="s">
        <v>1413</v>
      </c>
      <c r="I45" s="995">
        <v>0.15</v>
      </c>
      <c r="R45" s="322" t="s">
        <v>701</v>
      </c>
      <c r="S45" s="255" t="s">
        <v>700</v>
      </c>
      <c r="T45" s="952">
        <f t="shared" si="3"/>
        <v>922889.00000000012</v>
      </c>
    </row>
    <row r="46" spans="2:20" x14ac:dyDescent="0.25">
      <c r="B46" s="950" t="s">
        <v>699</v>
      </c>
      <c r="D46" s="999">
        <f>145000*12.3*$I$46</f>
        <v>1515975</v>
      </c>
      <c r="F46" s="950" t="s">
        <v>1383</v>
      </c>
      <c r="H46" s="994" t="s">
        <v>1414</v>
      </c>
      <c r="I46" s="996">
        <f>1-I45</f>
        <v>0.85</v>
      </c>
      <c r="R46" s="322" t="s">
        <v>725</v>
      </c>
      <c r="S46" s="255" t="s">
        <v>687</v>
      </c>
      <c r="T46" s="952">
        <f t="shared" ref="T46:T54" si="4">D77</f>
        <v>524668.23529411759</v>
      </c>
    </row>
    <row r="47" spans="2:20" x14ac:dyDescent="0.25">
      <c r="B47" s="950" t="s">
        <v>837</v>
      </c>
      <c r="D47" s="966"/>
      <c r="E47" s="967"/>
      <c r="F47" s="950" t="s">
        <v>1384</v>
      </c>
      <c r="H47" s="1002" t="s">
        <v>1415</v>
      </c>
      <c r="I47" s="1002"/>
      <c r="R47" s="322" t="s">
        <v>725</v>
      </c>
      <c r="S47" s="461" t="s">
        <v>680</v>
      </c>
      <c r="T47" s="952">
        <f t="shared" si="4"/>
        <v>413379.15922975913</v>
      </c>
    </row>
    <row r="48" spans="2:20" x14ac:dyDescent="0.25">
      <c r="B48" s="950" t="s">
        <v>836</v>
      </c>
      <c r="D48" s="966"/>
      <c r="E48" s="967"/>
      <c r="H48" s="1002"/>
      <c r="I48" s="1002"/>
      <c r="R48" s="322" t="s">
        <v>725</v>
      </c>
      <c r="S48" s="255" t="s">
        <v>829</v>
      </c>
      <c r="T48" s="952">
        <f t="shared" si="4"/>
        <v>0</v>
      </c>
    </row>
    <row r="49" spans="2:20" x14ac:dyDescent="0.25">
      <c r="R49" s="322" t="s">
        <v>725</v>
      </c>
      <c r="S49" s="255" t="s">
        <v>828</v>
      </c>
      <c r="T49" s="952">
        <f t="shared" si="4"/>
        <v>0</v>
      </c>
    </row>
    <row r="50" spans="2:20" x14ac:dyDescent="0.25">
      <c r="B50" s="950" t="s">
        <v>524</v>
      </c>
      <c r="D50" s="966">
        <f>D29*1.1</f>
        <v>724602.3529411765</v>
      </c>
      <c r="E50" s="967"/>
      <c r="F50" s="950" t="s">
        <v>1384</v>
      </c>
      <c r="R50" s="322" t="s">
        <v>725</v>
      </c>
      <c r="S50" s="255" t="s">
        <v>689</v>
      </c>
      <c r="T50" s="952">
        <f t="shared" si="4"/>
        <v>0</v>
      </c>
    </row>
    <row r="51" spans="2:20" x14ac:dyDescent="0.25">
      <c r="R51" s="322" t="s">
        <v>725</v>
      </c>
      <c r="S51" s="255" t="s">
        <v>692</v>
      </c>
      <c r="T51" s="952">
        <f t="shared" si="4"/>
        <v>692174.4</v>
      </c>
    </row>
    <row r="52" spans="2:20" x14ac:dyDescent="0.25">
      <c r="R52" s="322" t="s">
        <v>725</v>
      </c>
      <c r="S52" s="255" t="s">
        <v>699</v>
      </c>
      <c r="T52" s="952">
        <f t="shared" si="4"/>
        <v>1189638.0676295361</v>
      </c>
    </row>
    <row r="53" spans="2:20" x14ac:dyDescent="0.25">
      <c r="R53" s="322" t="s">
        <v>725</v>
      </c>
      <c r="S53" s="255" t="s">
        <v>827</v>
      </c>
      <c r="T53" s="952">
        <f t="shared" si="4"/>
        <v>0</v>
      </c>
    </row>
    <row r="54" spans="2:20" x14ac:dyDescent="0.25">
      <c r="B54" s="950" t="s">
        <v>1290</v>
      </c>
      <c r="R54" s="322" t="s">
        <v>725</v>
      </c>
      <c r="S54" s="255" t="s">
        <v>700</v>
      </c>
      <c r="T54" s="952">
        <f t="shared" si="4"/>
        <v>648193.49071566667</v>
      </c>
    </row>
    <row r="55" spans="2:20" x14ac:dyDescent="0.25">
      <c r="B55" s="950" t="s">
        <v>715</v>
      </c>
      <c r="C55" s="950" t="s">
        <v>680</v>
      </c>
      <c r="D55" s="958">
        <f>150000/G18</f>
        <v>141176.4705882353</v>
      </c>
      <c r="E55" s="968"/>
      <c r="F55" s="950" t="s">
        <v>1385</v>
      </c>
      <c r="H55" s="950" t="s">
        <v>1386</v>
      </c>
      <c r="R55" s="322" t="s">
        <v>735</v>
      </c>
      <c r="S55" s="255" t="s">
        <v>687</v>
      </c>
      <c r="T55" s="952">
        <f t="shared" ref="T55:T62" si="5">D88</f>
        <v>861659.92260461533</v>
      </c>
    </row>
    <row r="56" spans="2:20" x14ac:dyDescent="0.25">
      <c r="B56" s="963" t="s">
        <v>715</v>
      </c>
      <c r="C56" s="963" t="s">
        <v>688</v>
      </c>
      <c r="D56" s="962"/>
      <c r="E56" s="963"/>
      <c r="F56" s="963"/>
      <c r="R56" s="322" t="s">
        <v>735</v>
      </c>
      <c r="S56" s="255" t="s">
        <v>829</v>
      </c>
      <c r="T56" s="952">
        <f t="shared" si="5"/>
        <v>0</v>
      </c>
    </row>
    <row r="57" spans="2:20" x14ac:dyDescent="0.25">
      <c r="B57" s="950" t="s">
        <v>715</v>
      </c>
      <c r="C57" s="950" t="s">
        <v>692</v>
      </c>
      <c r="D57" s="960">
        <f>D55</f>
        <v>141176.4705882353</v>
      </c>
      <c r="E57" s="968"/>
      <c r="F57" s="968" t="s">
        <v>1387</v>
      </c>
      <c r="R57" s="322" t="s">
        <v>735</v>
      </c>
      <c r="S57" s="255" t="s">
        <v>828</v>
      </c>
      <c r="T57" s="952">
        <f t="shared" si="5"/>
        <v>0</v>
      </c>
    </row>
    <row r="58" spans="2:20" x14ac:dyDescent="0.25">
      <c r="B58" s="963" t="s">
        <v>715</v>
      </c>
      <c r="C58" s="963" t="s">
        <v>699</v>
      </c>
      <c r="D58" s="962"/>
      <c r="E58" s="963"/>
      <c r="F58" s="963"/>
      <c r="R58" s="322" t="s">
        <v>735</v>
      </c>
      <c r="S58" s="255" t="s">
        <v>689</v>
      </c>
      <c r="T58" s="952">
        <f t="shared" si="5"/>
        <v>0</v>
      </c>
    </row>
    <row r="59" spans="2:20" x14ac:dyDescent="0.25">
      <c r="R59" s="322" t="s">
        <v>735</v>
      </c>
      <c r="S59" s="255" t="s">
        <v>692</v>
      </c>
      <c r="T59" s="952">
        <f t="shared" si="5"/>
        <v>1136754.4284409683</v>
      </c>
    </row>
    <row r="60" spans="2:20" x14ac:dyDescent="0.25">
      <c r="B60" s="950" t="s">
        <v>1291</v>
      </c>
      <c r="G60" s="965" t="s">
        <v>1332</v>
      </c>
      <c r="R60" s="322" t="s">
        <v>735</v>
      </c>
      <c r="S60" s="255" t="s">
        <v>699</v>
      </c>
      <c r="T60" s="952">
        <f t="shared" si="5"/>
        <v>1887434.9410157723</v>
      </c>
    </row>
    <row r="61" spans="2:20" x14ac:dyDescent="0.25">
      <c r="C61" s="950" t="s">
        <v>680</v>
      </c>
      <c r="D61" s="958">
        <f>468200/G18</f>
        <v>440658.82352941175</v>
      </c>
      <c r="F61" s="950" t="s">
        <v>1388</v>
      </c>
      <c r="H61" s="950" t="s">
        <v>1389</v>
      </c>
      <c r="R61" s="322" t="s">
        <v>735</v>
      </c>
      <c r="S61" s="255" t="s">
        <v>827</v>
      </c>
      <c r="T61" s="952">
        <f t="shared" si="5"/>
        <v>0</v>
      </c>
    </row>
    <row r="62" spans="2:20" x14ac:dyDescent="0.25">
      <c r="C62" s="950" t="s">
        <v>687</v>
      </c>
      <c r="D62" s="958">
        <v>838990</v>
      </c>
      <c r="F62" s="950" t="s">
        <v>1390</v>
      </c>
      <c r="H62" s="950" t="s">
        <v>1391</v>
      </c>
      <c r="R62" s="322" t="s">
        <v>735</v>
      </c>
      <c r="S62" s="255" t="s">
        <v>700</v>
      </c>
      <c r="T62" s="952">
        <f t="shared" si="5"/>
        <v>995097.14073852904</v>
      </c>
    </row>
    <row r="63" spans="2:20" x14ac:dyDescent="0.25">
      <c r="C63" s="950" t="s">
        <v>688</v>
      </c>
      <c r="D63" s="969">
        <f>527200/G18</f>
        <v>496188.23529411765</v>
      </c>
      <c r="E63" s="965"/>
      <c r="F63" s="950" t="s">
        <v>1392</v>
      </c>
      <c r="R63" s="322" t="s">
        <v>747</v>
      </c>
      <c r="S63" s="410" t="s">
        <v>687</v>
      </c>
      <c r="T63" s="952">
        <f t="shared" ref="T63:T70" si="6">D100</f>
        <v>1133048.1053792366</v>
      </c>
    </row>
    <row r="64" spans="2:20" x14ac:dyDescent="0.25">
      <c r="C64" s="950" t="s">
        <v>689</v>
      </c>
      <c r="D64" s="960">
        <f>D63*D62/D61</f>
        <v>944714.92524562147</v>
      </c>
      <c r="E64" s="961" t="s">
        <v>288</v>
      </c>
      <c r="F64" s="950" t="s">
        <v>1377</v>
      </c>
      <c r="R64" s="322" t="s">
        <v>747</v>
      </c>
      <c r="S64" s="410" t="s">
        <v>829</v>
      </c>
      <c r="T64" s="952">
        <f t="shared" si="6"/>
        <v>0</v>
      </c>
    </row>
    <row r="65" spans="1:20" x14ac:dyDescent="0.25">
      <c r="C65" s="950" t="s">
        <v>691</v>
      </c>
      <c r="D65" s="960">
        <f>D61*D37/D25</f>
        <v>0</v>
      </c>
      <c r="E65" s="961" t="s">
        <v>1359</v>
      </c>
      <c r="F65" s="950" t="s">
        <v>1393</v>
      </c>
      <c r="R65" s="322" t="s">
        <v>747</v>
      </c>
      <c r="S65" s="410" t="s">
        <v>828</v>
      </c>
      <c r="T65" s="952">
        <f t="shared" si="6"/>
        <v>0</v>
      </c>
    </row>
    <row r="66" spans="1:20" x14ac:dyDescent="0.25">
      <c r="C66" s="950" t="s">
        <v>695</v>
      </c>
      <c r="D66" s="960">
        <f>D65*D62/D61</f>
        <v>0</v>
      </c>
      <c r="E66" s="961" t="s">
        <v>288</v>
      </c>
      <c r="F66" s="950" t="s">
        <v>1377</v>
      </c>
      <c r="R66" s="322" t="s">
        <v>747</v>
      </c>
      <c r="S66" s="410" t="s">
        <v>689</v>
      </c>
      <c r="T66" s="952">
        <f t="shared" si="6"/>
        <v>0</v>
      </c>
    </row>
    <row r="67" spans="1:20" x14ac:dyDescent="0.25">
      <c r="C67" s="950" t="s">
        <v>839</v>
      </c>
      <c r="D67" s="960"/>
      <c r="E67" s="968" t="s">
        <v>1297</v>
      </c>
      <c r="F67" s="968"/>
      <c r="R67" s="322" t="s">
        <v>747</v>
      </c>
      <c r="S67" s="410" t="s">
        <v>692</v>
      </c>
      <c r="T67" s="952">
        <f t="shared" si="6"/>
        <v>1494786.3044774705</v>
      </c>
    </row>
    <row r="68" spans="1:20" x14ac:dyDescent="0.25">
      <c r="C68" s="950" t="s">
        <v>838</v>
      </c>
      <c r="D68" s="960"/>
      <c r="E68" s="968" t="s">
        <v>1297</v>
      </c>
      <c r="F68" s="968"/>
      <c r="R68" s="322" t="s">
        <v>747</v>
      </c>
      <c r="S68" s="410" t="s">
        <v>699</v>
      </c>
      <c r="T68" s="952">
        <f t="shared" si="6"/>
        <v>2565517.2470272132</v>
      </c>
    </row>
    <row r="69" spans="1:20" x14ac:dyDescent="0.25">
      <c r="C69" s="950" t="s">
        <v>692</v>
      </c>
      <c r="D69" s="997">
        <f>1129446/G18*$I$46</f>
        <v>903556.79999999993</v>
      </c>
      <c r="E69" s="965"/>
      <c r="F69" s="965" t="s">
        <v>1331</v>
      </c>
      <c r="R69" s="322" t="s">
        <v>747</v>
      </c>
      <c r="S69" s="410" t="s">
        <v>827</v>
      </c>
      <c r="T69" s="952">
        <f t="shared" si="6"/>
        <v>0</v>
      </c>
    </row>
    <row r="70" spans="1:20" x14ac:dyDescent="0.25">
      <c r="C70" s="950" t="s">
        <v>699</v>
      </c>
      <c r="D70" s="999">
        <f>D46/D44*D69</f>
        <v>2307246.0387520855</v>
      </c>
      <c r="E70" s="968"/>
      <c r="F70" s="968" t="s">
        <v>1394</v>
      </c>
      <c r="K70" s="998"/>
      <c r="R70" s="322" t="s">
        <v>747</v>
      </c>
      <c r="S70" s="410" t="s">
        <v>700</v>
      </c>
      <c r="T70" s="952">
        <f t="shared" si="6"/>
        <v>1314023.0851808547</v>
      </c>
    </row>
    <row r="71" spans="1:20" x14ac:dyDescent="0.25">
      <c r="C71" s="950" t="s">
        <v>837</v>
      </c>
      <c r="D71" s="960"/>
      <c r="E71" s="968"/>
      <c r="F71" s="968"/>
      <c r="R71" s="322" t="s">
        <v>733</v>
      </c>
      <c r="S71" s="372" t="s">
        <v>687</v>
      </c>
      <c r="T71" s="952">
        <f t="shared" ref="T71:T78" si="7">D112</f>
        <v>906349.91499240114</v>
      </c>
    </row>
    <row r="72" spans="1:20" x14ac:dyDescent="0.25">
      <c r="C72" s="950" t="s">
        <v>836</v>
      </c>
      <c r="D72" s="960">
        <f>D71</f>
        <v>0</v>
      </c>
      <c r="E72" s="968"/>
      <c r="F72" s="968"/>
      <c r="R72" s="322" t="s">
        <v>733</v>
      </c>
      <c r="S72" s="372" t="s">
        <v>829</v>
      </c>
      <c r="T72" s="952">
        <f t="shared" si="7"/>
        <v>0</v>
      </c>
    </row>
    <row r="73" spans="1:20" x14ac:dyDescent="0.25">
      <c r="B73" s="963"/>
      <c r="C73" s="963" t="s">
        <v>524</v>
      </c>
      <c r="D73" s="962">
        <f>1.1*D62</f>
        <v>922889.00000000012</v>
      </c>
      <c r="E73" s="963"/>
      <c r="F73" s="963"/>
      <c r="R73" s="322" t="s">
        <v>733</v>
      </c>
      <c r="S73" s="372" t="s">
        <v>828</v>
      </c>
      <c r="T73" s="952">
        <f t="shared" si="7"/>
        <v>0</v>
      </c>
    </row>
    <row r="74" spans="1:20" x14ac:dyDescent="0.25">
      <c r="R74" s="322" t="s">
        <v>733</v>
      </c>
      <c r="S74" s="372" t="s">
        <v>689</v>
      </c>
      <c r="T74" s="952">
        <f t="shared" si="7"/>
        <v>0</v>
      </c>
    </row>
    <row r="75" spans="1:20" x14ac:dyDescent="0.25">
      <c r="G75" s="950" t="s">
        <v>1302</v>
      </c>
      <c r="R75" s="322" t="s">
        <v>733</v>
      </c>
      <c r="S75" s="372" t="s">
        <v>692</v>
      </c>
      <c r="T75" s="952">
        <f t="shared" si="7"/>
        <v>1195712.1975341928</v>
      </c>
    </row>
    <row r="76" spans="1:20" x14ac:dyDescent="0.25">
      <c r="B76" s="950" t="s">
        <v>1298</v>
      </c>
      <c r="G76" s="950" t="s">
        <v>1301</v>
      </c>
      <c r="R76" s="322" t="s">
        <v>733</v>
      </c>
      <c r="S76" s="372" t="s">
        <v>699</v>
      </c>
      <c r="T76" s="952">
        <f t="shared" si="7"/>
        <v>1854400.0079945058</v>
      </c>
    </row>
    <row r="77" spans="1:20" x14ac:dyDescent="0.25">
      <c r="B77" s="950" t="s">
        <v>725</v>
      </c>
      <c r="C77" s="950" t="s">
        <v>687</v>
      </c>
      <c r="D77" s="958">
        <f>557460/G18</f>
        <v>524668.23529411759</v>
      </c>
      <c r="G77" s="950">
        <v>800945.7513197927</v>
      </c>
      <c r="H77" s="950" t="s">
        <v>1395</v>
      </c>
      <c r="R77" s="322" t="s">
        <v>733</v>
      </c>
      <c r="S77" s="372" t="s">
        <v>827</v>
      </c>
      <c r="T77" s="952">
        <f t="shared" si="7"/>
        <v>0</v>
      </c>
    </row>
    <row r="78" spans="1:20" x14ac:dyDescent="0.25">
      <c r="B78" s="950" t="s">
        <v>725</v>
      </c>
      <c r="C78" s="950" t="s">
        <v>680</v>
      </c>
      <c r="D78" s="999">
        <f>G78/G$77*D$77</f>
        <v>413379.15922975913</v>
      </c>
      <c r="E78" s="950" t="s">
        <v>1300</v>
      </c>
      <c r="F78" s="968"/>
      <c r="G78" s="968">
        <v>631054.55790289911</v>
      </c>
      <c r="H78" s="968"/>
      <c r="R78" s="322" t="s">
        <v>733</v>
      </c>
      <c r="S78" s="372" t="s">
        <v>700</v>
      </c>
      <c r="T78" s="952">
        <f t="shared" si="7"/>
        <v>1090585.1281432109</v>
      </c>
    </row>
    <row r="79" spans="1:20" x14ac:dyDescent="0.25">
      <c r="A79" s="970"/>
      <c r="B79" s="970" t="s">
        <v>725</v>
      </c>
      <c r="C79" s="970" t="s">
        <v>829</v>
      </c>
      <c r="D79" s="971"/>
      <c r="E79" s="970"/>
      <c r="F79" s="970"/>
      <c r="G79" s="970">
        <v>905485.27878454118</v>
      </c>
      <c r="H79" s="970"/>
      <c r="R79" s="322" t="s">
        <v>60</v>
      </c>
      <c r="S79" s="337" t="s">
        <v>687</v>
      </c>
      <c r="T79" s="952">
        <f t="shared" ref="T79:T86" si="8">D124</f>
        <v>1681623.7261979403</v>
      </c>
    </row>
    <row r="80" spans="1:20" x14ac:dyDescent="0.25">
      <c r="A80" s="970"/>
      <c r="B80" s="970" t="s">
        <v>725</v>
      </c>
      <c r="C80" s="970" t="s">
        <v>828</v>
      </c>
      <c r="D80" s="971"/>
      <c r="E80" s="970"/>
      <c r="F80" s="970"/>
      <c r="G80" s="970">
        <v>867855.65580572386</v>
      </c>
      <c r="H80" s="970"/>
      <c r="R80" s="322" t="s">
        <v>60</v>
      </c>
      <c r="S80" s="337" t="s">
        <v>829</v>
      </c>
      <c r="T80" s="952">
        <f t="shared" si="8"/>
        <v>0</v>
      </c>
    </row>
    <row r="81" spans="1:20" x14ac:dyDescent="0.25">
      <c r="A81" s="970"/>
      <c r="B81" s="970" t="s">
        <v>725</v>
      </c>
      <c r="C81" s="970" t="s">
        <v>689</v>
      </c>
      <c r="D81" s="971"/>
      <c r="E81" s="970"/>
      <c r="F81" s="970"/>
      <c r="G81" s="970">
        <v>885377.7159720764</v>
      </c>
      <c r="H81" s="970"/>
      <c r="R81" s="322" t="s">
        <v>60</v>
      </c>
      <c r="S81" s="337" t="s">
        <v>828</v>
      </c>
      <c r="T81" s="952">
        <f t="shared" si="8"/>
        <v>0</v>
      </c>
    </row>
    <row r="82" spans="1:20" x14ac:dyDescent="0.25">
      <c r="B82" s="950" t="s">
        <v>725</v>
      </c>
      <c r="C82" s="950" t="s">
        <v>692</v>
      </c>
      <c r="D82" s="997">
        <f>865218/G18*$I$46</f>
        <v>692174.4</v>
      </c>
      <c r="F82" s="968"/>
      <c r="G82" s="950">
        <v>1464212.0349055484</v>
      </c>
      <c r="H82" s="950" t="s">
        <v>1396</v>
      </c>
      <c r="R82" s="322" t="s">
        <v>60</v>
      </c>
      <c r="S82" s="337" t="s">
        <v>689</v>
      </c>
      <c r="T82" s="952">
        <f t="shared" si="8"/>
        <v>0</v>
      </c>
    </row>
    <row r="83" spans="1:20" x14ac:dyDescent="0.25">
      <c r="B83" s="950" t="s">
        <v>725</v>
      </c>
      <c r="C83" s="950" t="s">
        <v>699</v>
      </c>
      <c r="D83" s="999">
        <f t="shared" ref="D83:D85" si="9">G83/G$77*D$77</f>
        <v>1189638.0676295361</v>
      </c>
      <c r="E83" s="950" t="s">
        <v>1300</v>
      </c>
      <c r="F83" s="968"/>
      <c r="G83" s="950">
        <v>1816072.504069217</v>
      </c>
      <c r="R83" s="322" t="s">
        <v>60</v>
      </c>
      <c r="S83" s="337" t="s">
        <v>692</v>
      </c>
      <c r="T83" s="952">
        <f t="shared" si="8"/>
        <v>1718711.9348504476</v>
      </c>
    </row>
    <row r="84" spans="1:20" x14ac:dyDescent="0.25">
      <c r="B84" s="950" t="s">
        <v>725</v>
      </c>
      <c r="C84" s="950" t="s">
        <v>827</v>
      </c>
      <c r="D84" s="960"/>
      <c r="G84" s="950">
        <v>1031864.0418883342</v>
      </c>
      <c r="R84" s="322" t="s">
        <v>60</v>
      </c>
      <c r="S84" s="337" t="s">
        <v>699</v>
      </c>
      <c r="T84" s="952">
        <f t="shared" si="8"/>
        <v>2416886.24070324</v>
      </c>
    </row>
    <row r="85" spans="1:20" x14ac:dyDescent="0.25">
      <c r="B85" s="950" t="s">
        <v>725</v>
      </c>
      <c r="C85" s="950" t="s">
        <v>700</v>
      </c>
      <c r="D85" s="960">
        <f t="shared" si="9"/>
        <v>648193.49071566667</v>
      </c>
      <c r="E85" s="950" t="s">
        <v>1300</v>
      </c>
      <c r="G85" s="950">
        <v>989516.39816888212</v>
      </c>
      <c r="R85" s="322" t="s">
        <v>60</v>
      </c>
      <c r="S85" s="337" t="s">
        <v>827</v>
      </c>
      <c r="T85" s="952">
        <f t="shared" si="8"/>
        <v>0</v>
      </c>
    </row>
    <row r="86" spans="1:20" x14ac:dyDescent="0.25">
      <c r="R86" s="322" t="s">
        <v>60</v>
      </c>
      <c r="S86" s="337" t="s">
        <v>700</v>
      </c>
      <c r="T86" s="952">
        <f t="shared" si="8"/>
        <v>1783011.9060877543</v>
      </c>
    </row>
    <row r="87" spans="1:20" x14ac:dyDescent="0.25">
      <c r="B87" s="950" t="s">
        <v>1303</v>
      </c>
    </row>
    <row r="88" spans="1:20" x14ac:dyDescent="0.25">
      <c r="B88" s="950" t="s">
        <v>735</v>
      </c>
      <c r="C88" s="950" t="s">
        <v>687</v>
      </c>
      <c r="D88" s="960">
        <f t="shared" ref="D88" si="10">G88/G$77*D$77</f>
        <v>861659.92260461533</v>
      </c>
      <c r="E88" s="950" t="s">
        <v>1304</v>
      </c>
      <c r="G88" s="950">
        <v>1315389.054772544</v>
      </c>
    </row>
    <row r="89" spans="1:20" x14ac:dyDescent="0.25">
      <c r="A89" s="963"/>
      <c r="B89" s="963" t="s">
        <v>735</v>
      </c>
      <c r="C89" s="963" t="s">
        <v>829</v>
      </c>
      <c r="D89" s="962"/>
      <c r="E89" s="963" t="s">
        <v>1300</v>
      </c>
      <c r="F89" s="963"/>
      <c r="G89" s="963">
        <v>1438328.6388271647</v>
      </c>
      <c r="H89" s="963"/>
    </row>
    <row r="90" spans="1:20" x14ac:dyDescent="0.25">
      <c r="A90" s="963"/>
      <c r="B90" s="963" t="s">
        <v>735</v>
      </c>
      <c r="C90" s="963" t="s">
        <v>828</v>
      </c>
      <c r="D90" s="962"/>
      <c r="E90" s="963" t="s">
        <v>1300</v>
      </c>
      <c r="F90" s="963"/>
      <c r="G90" s="963">
        <v>1372038.5110622062</v>
      </c>
      <c r="H90" s="963"/>
      <c r="R90"/>
      <c r="S90"/>
      <c r="T90"/>
    </row>
    <row r="91" spans="1:20" x14ac:dyDescent="0.25">
      <c r="A91" s="963"/>
      <c r="B91" s="963" t="s">
        <v>735</v>
      </c>
      <c r="C91" s="963" t="s">
        <v>689</v>
      </c>
      <c r="D91" s="962"/>
      <c r="E91" s="963" t="s">
        <v>1300</v>
      </c>
      <c r="F91" s="963"/>
      <c r="G91" s="963">
        <v>1464573.7294294063</v>
      </c>
      <c r="H91" s="963"/>
      <c r="R91"/>
      <c r="S91"/>
      <c r="T91"/>
    </row>
    <row r="92" spans="1:20" x14ac:dyDescent="0.25">
      <c r="B92" s="972" t="s">
        <v>735</v>
      </c>
      <c r="C92" s="972" t="s">
        <v>692</v>
      </c>
      <c r="D92" s="960">
        <f>D88*D82/D77</f>
        <v>1136754.4284409683</v>
      </c>
      <c r="F92" s="972"/>
      <c r="G92" s="973"/>
      <c r="R92"/>
      <c r="S92"/>
      <c r="T92"/>
    </row>
    <row r="93" spans="1:20" x14ac:dyDescent="0.25">
      <c r="B93" s="950" t="s">
        <v>735</v>
      </c>
      <c r="C93" s="950" t="s">
        <v>699</v>
      </c>
      <c r="D93" s="960">
        <f t="shared" ref="D93:D95" si="11">G93/G$77*D$77</f>
        <v>1887434.9410157723</v>
      </c>
      <c r="E93" s="950" t="s">
        <v>1300</v>
      </c>
      <c r="G93" s="950">
        <v>2881312.2182852593</v>
      </c>
      <c r="R93"/>
      <c r="S93"/>
      <c r="T93"/>
    </row>
    <row r="94" spans="1:20" x14ac:dyDescent="0.25">
      <c r="B94" s="950" t="s">
        <v>735</v>
      </c>
      <c r="C94" s="950" t="s">
        <v>827</v>
      </c>
      <c r="D94" s="960"/>
      <c r="E94" s="950" t="s">
        <v>1300</v>
      </c>
      <c r="G94" s="950">
        <v>1591595.5728002738</v>
      </c>
    </row>
    <row r="95" spans="1:20" x14ac:dyDescent="0.25">
      <c r="B95" s="950" t="s">
        <v>735</v>
      </c>
      <c r="C95" s="950" t="s">
        <v>700</v>
      </c>
      <c r="D95" s="960">
        <f t="shared" si="11"/>
        <v>995097.14073852904</v>
      </c>
      <c r="E95" s="950" t="s">
        <v>1300</v>
      </c>
      <c r="G95" s="950">
        <v>1519091.0625229813</v>
      </c>
    </row>
    <row r="96" spans="1:20" x14ac:dyDescent="0.25">
      <c r="D96" s="960"/>
    </row>
    <row r="97" spans="2:20" x14ac:dyDescent="0.25">
      <c r="B97" s="950" t="s">
        <v>1306</v>
      </c>
    </row>
    <row r="98" spans="2:20" x14ac:dyDescent="0.25">
      <c r="G98" s="950">
        <v>2020</v>
      </c>
    </row>
    <row r="99" spans="2:20" x14ac:dyDescent="0.25">
      <c r="G99" s="950" t="s">
        <v>1301</v>
      </c>
    </row>
    <row r="100" spans="2:20" x14ac:dyDescent="0.25">
      <c r="B100" s="950" t="s">
        <v>747</v>
      </c>
      <c r="C100" s="950" t="s">
        <v>687</v>
      </c>
      <c r="D100" s="960">
        <f>G100/G88*D88</f>
        <v>1133048.1053792366</v>
      </c>
      <c r="E100" s="968"/>
      <c r="G100" s="950">
        <v>1729683.6457722846</v>
      </c>
    </row>
    <row r="101" spans="2:20" x14ac:dyDescent="0.25">
      <c r="B101" s="950" t="s">
        <v>747</v>
      </c>
      <c r="C101" s="950" t="s">
        <v>829</v>
      </c>
      <c r="D101" s="960">
        <f t="shared" ref="D101:D106" si="12">G101/G89*D89</f>
        <v>0</v>
      </c>
      <c r="E101" s="968"/>
      <c r="G101" s="950">
        <v>1881307.4022600672</v>
      </c>
    </row>
    <row r="102" spans="2:20" x14ac:dyDescent="0.25">
      <c r="B102" s="950" t="s">
        <v>747</v>
      </c>
      <c r="C102" s="950" t="s">
        <v>828</v>
      </c>
      <c r="D102" s="960">
        <f t="shared" si="12"/>
        <v>0</v>
      </c>
      <c r="E102" s="968"/>
      <c r="G102" s="950">
        <v>1830898.431238617</v>
      </c>
      <c r="T102" s="952"/>
    </row>
    <row r="103" spans="2:20" x14ac:dyDescent="0.25">
      <c r="B103" s="950" t="s">
        <v>747</v>
      </c>
      <c r="C103" s="950" t="s">
        <v>689</v>
      </c>
      <c r="D103" s="960">
        <f t="shared" si="12"/>
        <v>0</v>
      </c>
      <c r="E103" s="968"/>
      <c r="G103" s="950">
        <v>1896564.6673059126</v>
      </c>
    </row>
    <row r="104" spans="2:20" x14ac:dyDescent="0.25">
      <c r="B104" s="950" t="s">
        <v>747</v>
      </c>
      <c r="C104" s="950" t="s">
        <v>692</v>
      </c>
      <c r="D104" s="960">
        <f>D100*D92/D88</f>
        <v>1494786.3044774705</v>
      </c>
      <c r="E104" s="968"/>
    </row>
    <row r="105" spans="2:20" x14ac:dyDescent="0.25">
      <c r="B105" s="950" t="s">
        <v>747</v>
      </c>
      <c r="C105" s="950" t="s">
        <v>699</v>
      </c>
      <c r="D105" s="960">
        <f>G105/G93*D93</f>
        <v>2565517.2470272132</v>
      </c>
      <c r="E105" s="968"/>
      <c r="G105" s="950">
        <v>3916456.1540345564</v>
      </c>
    </row>
    <row r="106" spans="2:20" x14ac:dyDescent="0.25">
      <c r="B106" s="950" t="s">
        <v>747</v>
      </c>
      <c r="C106" s="950" t="s">
        <v>827</v>
      </c>
      <c r="D106" s="960">
        <f t="shared" si="12"/>
        <v>0</v>
      </c>
      <c r="E106" s="968"/>
      <c r="G106" s="950">
        <v>2108333.6144666532</v>
      </c>
    </row>
    <row r="107" spans="2:20" x14ac:dyDescent="0.25">
      <c r="B107" s="950" t="s">
        <v>747</v>
      </c>
      <c r="C107" s="950" t="s">
        <v>700</v>
      </c>
      <c r="D107" s="960">
        <f>G107/G95*D95</f>
        <v>1314023.0851808547</v>
      </c>
      <c r="E107" s="968"/>
      <c r="G107" s="950">
        <v>2005955.6428487513</v>
      </c>
    </row>
    <row r="108" spans="2:20" x14ac:dyDescent="0.25">
      <c r="D108" s="968"/>
      <c r="E108" s="968"/>
    </row>
    <row r="109" spans="2:20" x14ac:dyDescent="0.25">
      <c r="D109" s="968"/>
      <c r="E109" s="968"/>
    </row>
    <row r="110" spans="2:20" x14ac:dyDescent="0.25">
      <c r="B110" s="950" t="s">
        <v>733</v>
      </c>
      <c r="C110" s="950" t="s">
        <v>733</v>
      </c>
      <c r="D110" s="968"/>
      <c r="E110" s="968"/>
      <c r="G110" s="950">
        <v>2020</v>
      </c>
    </row>
    <row r="111" spans="2:20" x14ac:dyDescent="0.25">
      <c r="B111" s="950" t="s">
        <v>733</v>
      </c>
      <c r="C111" s="950" t="s">
        <v>791</v>
      </c>
      <c r="D111" s="968"/>
      <c r="E111" s="968"/>
      <c r="G111" s="950" t="s">
        <v>1301</v>
      </c>
    </row>
    <row r="112" spans="2:20" x14ac:dyDescent="0.25">
      <c r="B112" s="950" t="s">
        <v>733</v>
      </c>
      <c r="C112" s="950" t="s">
        <v>687</v>
      </c>
      <c r="D112" s="960">
        <f>G112/G100*D100</f>
        <v>906349.91499240114</v>
      </c>
      <c r="E112" s="968"/>
      <c r="G112" s="950">
        <v>1383611.7088645061</v>
      </c>
    </row>
    <row r="113" spans="2:7" x14ac:dyDescent="0.25">
      <c r="B113" s="950" t="s">
        <v>733</v>
      </c>
      <c r="C113" s="950" t="s">
        <v>829</v>
      </c>
      <c r="D113" s="960">
        <f t="shared" ref="D113:D118" si="13">G113/G101*D101</f>
        <v>0</v>
      </c>
      <c r="E113" s="968"/>
      <c r="G113" s="950">
        <v>1554634.2240061136</v>
      </c>
    </row>
    <row r="114" spans="2:7" x14ac:dyDescent="0.25">
      <c r="B114" s="950" t="s">
        <v>733</v>
      </c>
      <c r="C114" s="950" t="s">
        <v>828</v>
      </c>
      <c r="D114" s="960">
        <f t="shared" si="13"/>
        <v>0</v>
      </c>
      <c r="E114" s="968"/>
      <c r="G114" s="950">
        <v>1491260.0402134496</v>
      </c>
    </row>
    <row r="115" spans="2:7" x14ac:dyDescent="0.25">
      <c r="B115" s="950" t="s">
        <v>733</v>
      </c>
      <c r="C115" s="950" t="s">
        <v>689</v>
      </c>
      <c r="D115" s="960">
        <f t="shared" si="13"/>
        <v>0</v>
      </c>
      <c r="E115" s="968"/>
      <c r="G115" s="950">
        <v>1502505.4928576599</v>
      </c>
    </row>
    <row r="116" spans="2:7" x14ac:dyDescent="0.25">
      <c r="B116" s="950" t="s">
        <v>733</v>
      </c>
      <c r="C116" s="950" t="s">
        <v>692</v>
      </c>
      <c r="D116" s="960">
        <f>D112*D104/D100</f>
        <v>1195712.1975341928</v>
      </c>
      <c r="E116" s="968"/>
      <c r="G116" s="950">
        <f>D116/D82*G82</f>
        <v>2529385.9320901288</v>
      </c>
    </row>
    <row r="117" spans="2:7" x14ac:dyDescent="0.25">
      <c r="B117" s="950" t="s">
        <v>733</v>
      </c>
      <c r="C117" s="950" t="s">
        <v>699</v>
      </c>
      <c r="D117" s="960">
        <f>G117/G105*D105</f>
        <v>1854400.0079945058</v>
      </c>
      <c r="E117" s="968"/>
      <c r="G117" s="950">
        <v>2830881.8939991225</v>
      </c>
    </row>
    <row r="118" spans="2:7" x14ac:dyDescent="0.25">
      <c r="B118" s="950" t="s">
        <v>733</v>
      </c>
      <c r="C118" s="950" t="s">
        <v>827</v>
      </c>
      <c r="D118" s="960">
        <f t="shared" si="13"/>
        <v>0</v>
      </c>
      <c r="E118" s="968"/>
      <c r="G118" s="950">
        <v>1732356.5987769766</v>
      </c>
    </row>
    <row r="119" spans="2:7" x14ac:dyDescent="0.25">
      <c r="B119" s="950" t="s">
        <v>733</v>
      </c>
      <c r="C119" s="950" t="s">
        <v>700</v>
      </c>
      <c r="D119" s="960">
        <f>G119/G107*D107</f>
        <v>1090585.1281432109</v>
      </c>
      <c r="E119" s="968"/>
      <c r="G119" s="950">
        <v>1664860.6987788989</v>
      </c>
    </row>
    <row r="120" spans="2:7" x14ac:dyDescent="0.25">
      <c r="B120" s="950" t="s">
        <v>733</v>
      </c>
      <c r="D120" s="968"/>
      <c r="E120" s="968"/>
    </row>
    <row r="121" spans="2:7" x14ac:dyDescent="0.25">
      <c r="B121" s="950" t="s">
        <v>733</v>
      </c>
      <c r="C121" s="950" t="s">
        <v>832</v>
      </c>
      <c r="D121" s="968"/>
      <c r="E121" s="968"/>
    </row>
    <row r="122" spans="2:7" x14ac:dyDescent="0.25">
      <c r="B122" s="950" t="s">
        <v>60</v>
      </c>
      <c r="C122" s="950" t="s">
        <v>60</v>
      </c>
      <c r="D122" s="968"/>
      <c r="E122" s="968"/>
      <c r="G122" s="950">
        <v>2020</v>
      </c>
    </row>
    <row r="123" spans="2:7" x14ac:dyDescent="0.25">
      <c r="B123" s="950" t="s">
        <v>60</v>
      </c>
      <c r="C123" s="950" t="s">
        <v>791</v>
      </c>
      <c r="D123" s="968"/>
      <c r="E123" s="968"/>
      <c r="G123" s="950" t="s">
        <v>1301</v>
      </c>
    </row>
    <row r="124" spans="2:7" x14ac:dyDescent="0.25">
      <c r="B124" s="950" t="s">
        <v>60</v>
      </c>
      <c r="C124" s="950" t="s">
        <v>687</v>
      </c>
      <c r="D124" s="960">
        <f>G124/G112*D112</f>
        <v>1681623.7261979403</v>
      </c>
      <c r="E124" s="968"/>
      <c r="G124" s="950">
        <v>2567125.8296431107</v>
      </c>
    </row>
    <row r="125" spans="2:7" x14ac:dyDescent="0.25">
      <c r="B125" s="950" t="s">
        <v>60</v>
      </c>
      <c r="C125" s="950" t="s">
        <v>829</v>
      </c>
      <c r="D125" s="960">
        <f t="shared" ref="D125:D130" si="14">G125/G113*D113</f>
        <v>0</v>
      </c>
      <c r="E125" s="968"/>
      <c r="G125" s="950">
        <v>2720742.9699179786</v>
      </c>
    </row>
    <row r="126" spans="2:7" x14ac:dyDescent="0.25">
      <c r="B126" s="950" t="s">
        <v>60</v>
      </c>
      <c r="C126" s="950" t="s">
        <v>828</v>
      </c>
      <c r="D126" s="960">
        <f t="shared" si="14"/>
        <v>0</v>
      </c>
      <c r="E126" s="968"/>
      <c r="G126" s="950">
        <v>2670939.3077800749</v>
      </c>
    </row>
    <row r="127" spans="2:7" x14ac:dyDescent="0.25">
      <c r="B127" s="950" t="s">
        <v>60</v>
      </c>
      <c r="C127" s="950" t="s">
        <v>689</v>
      </c>
      <c r="D127" s="960">
        <f t="shared" si="14"/>
        <v>0</v>
      </c>
      <c r="E127" s="968"/>
      <c r="G127" s="950">
        <v>2710157.9792400058</v>
      </c>
    </row>
    <row r="128" spans="2:7" x14ac:dyDescent="0.25">
      <c r="B128" s="950" t="s">
        <v>60</v>
      </c>
      <c r="C128" s="950" t="s">
        <v>692</v>
      </c>
      <c r="D128" s="960">
        <f>G128/G116*D116</f>
        <v>1718711.9348504476</v>
      </c>
      <c r="E128" s="968"/>
      <c r="G128" s="950">
        <v>3635729.2317425008</v>
      </c>
    </row>
    <row r="129" spans="2:7" x14ac:dyDescent="0.25">
      <c r="B129" s="950" t="s">
        <v>60</v>
      </c>
      <c r="C129" s="950" t="s">
        <v>699</v>
      </c>
      <c r="D129" s="960">
        <f>G129/G117*D117</f>
        <v>2416886.24070324</v>
      </c>
      <c r="E129" s="968"/>
      <c r="G129" s="950">
        <v>3689559.6792311268</v>
      </c>
    </row>
    <row r="130" spans="2:7" x14ac:dyDescent="0.25">
      <c r="B130" s="950" t="s">
        <v>60</v>
      </c>
      <c r="C130" s="950" t="s">
        <v>827</v>
      </c>
      <c r="D130" s="960">
        <f t="shared" si="14"/>
        <v>0</v>
      </c>
      <c r="E130" s="968"/>
      <c r="G130" s="950">
        <v>2769263.9792806837</v>
      </c>
    </row>
    <row r="131" spans="2:7" x14ac:dyDescent="0.25">
      <c r="B131" s="950" t="s">
        <v>60</v>
      </c>
      <c r="C131" s="950" t="s">
        <v>700</v>
      </c>
      <c r="D131" s="960">
        <f>G131/G119*D119</f>
        <v>1783011.9060877543</v>
      </c>
      <c r="E131" s="968"/>
      <c r="G131" s="950">
        <v>2721902.5560658015</v>
      </c>
    </row>
  </sheetData>
  <mergeCells count="2">
    <mergeCell ref="H44:I44"/>
    <mergeCell ref="H47:I48"/>
  </mergeCells>
  <hyperlinks>
    <hyperlink ref="B3" r:id="rId1" xr:uid="{27E1CFBF-2AF8-49D6-B26B-6D0E7052F4EB}"/>
    <hyperlink ref="G14" r:id="rId2" xr:uid="{DAFE65E9-C0ED-4588-8256-4283044E4DE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F435-D49B-4E9A-926B-A3D52E978710}">
  <sheetPr>
    <tabColor rgb="FFFF0066"/>
  </sheetPr>
  <dimension ref="A2:AX19"/>
  <sheetViews>
    <sheetView workbookViewId="0"/>
  </sheetViews>
  <sheetFormatPr defaultRowHeight="15" x14ac:dyDescent="0.25"/>
  <cols>
    <col min="3" max="3" width="11" customWidth="1"/>
    <col min="4" max="4" width="11.28515625" customWidth="1"/>
    <col min="5" max="5" width="11.7109375" customWidth="1"/>
    <col min="7" max="7" width="11" bestFit="1" customWidth="1"/>
    <col min="8" max="8" width="13.28515625" bestFit="1" customWidth="1"/>
    <col min="9" max="9" width="10" bestFit="1" customWidth="1"/>
  </cols>
  <sheetData>
    <row r="2" spans="1:50" x14ac:dyDescent="0.25">
      <c r="B2" t="s">
        <v>1397</v>
      </c>
      <c r="C2" s="974">
        <v>1</v>
      </c>
      <c r="E2" t="s">
        <v>1398</v>
      </c>
    </row>
    <row r="3" spans="1:50" x14ac:dyDescent="0.25">
      <c r="B3" t="s">
        <v>1399</v>
      </c>
      <c r="C3" s="975">
        <v>16.450808333333331</v>
      </c>
    </row>
    <row r="4" spans="1:50" x14ac:dyDescent="0.25">
      <c r="A4" s="976" t="str">
        <f>'AEA2012 summary'!A14</f>
        <v>Passenger Car</v>
      </c>
      <c r="B4" s="976" t="str">
        <f>'AEA2012 summary'!B14</f>
        <v>BEV</v>
      </c>
      <c r="C4" s="976">
        <f>'AEA2012 summary'!C14</f>
        <v>36238.596721333321</v>
      </c>
    </row>
    <row r="5" spans="1:50" x14ac:dyDescent="0.25">
      <c r="A5" s="976" t="str">
        <f>'AEA2012 summary'!A8</f>
        <v>Passenger Car</v>
      </c>
      <c r="B5" s="976" t="str">
        <f>'AEA2012 summary'!B8</f>
        <v>Petrol HEV</v>
      </c>
      <c r="C5" s="976">
        <f>'AEA2012 summary'!C8</f>
        <v>17377.456235607926</v>
      </c>
    </row>
    <row r="6" spans="1:50" x14ac:dyDescent="0.25">
      <c r="C6" t="s">
        <v>1400</v>
      </c>
      <c r="G6" t="s">
        <v>1401</v>
      </c>
    </row>
    <row r="7" spans="1:50" x14ac:dyDescent="0.25">
      <c r="B7" s="69" t="s">
        <v>1402</v>
      </c>
      <c r="C7" s="65">
        <v>2010</v>
      </c>
      <c r="D7" s="65">
        <v>2022</v>
      </c>
      <c r="E7" s="65">
        <v>2030</v>
      </c>
      <c r="F7" s="65">
        <v>2050</v>
      </c>
      <c r="G7" s="977" t="s">
        <v>1403</v>
      </c>
      <c r="H7" s="65" t="s">
        <v>1404</v>
      </c>
      <c r="I7" s="977" t="s">
        <v>1405</v>
      </c>
      <c r="J7" s="977">
        <v>2010</v>
      </c>
      <c r="K7" s="65">
        <v>2011</v>
      </c>
      <c r="L7" s="977">
        <v>2012</v>
      </c>
      <c r="M7" s="65">
        <v>2013</v>
      </c>
      <c r="N7" s="977">
        <v>2014</v>
      </c>
      <c r="O7" s="65">
        <v>2015</v>
      </c>
      <c r="P7" s="977">
        <v>2016</v>
      </c>
      <c r="Q7" s="65">
        <v>2017</v>
      </c>
      <c r="R7" s="977">
        <v>2018</v>
      </c>
      <c r="S7" s="65">
        <v>2019</v>
      </c>
      <c r="T7" s="977">
        <v>2020</v>
      </c>
      <c r="U7" s="65">
        <v>2021</v>
      </c>
      <c r="V7" s="977">
        <v>2022</v>
      </c>
      <c r="W7" s="65">
        <v>2023</v>
      </c>
      <c r="X7" s="977">
        <v>2024</v>
      </c>
      <c r="Y7" s="65">
        <v>2025</v>
      </c>
      <c r="Z7" s="977">
        <v>2026</v>
      </c>
      <c r="AA7" s="65">
        <v>2027</v>
      </c>
      <c r="AB7" s="977">
        <v>2028</v>
      </c>
      <c r="AC7" s="65">
        <v>2029</v>
      </c>
      <c r="AD7" s="977">
        <v>2030</v>
      </c>
      <c r="AE7" s="65">
        <v>2031</v>
      </c>
      <c r="AF7" s="977">
        <v>2032</v>
      </c>
      <c r="AG7" s="65">
        <v>2033</v>
      </c>
      <c r="AH7" s="977">
        <v>2034</v>
      </c>
      <c r="AI7" s="65">
        <v>2035</v>
      </c>
      <c r="AJ7" s="977">
        <v>2036</v>
      </c>
      <c r="AK7" s="65">
        <v>2037</v>
      </c>
      <c r="AL7" s="977">
        <v>2038</v>
      </c>
      <c r="AM7" s="65">
        <v>2039</v>
      </c>
      <c r="AN7" s="977">
        <v>2040</v>
      </c>
      <c r="AO7" s="65">
        <v>2041</v>
      </c>
      <c r="AP7" s="977">
        <v>2042</v>
      </c>
      <c r="AQ7" s="65">
        <v>2043</v>
      </c>
      <c r="AR7" s="977">
        <v>2044</v>
      </c>
      <c r="AS7" s="65">
        <v>2045</v>
      </c>
      <c r="AT7" s="977">
        <v>2046</v>
      </c>
      <c r="AU7" s="65">
        <v>2047</v>
      </c>
      <c r="AV7" s="977">
        <v>2048</v>
      </c>
      <c r="AW7" s="65">
        <v>2049</v>
      </c>
      <c r="AX7" s="977">
        <v>2050</v>
      </c>
    </row>
    <row r="8" spans="1:50" x14ac:dyDescent="0.25">
      <c r="B8" t="s">
        <v>1406</v>
      </c>
      <c r="C8" s="978">
        <f>C4*1.58*1.275</f>
        <v>73002.653095125977</v>
      </c>
      <c r="D8" s="979">
        <v>20500</v>
      </c>
      <c r="E8" s="979">
        <v>16600</v>
      </c>
      <c r="F8" s="979">
        <v>14700</v>
      </c>
    </row>
    <row r="9" spans="1:50" x14ac:dyDescent="0.25">
      <c r="B9" t="s">
        <v>1407</v>
      </c>
      <c r="C9" s="978">
        <f>C8</f>
        <v>73002.653095125977</v>
      </c>
      <c r="D9" s="979">
        <v>20500</v>
      </c>
      <c r="E9" s="979">
        <v>16100</v>
      </c>
      <c r="F9" s="979">
        <v>14100</v>
      </c>
    </row>
    <row r="10" spans="1:50" x14ac:dyDescent="0.25">
      <c r="B10" t="s">
        <v>1408</v>
      </c>
      <c r="C10" s="978">
        <f>C9</f>
        <v>73002.653095125977</v>
      </c>
      <c r="D10" s="979">
        <v>20500</v>
      </c>
      <c r="E10" s="979">
        <v>15600</v>
      </c>
      <c r="F10" s="979">
        <v>13700</v>
      </c>
    </row>
    <row r="11" spans="1:50" x14ac:dyDescent="0.25">
      <c r="A11" t="s">
        <v>692</v>
      </c>
      <c r="B11" t="s">
        <v>1347</v>
      </c>
      <c r="C11" s="980">
        <f t="shared" ref="C11:F13" si="0">C8/$D8</f>
        <v>3.5611050290305353</v>
      </c>
      <c r="D11" s="74">
        <f t="shared" si="0"/>
        <v>1</v>
      </c>
      <c r="E11" s="74">
        <f t="shared" si="0"/>
        <v>0.80975609756097566</v>
      </c>
      <c r="F11" s="74">
        <f t="shared" si="0"/>
        <v>0.71707317073170729</v>
      </c>
      <c r="G11" s="194">
        <f t="shared" ref="G11:I13" si="1">(D11-C11)/(D$7-C$7)</f>
        <v>-0.21342541908587795</v>
      </c>
      <c r="H11" s="194">
        <f t="shared" si="1"/>
        <v>-2.3780487804878042E-2</v>
      </c>
      <c r="I11" s="194">
        <f t="shared" si="1"/>
        <v>-4.6341463414634188E-3</v>
      </c>
      <c r="J11" s="194">
        <f>_xlfn.FORECAST.LINEAR(J$7,$C11:$D11,$C$7:$D$7)</f>
        <v>3.5611050290305002</v>
      </c>
      <c r="K11" s="194">
        <f t="shared" ref="K11:V11" si="2">_xlfn.FORECAST.LINEAR(K$7,$C11:$D11,$C$7:$D$7)</f>
        <v>3.3476796099446346</v>
      </c>
      <c r="L11" s="194">
        <f t="shared" si="2"/>
        <v>3.1342541908587691</v>
      </c>
      <c r="M11" s="194">
        <f t="shared" si="2"/>
        <v>2.9208287717729036</v>
      </c>
      <c r="N11" s="194">
        <f t="shared" si="2"/>
        <v>2.7074033526869812</v>
      </c>
      <c r="O11" s="194">
        <f t="shared" si="2"/>
        <v>2.4939779336011156</v>
      </c>
      <c r="P11" s="194">
        <f t="shared" si="2"/>
        <v>2.2805525145152501</v>
      </c>
      <c r="Q11" s="194">
        <f t="shared" si="2"/>
        <v>2.0671270954293846</v>
      </c>
      <c r="R11" s="194">
        <f t="shared" si="2"/>
        <v>1.853701676343519</v>
      </c>
      <c r="S11" s="194">
        <f t="shared" si="2"/>
        <v>1.6402762572575966</v>
      </c>
      <c r="T11" s="194">
        <f t="shared" si="2"/>
        <v>1.4268508381717311</v>
      </c>
      <c r="U11" s="194">
        <f t="shared" si="2"/>
        <v>1.2134254190858655</v>
      </c>
      <c r="V11" s="194">
        <f t="shared" si="2"/>
        <v>1</v>
      </c>
      <c r="W11" s="194">
        <f>_xlfn.FORECAST.LINEAR(W$7,$D11:$E11,$D$7:$E$7)</f>
        <v>0.97621951219512226</v>
      </c>
      <c r="X11" s="194">
        <f t="shared" ref="X11:AD11" si="3">_xlfn.FORECAST.LINEAR(X$7,$D11:$E11,$D$7:$E$7)</f>
        <v>0.95243902439024453</v>
      </c>
      <c r="Y11" s="194">
        <f t="shared" si="3"/>
        <v>0.92865853658536679</v>
      </c>
      <c r="Z11" s="194">
        <f t="shared" si="3"/>
        <v>0.90487804878048905</v>
      </c>
      <c r="AA11" s="194">
        <f t="shared" si="3"/>
        <v>0.88109756097561132</v>
      </c>
      <c r="AB11" s="194">
        <f t="shared" si="3"/>
        <v>0.85731707317073358</v>
      </c>
      <c r="AC11" s="194">
        <f t="shared" si="3"/>
        <v>0.83353658536585584</v>
      </c>
      <c r="AD11" s="194">
        <f t="shared" si="3"/>
        <v>0.80975609756097811</v>
      </c>
      <c r="AE11" s="194">
        <f>_xlfn.FORECAST.LINEAR(AE$7,$E11:$F11,$E$7:$F$7)</f>
        <v>0.8051219512195118</v>
      </c>
      <c r="AF11" s="194">
        <f t="shared" ref="AF11:AX13" si="4">_xlfn.FORECAST.LINEAR(AF$7,$E11:$F11,$E$7:$F$7)</f>
        <v>0.80048780487804905</v>
      </c>
      <c r="AG11" s="194">
        <f t="shared" si="4"/>
        <v>0.79585365853658629</v>
      </c>
      <c r="AH11" s="194">
        <f t="shared" si="4"/>
        <v>0.79121951219512177</v>
      </c>
      <c r="AI11" s="194">
        <f t="shared" si="4"/>
        <v>0.78658536585365901</v>
      </c>
      <c r="AJ11" s="194">
        <f t="shared" si="4"/>
        <v>0.78195121951219448</v>
      </c>
      <c r="AK11" s="194">
        <f t="shared" si="4"/>
        <v>0.77731707317073173</v>
      </c>
      <c r="AL11" s="194">
        <f t="shared" si="4"/>
        <v>0.77268292682926898</v>
      </c>
      <c r="AM11" s="194">
        <f t="shared" si="4"/>
        <v>0.76804878048780445</v>
      </c>
      <c r="AN11" s="194">
        <f t="shared" si="4"/>
        <v>0.7634146341463417</v>
      </c>
      <c r="AO11" s="194">
        <f t="shared" si="4"/>
        <v>0.75878048780487894</v>
      </c>
      <c r="AP11" s="194">
        <f t="shared" si="4"/>
        <v>0.75414634146341442</v>
      </c>
      <c r="AQ11" s="194">
        <f t="shared" si="4"/>
        <v>0.74951219512195166</v>
      </c>
      <c r="AR11" s="194">
        <f t="shared" si="4"/>
        <v>0.74487804878048891</v>
      </c>
      <c r="AS11" s="194">
        <f t="shared" si="4"/>
        <v>0.74024390243902438</v>
      </c>
      <c r="AT11" s="194">
        <f t="shared" si="4"/>
        <v>0.73560975609756163</v>
      </c>
      <c r="AU11" s="194">
        <f t="shared" si="4"/>
        <v>0.7309756097560971</v>
      </c>
      <c r="AV11" s="194">
        <f t="shared" si="4"/>
        <v>0.72634146341463435</v>
      </c>
      <c r="AW11" s="194">
        <f t="shared" si="4"/>
        <v>0.72170731707317159</v>
      </c>
      <c r="AX11" s="194">
        <f t="shared" si="4"/>
        <v>0.71707317073170707</v>
      </c>
    </row>
    <row r="12" spans="1:50" x14ac:dyDescent="0.25">
      <c r="A12" t="s">
        <v>692</v>
      </c>
      <c r="B12" t="s">
        <v>1409</v>
      </c>
      <c r="C12" s="980">
        <f t="shared" si="0"/>
        <v>3.5611050290305353</v>
      </c>
      <c r="D12" s="74">
        <f t="shared" si="0"/>
        <v>1</v>
      </c>
      <c r="E12" s="74">
        <f t="shared" si="0"/>
        <v>0.78536585365853662</v>
      </c>
      <c r="F12" s="74">
        <f t="shared" si="0"/>
        <v>0.68780487804878043</v>
      </c>
      <c r="G12" s="194">
        <f t="shared" si="1"/>
        <v>-0.21342541908587795</v>
      </c>
      <c r="H12" s="194">
        <f t="shared" si="1"/>
        <v>-2.6829268292682923E-2</v>
      </c>
      <c r="I12" s="194">
        <f t="shared" si="1"/>
        <v>-4.8780487804878092E-3</v>
      </c>
      <c r="J12" s="194">
        <f t="shared" ref="J12:V13" si="5">_xlfn.FORECAST.LINEAR(J$7,$C12:$D12,$C$7:$D$7)</f>
        <v>3.5611050290305002</v>
      </c>
      <c r="K12" s="194">
        <f t="shared" si="5"/>
        <v>3.3476796099446346</v>
      </c>
      <c r="L12" s="194">
        <f t="shared" si="5"/>
        <v>3.1342541908587691</v>
      </c>
      <c r="M12" s="194">
        <f t="shared" si="5"/>
        <v>2.9208287717729036</v>
      </c>
      <c r="N12" s="194">
        <f t="shared" si="5"/>
        <v>2.7074033526869812</v>
      </c>
      <c r="O12" s="194">
        <f t="shared" si="5"/>
        <v>2.4939779336011156</v>
      </c>
      <c r="P12" s="194">
        <f t="shared" si="5"/>
        <v>2.2805525145152501</v>
      </c>
      <c r="Q12" s="194">
        <f t="shared" si="5"/>
        <v>2.0671270954293846</v>
      </c>
      <c r="R12" s="194">
        <f t="shared" si="5"/>
        <v>1.853701676343519</v>
      </c>
      <c r="S12" s="194">
        <f t="shared" si="5"/>
        <v>1.6402762572575966</v>
      </c>
      <c r="T12" s="194">
        <f t="shared" si="5"/>
        <v>1.4268508381717311</v>
      </c>
      <c r="U12" s="194">
        <f t="shared" si="5"/>
        <v>1.2134254190858655</v>
      </c>
      <c r="V12" s="194">
        <f t="shared" si="5"/>
        <v>1</v>
      </c>
      <c r="W12" s="194">
        <f t="shared" ref="W12:AD13" si="6">_xlfn.FORECAST.LINEAR(W$7,$D12:$E12,$D$7:$E$7)</f>
        <v>0.97317073170731305</v>
      </c>
      <c r="X12" s="194">
        <f t="shared" si="6"/>
        <v>0.94634146341462611</v>
      </c>
      <c r="Y12" s="194">
        <f t="shared" si="6"/>
        <v>0.91951219512194626</v>
      </c>
      <c r="Z12" s="194">
        <f t="shared" si="6"/>
        <v>0.89268292682926642</v>
      </c>
      <c r="AA12" s="194">
        <f t="shared" si="6"/>
        <v>0.86585365853657947</v>
      </c>
      <c r="AB12" s="194">
        <f t="shared" si="6"/>
        <v>0.83902439024389963</v>
      </c>
      <c r="AC12" s="194">
        <f t="shared" si="6"/>
        <v>0.81219512195121268</v>
      </c>
      <c r="AD12" s="194">
        <f t="shared" si="6"/>
        <v>0.78536585365853284</v>
      </c>
      <c r="AE12" s="194">
        <f t="shared" ref="AE12:AT13" si="7">_xlfn.FORECAST.LINEAR(AE$7,$E12:$F12,$E$7:$F$7)</f>
        <v>0.7804878048780477</v>
      </c>
      <c r="AF12" s="194">
        <f t="shared" si="7"/>
        <v>0.77560975609756078</v>
      </c>
      <c r="AG12" s="194">
        <f t="shared" si="7"/>
        <v>0.77073170731707386</v>
      </c>
      <c r="AH12" s="194">
        <f t="shared" si="7"/>
        <v>0.76585365853658516</v>
      </c>
      <c r="AI12" s="194">
        <f t="shared" si="7"/>
        <v>0.76097560975609646</v>
      </c>
      <c r="AJ12" s="194">
        <f t="shared" si="7"/>
        <v>0.75609756097560954</v>
      </c>
      <c r="AK12" s="194">
        <f t="shared" si="7"/>
        <v>0.75121951219512262</v>
      </c>
      <c r="AL12" s="194">
        <f t="shared" si="7"/>
        <v>0.74634146341463392</v>
      </c>
      <c r="AM12" s="194">
        <f t="shared" si="7"/>
        <v>0.74146341463414522</v>
      </c>
      <c r="AN12" s="194">
        <f t="shared" si="7"/>
        <v>0.7365853658536583</v>
      </c>
      <c r="AO12" s="194">
        <f t="shared" si="7"/>
        <v>0.73170731707317138</v>
      </c>
      <c r="AP12" s="194">
        <f t="shared" si="7"/>
        <v>0.72682926829268268</v>
      </c>
      <c r="AQ12" s="194">
        <f t="shared" si="7"/>
        <v>0.72195121951219399</v>
      </c>
      <c r="AR12" s="194">
        <f t="shared" si="7"/>
        <v>0.71707317073170707</v>
      </c>
      <c r="AS12" s="194">
        <f t="shared" si="7"/>
        <v>0.71219512195122014</v>
      </c>
      <c r="AT12" s="194">
        <f t="shared" si="7"/>
        <v>0.70731707317073145</v>
      </c>
      <c r="AU12" s="194">
        <f t="shared" si="4"/>
        <v>0.70243902439024275</v>
      </c>
      <c r="AV12" s="194">
        <f t="shared" si="4"/>
        <v>0.69756097560975583</v>
      </c>
      <c r="AW12" s="194">
        <f t="shared" si="4"/>
        <v>0.69268292682926891</v>
      </c>
      <c r="AX12" s="194">
        <f t="shared" si="4"/>
        <v>0.68780487804878021</v>
      </c>
    </row>
    <row r="13" spans="1:50" x14ac:dyDescent="0.25">
      <c r="A13" t="s">
        <v>692</v>
      </c>
      <c r="B13" t="s">
        <v>1410</v>
      </c>
      <c r="C13" s="980">
        <f t="shared" si="0"/>
        <v>3.5611050290305353</v>
      </c>
      <c r="D13" s="74">
        <f t="shared" si="0"/>
        <v>1</v>
      </c>
      <c r="E13" s="74">
        <f t="shared" si="0"/>
        <v>0.76097560975609757</v>
      </c>
      <c r="F13" s="74">
        <f t="shared" si="0"/>
        <v>0.66829268292682931</v>
      </c>
      <c r="G13" s="194">
        <f t="shared" si="1"/>
        <v>-0.21342541908587795</v>
      </c>
      <c r="H13" s="194">
        <f t="shared" si="1"/>
        <v>-2.9878048780487804E-2</v>
      </c>
      <c r="I13" s="194">
        <f t="shared" si="1"/>
        <v>-4.6341463414634135E-3</v>
      </c>
      <c r="J13" s="194">
        <f t="shared" si="5"/>
        <v>3.5611050290305002</v>
      </c>
      <c r="K13" s="194">
        <f t="shared" si="5"/>
        <v>3.3476796099446346</v>
      </c>
      <c r="L13" s="194">
        <f t="shared" si="5"/>
        <v>3.1342541908587691</v>
      </c>
      <c r="M13" s="194">
        <f t="shared" si="5"/>
        <v>2.9208287717729036</v>
      </c>
      <c r="N13" s="194">
        <f t="shared" si="5"/>
        <v>2.7074033526869812</v>
      </c>
      <c r="O13" s="194">
        <f t="shared" si="5"/>
        <v>2.4939779336011156</v>
      </c>
      <c r="P13" s="194">
        <f t="shared" si="5"/>
        <v>2.2805525145152501</v>
      </c>
      <c r="Q13" s="194">
        <f t="shared" si="5"/>
        <v>2.0671270954293846</v>
      </c>
      <c r="R13" s="194">
        <f t="shared" si="5"/>
        <v>1.853701676343519</v>
      </c>
      <c r="S13" s="194">
        <f t="shared" si="5"/>
        <v>1.6402762572575966</v>
      </c>
      <c r="T13" s="194">
        <f t="shared" si="5"/>
        <v>1.4268508381717311</v>
      </c>
      <c r="U13" s="194">
        <f t="shared" si="5"/>
        <v>1.2134254190858655</v>
      </c>
      <c r="V13" s="194">
        <f t="shared" si="5"/>
        <v>1</v>
      </c>
      <c r="W13" s="194">
        <f t="shared" si="6"/>
        <v>0.97012195121951805</v>
      </c>
      <c r="X13" s="194">
        <f t="shared" si="6"/>
        <v>0.940243902439029</v>
      </c>
      <c r="Y13" s="194">
        <f t="shared" si="6"/>
        <v>0.91036585365853995</v>
      </c>
      <c r="Z13" s="194">
        <f t="shared" si="6"/>
        <v>0.88048780487805089</v>
      </c>
      <c r="AA13" s="194">
        <f t="shared" si="6"/>
        <v>0.85060975609756184</v>
      </c>
      <c r="AB13" s="194">
        <f t="shared" si="6"/>
        <v>0.82073170731707279</v>
      </c>
      <c r="AC13" s="194">
        <f t="shared" si="6"/>
        <v>0.79085365853659084</v>
      </c>
      <c r="AD13" s="194">
        <f t="shared" si="6"/>
        <v>0.76097560975610179</v>
      </c>
      <c r="AE13" s="194">
        <f t="shared" si="7"/>
        <v>0.75634146341463371</v>
      </c>
      <c r="AF13" s="194">
        <f t="shared" si="4"/>
        <v>0.75170731707317096</v>
      </c>
      <c r="AG13" s="194">
        <f t="shared" si="4"/>
        <v>0.7470731707317082</v>
      </c>
      <c r="AH13" s="194">
        <f t="shared" si="4"/>
        <v>0.74243902439024367</v>
      </c>
      <c r="AI13" s="194">
        <f t="shared" si="4"/>
        <v>0.73780487804878092</v>
      </c>
      <c r="AJ13" s="194">
        <f t="shared" si="4"/>
        <v>0.73317073170731639</v>
      </c>
      <c r="AK13" s="194">
        <f t="shared" si="4"/>
        <v>0.72853658536585364</v>
      </c>
      <c r="AL13" s="194">
        <f t="shared" si="4"/>
        <v>0.72390243902439089</v>
      </c>
      <c r="AM13" s="194">
        <f t="shared" si="4"/>
        <v>0.71926829268292636</v>
      </c>
      <c r="AN13" s="194">
        <f t="shared" si="4"/>
        <v>0.71463414634146361</v>
      </c>
      <c r="AO13" s="194">
        <f t="shared" si="4"/>
        <v>0.71000000000000085</v>
      </c>
      <c r="AP13" s="194">
        <f t="shared" si="4"/>
        <v>0.70536585365853632</v>
      </c>
      <c r="AQ13" s="194">
        <f t="shared" si="4"/>
        <v>0.70073170731707357</v>
      </c>
      <c r="AR13" s="194">
        <f t="shared" si="4"/>
        <v>0.69609756097560904</v>
      </c>
      <c r="AS13" s="194">
        <f t="shared" si="4"/>
        <v>0.69146341463414629</v>
      </c>
      <c r="AT13" s="194">
        <f t="shared" si="4"/>
        <v>0.68682926829268354</v>
      </c>
      <c r="AU13" s="194">
        <f t="shared" si="4"/>
        <v>0.68219512195121901</v>
      </c>
      <c r="AV13" s="194">
        <f t="shared" si="4"/>
        <v>0.67756097560975626</v>
      </c>
      <c r="AW13" s="194">
        <f t="shared" si="4"/>
        <v>0.6729268292682935</v>
      </c>
      <c r="AX13" s="194">
        <f t="shared" si="4"/>
        <v>0.66829268292682897</v>
      </c>
    </row>
    <row r="14" spans="1:50" x14ac:dyDescent="0.25">
      <c r="B14" t="s">
        <v>1406</v>
      </c>
      <c r="C14" s="978">
        <f>C5*1.58*1.275</f>
        <v>35006.885586632168</v>
      </c>
      <c r="D14" s="979">
        <v>16800</v>
      </c>
      <c r="E14" s="979">
        <v>15300</v>
      </c>
      <c r="F14" s="979">
        <v>15400</v>
      </c>
    </row>
    <row r="15" spans="1:50" x14ac:dyDescent="0.25">
      <c r="B15" t="s">
        <v>1407</v>
      </c>
      <c r="C15" s="978">
        <f>C14</f>
        <v>35006.885586632168</v>
      </c>
      <c r="D15" s="979">
        <v>16800</v>
      </c>
      <c r="E15" s="979">
        <v>15200</v>
      </c>
      <c r="F15" s="979">
        <v>15300</v>
      </c>
    </row>
    <row r="16" spans="1:50" x14ac:dyDescent="0.25">
      <c r="B16" t="s">
        <v>1408</v>
      </c>
      <c r="C16" s="978">
        <f>C15</f>
        <v>35006.885586632168</v>
      </c>
      <c r="D16" s="979">
        <v>16800</v>
      </c>
      <c r="E16" s="979">
        <v>15100</v>
      </c>
      <c r="F16" s="979">
        <v>15200</v>
      </c>
    </row>
    <row r="17" spans="1:50" x14ac:dyDescent="0.25">
      <c r="A17" t="s">
        <v>1345</v>
      </c>
      <c r="B17" t="s">
        <v>1347</v>
      </c>
      <c r="C17" s="980">
        <f t="shared" ref="C17:F19" si="8">C14/$D14</f>
        <v>2.0837431896804861</v>
      </c>
      <c r="D17" s="74">
        <f t="shared" si="8"/>
        <v>1</v>
      </c>
      <c r="E17" s="74">
        <f t="shared" si="8"/>
        <v>0.9107142857142857</v>
      </c>
      <c r="F17" s="74">
        <f t="shared" si="8"/>
        <v>0.91666666666666663</v>
      </c>
      <c r="G17" s="194">
        <f t="shared" ref="G17:I19" si="9">(D17-C17)/(D$7-C$7)</f>
        <v>-9.0311932473373838E-2</v>
      </c>
      <c r="H17" s="194">
        <f t="shared" si="9"/>
        <v>-1.1160714285714288E-2</v>
      </c>
      <c r="I17" s="194">
        <f t="shared" si="9"/>
        <v>2.9761904761904656E-4</v>
      </c>
      <c r="J17" s="194">
        <f>_xlfn.FORECAST.LINEAR(J$7,$C17:$D17,$C$7:$D$7)</f>
        <v>2.0837431896804901</v>
      </c>
      <c r="K17" s="194">
        <f t="shared" ref="K17:V17" si="10">_xlfn.FORECAST.LINEAR(K$7,$C17:$D17,$C$7:$D$7)</f>
        <v>1.9934312572071065</v>
      </c>
      <c r="L17" s="194">
        <f t="shared" si="10"/>
        <v>1.9031193247337512</v>
      </c>
      <c r="M17" s="194">
        <f t="shared" si="10"/>
        <v>1.8128073922603676</v>
      </c>
      <c r="N17" s="194">
        <f t="shared" si="10"/>
        <v>1.7224954597869839</v>
      </c>
      <c r="O17" s="194">
        <f t="shared" si="10"/>
        <v>1.6321835273136287</v>
      </c>
      <c r="P17" s="194">
        <f t="shared" si="10"/>
        <v>1.5418715948402451</v>
      </c>
      <c r="Q17" s="194">
        <f t="shared" si="10"/>
        <v>1.4515596623668614</v>
      </c>
      <c r="R17" s="194">
        <f t="shared" si="10"/>
        <v>1.3612477298935062</v>
      </c>
      <c r="S17" s="194">
        <f t="shared" si="10"/>
        <v>1.2709357974201225</v>
      </c>
      <c r="T17" s="194">
        <f t="shared" si="10"/>
        <v>1.1806238649467389</v>
      </c>
      <c r="U17" s="194">
        <f t="shared" si="10"/>
        <v>1.0903119324733836</v>
      </c>
      <c r="V17" s="194">
        <f t="shared" si="10"/>
        <v>1</v>
      </c>
      <c r="W17" s="194">
        <f>_xlfn.FORECAST.LINEAR(W$7,$D17:$E17,$D$7:$E$7)</f>
        <v>0.9888392857142847</v>
      </c>
      <c r="X17" s="194">
        <f t="shared" ref="X17:AD17" si="11">_xlfn.FORECAST.LINEAR(X$7,$D17:$E17,$D$7:$E$7)</f>
        <v>0.9776785714285694</v>
      </c>
      <c r="Y17" s="194">
        <f t="shared" si="11"/>
        <v>0.9665178571428541</v>
      </c>
      <c r="Z17" s="194">
        <f t="shared" si="11"/>
        <v>0.95535714285714235</v>
      </c>
      <c r="AA17" s="194">
        <f t="shared" si="11"/>
        <v>0.94419642857142705</v>
      </c>
      <c r="AB17" s="194">
        <f t="shared" si="11"/>
        <v>0.93303571428571175</v>
      </c>
      <c r="AC17" s="194">
        <f t="shared" si="11"/>
        <v>0.921875</v>
      </c>
      <c r="AD17" s="194">
        <f t="shared" si="11"/>
        <v>0.9107142857142847</v>
      </c>
      <c r="AE17" s="194">
        <f>_xlfn.FORECAST.LINEAR(AE$7,$E17:$F17,$E$7:$F$7)</f>
        <v>0.91101190476190474</v>
      </c>
      <c r="AF17" s="194">
        <f t="shared" ref="AF17:AX19" si="12">_xlfn.FORECAST.LINEAR(AF$7,$E17:$F17,$E$7:$F$7)</f>
        <v>0.91130952380952379</v>
      </c>
      <c r="AG17" s="194">
        <f t="shared" si="12"/>
        <v>0.91160714285714284</v>
      </c>
      <c r="AH17" s="194">
        <f t="shared" si="12"/>
        <v>0.91190476190476188</v>
      </c>
      <c r="AI17" s="194">
        <f t="shared" si="12"/>
        <v>0.91220238095238093</v>
      </c>
      <c r="AJ17" s="194">
        <f t="shared" si="12"/>
        <v>0.91249999999999998</v>
      </c>
      <c r="AK17" s="194">
        <f t="shared" si="12"/>
        <v>0.91279761904761902</v>
      </c>
      <c r="AL17" s="194">
        <f t="shared" si="12"/>
        <v>0.91309523809523807</v>
      </c>
      <c r="AM17" s="194">
        <f t="shared" si="12"/>
        <v>0.91339285714285712</v>
      </c>
      <c r="AN17" s="194">
        <f t="shared" si="12"/>
        <v>0.91369047619047616</v>
      </c>
      <c r="AO17" s="194">
        <f t="shared" si="12"/>
        <v>0.91398809523809521</v>
      </c>
      <c r="AP17" s="194">
        <f t="shared" si="12"/>
        <v>0.91428571428571426</v>
      </c>
      <c r="AQ17" s="194">
        <f t="shared" si="12"/>
        <v>0.9145833333333333</v>
      </c>
      <c r="AR17" s="194">
        <f t="shared" si="12"/>
        <v>0.91488095238095235</v>
      </c>
      <c r="AS17" s="194">
        <f t="shared" si="12"/>
        <v>0.9151785714285714</v>
      </c>
      <c r="AT17" s="194">
        <f t="shared" si="12"/>
        <v>0.91547619047619044</v>
      </c>
      <c r="AU17" s="194">
        <f t="shared" si="12"/>
        <v>0.91577380952380949</v>
      </c>
      <c r="AV17" s="194">
        <f t="shared" si="12"/>
        <v>0.91607142857142854</v>
      </c>
      <c r="AW17" s="194">
        <f t="shared" si="12"/>
        <v>0.91636904761904758</v>
      </c>
      <c r="AX17" s="194">
        <f t="shared" si="12"/>
        <v>0.91666666666666663</v>
      </c>
    </row>
    <row r="18" spans="1:50" x14ac:dyDescent="0.25">
      <c r="A18" t="s">
        <v>1345</v>
      </c>
      <c r="B18" t="s">
        <v>1409</v>
      </c>
      <c r="C18" s="980">
        <f t="shared" si="8"/>
        <v>2.0837431896804861</v>
      </c>
      <c r="D18" s="74">
        <f t="shared" si="8"/>
        <v>1</v>
      </c>
      <c r="E18" s="74">
        <f t="shared" si="8"/>
        <v>0.90476190476190477</v>
      </c>
      <c r="F18" s="74">
        <f t="shared" si="8"/>
        <v>0.9107142857142857</v>
      </c>
      <c r="G18" s="194">
        <f t="shared" si="9"/>
        <v>-9.0311932473373838E-2</v>
      </c>
      <c r="H18" s="194">
        <f t="shared" si="9"/>
        <v>-1.1904761904761904E-2</v>
      </c>
      <c r="I18" s="194">
        <f t="shared" si="9"/>
        <v>2.9761904761904656E-4</v>
      </c>
      <c r="J18" s="194">
        <f t="shared" ref="J18:V19" si="13">_xlfn.FORECAST.LINEAR(J$7,$C18:$D18,$C$7:$D$7)</f>
        <v>2.0837431896804901</v>
      </c>
      <c r="K18" s="194">
        <f t="shared" si="13"/>
        <v>1.9934312572071065</v>
      </c>
      <c r="L18" s="194">
        <f t="shared" si="13"/>
        <v>1.9031193247337512</v>
      </c>
      <c r="M18" s="194">
        <f t="shared" si="13"/>
        <v>1.8128073922603676</v>
      </c>
      <c r="N18" s="194">
        <f t="shared" si="13"/>
        <v>1.7224954597869839</v>
      </c>
      <c r="O18" s="194">
        <f t="shared" si="13"/>
        <v>1.6321835273136287</v>
      </c>
      <c r="P18" s="194">
        <f t="shared" si="13"/>
        <v>1.5418715948402451</v>
      </c>
      <c r="Q18" s="194">
        <f t="shared" si="13"/>
        <v>1.4515596623668614</v>
      </c>
      <c r="R18" s="194">
        <f t="shared" si="13"/>
        <v>1.3612477298935062</v>
      </c>
      <c r="S18" s="194">
        <f t="shared" si="13"/>
        <v>1.2709357974201225</v>
      </c>
      <c r="T18" s="194">
        <f t="shared" si="13"/>
        <v>1.1806238649467389</v>
      </c>
      <c r="U18" s="194">
        <f t="shared" si="13"/>
        <v>1.0903119324733836</v>
      </c>
      <c r="V18" s="194">
        <f t="shared" si="13"/>
        <v>1</v>
      </c>
      <c r="W18" s="194">
        <f t="shared" ref="W18:AD19" si="14">_xlfn.FORECAST.LINEAR(W$7,$D18:$E18,$D$7:$E$7)</f>
        <v>0.98809523809523725</v>
      </c>
      <c r="X18" s="194">
        <f t="shared" si="14"/>
        <v>0.9761904761904745</v>
      </c>
      <c r="Y18" s="194">
        <f t="shared" si="14"/>
        <v>0.9642857142857153</v>
      </c>
      <c r="Z18" s="194">
        <f t="shared" si="14"/>
        <v>0.95238095238095255</v>
      </c>
      <c r="AA18" s="194">
        <f t="shared" si="14"/>
        <v>0.9404761904761898</v>
      </c>
      <c r="AB18" s="194">
        <f t="shared" si="14"/>
        <v>0.92857142857142705</v>
      </c>
      <c r="AC18" s="194">
        <f t="shared" si="14"/>
        <v>0.9166666666666643</v>
      </c>
      <c r="AD18" s="194">
        <f t="shared" si="14"/>
        <v>0.9047619047619051</v>
      </c>
      <c r="AE18" s="194">
        <f t="shared" ref="AE18:AT19" si="15">_xlfn.FORECAST.LINEAR(AE$7,$E18:$F18,$E$7:$F$7)</f>
        <v>0.90505952380952381</v>
      </c>
      <c r="AF18" s="194">
        <f t="shared" si="15"/>
        <v>0.90535714285714286</v>
      </c>
      <c r="AG18" s="194">
        <f t="shared" si="15"/>
        <v>0.90565476190476191</v>
      </c>
      <c r="AH18" s="194">
        <f t="shared" si="15"/>
        <v>0.90595238095238095</v>
      </c>
      <c r="AI18" s="194">
        <f t="shared" si="15"/>
        <v>0.90625</v>
      </c>
      <c r="AJ18" s="194">
        <f t="shared" si="15"/>
        <v>0.90654761904761905</v>
      </c>
      <c r="AK18" s="194">
        <f t="shared" si="15"/>
        <v>0.90684523809523809</v>
      </c>
      <c r="AL18" s="194">
        <f t="shared" si="15"/>
        <v>0.90714285714285714</v>
      </c>
      <c r="AM18" s="194">
        <f t="shared" si="15"/>
        <v>0.90744047619047619</v>
      </c>
      <c r="AN18" s="194">
        <f t="shared" si="15"/>
        <v>0.90773809523809523</v>
      </c>
      <c r="AO18" s="194">
        <f t="shared" si="15"/>
        <v>0.90803571428571428</v>
      </c>
      <c r="AP18" s="194">
        <f t="shared" si="15"/>
        <v>0.90833333333333333</v>
      </c>
      <c r="AQ18" s="194">
        <f t="shared" si="15"/>
        <v>0.90863095238095237</v>
      </c>
      <c r="AR18" s="194">
        <f t="shared" si="15"/>
        <v>0.90892857142857142</v>
      </c>
      <c r="AS18" s="194">
        <f t="shared" si="15"/>
        <v>0.90922619047619047</v>
      </c>
      <c r="AT18" s="194">
        <f t="shared" si="15"/>
        <v>0.90952380952380951</v>
      </c>
      <c r="AU18" s="194">
        <f t="shared" si="12"/>
        <v>0.90982142857142856</v>
      </c>
      <c r="AV18" s="194">
        <f t="shared" si="12"/>
        <v>0.91011904761904761</v>
      </c>
      <c r="AW18" s="194">
        <f t="shared" si="12"/>
        <v>0.91041666666666665</v>
      </c>
      <c r="AX18" s="194">
        <f t="shared" si="12"/>
        <v>0.9107142857142857</v>
      </c>
    </row>
    <row r="19" spans="1:50" x14ac:dyDescent="0.25">
      <c r="A19" t="s">
        <v>1345</v>
      </c>
      <c r="B19" t="s">
        <v>1410</v>
      </c>
      <c r="C19" s="980">
        <f t="shared" si="8"/>
        <v>2.0837431896804861</v>
      </c>
      <c r="D19" s="74">
        <f t="shared" si="8"/>
        <v>1</v>
      </c>
      <c r="E19" s="74">
        <f t="shared" si="8"/>
        <v>0.89880952380952384</v>
      </c>
      <c r="F19" s="74">
        <f t="shared" si="8"/>
        <v>0.90476190476190477</v>
      </c>
      <c r="G19" s="194">
        <f t="shared" si="9"/>
        <v>-9.0311932473373838E-2</v>
      </c>
      <c r="H19" s="194">
        <f t="shared" si="9"/>
        <v>-1.2648809523809521E-2</v>
      </c>
      <c r="I19" s="194">
        <f t="shared" si="9"/>
        <v>2.9761904761904656E-4</v>
      </c>
      <c r="J19" s="194">
        <f t="shared" si="13"/>
        <v>2.0837431896804901</v>
      </c>
      <c r="K19" s="194">
        <f t="shared" si="13"/>
        <v>1.9934312572071065</v>
      </c>
      <c r="L19" s="194">
        <f t="shared" si="13"/>
        <v>1.9031193247337512</v>
      </c>
      <c r="M19" s="194">
        <f t="shared" si="13"/>
        <v>1.8128073922603676</v>
      </c>
      <c r="N19" s="194">
        <f t="shared" si="13"/>
        <v>1.7224954597869839</v>
      </c>
      <c r="O19" s="194">
        <f t="shared" si="13"/>
        <v>1.6321835273136287</v>
      </c>
      <c r="P19" s="194">
        <f t="shared" si="13"/>
        <v>1.5418715948402451</v>
      </c>
      <c r="Q19" s="194">
        <f t="shared" si="13"/>
        <v>1.4515596623668614</v>
      </c>
      <c r="R19" s="194">
        <f t="shared" si="13"/>
        <v>1.3612477298935062</v>
      </c>
      <c r="S19" s="194">
        <f t="shared" si="13"/>
        <v>1.2709357974201225</v>
      </c>
      <c r="T19" s="194">
        <f t="shared" si="13"/>
        <v>1.1806238649467389</v>
      </c>
      <c r="U19" s="194">
        <f t="shared" si="13"/>
        <v>1.0903119324733836</v>
      </c>
      <c r="V19" s="194">
        <f t="shared" si="13"/>
        <v>1</v>
      </c>
      <c r="W19" s="194">
        <f t="shared" si="14"/>
        <v>0.9873511904761898</v>
      </c>
      <c r="X19" s="194">
        <f t="shared" si="14"/>
        <v>0.9747023809523796</v>
      </c>
      <c r="Y19" s="194">
        <f t="shared" si="14"/>
        <v>0.96205357142857295</v>
      </c>
      <c r="Z19" s="194">
        <f t="shared" si="14"/>
        <v>0.94940476190476275</v>
      </c>
      <c r="AA19" s="194">
        <f t="shared" si="14"/>
        <v>0.93675595238095255</v>
      </c>
      <c r="AB19" s="194">
        <f t="shared" si="14"/>
        <v>0.92410714285714235</v>
      </c>
      <c r="AC19" s="194">
        <f t="shared" si="14"/>
        <v>0.91145833333333215</v>
      </c>
      <c r="AD19" s="194">
        <f t="shared" si="14"/>
        <v>0.8988095238095255</v>
      </c>
      <c r="AE19" s="194">
        <f t="shared" si="15"/>
        <v>0.89910714285714288</v>
      </c>
      <c r="AF19" s="194">
        <f t="shared" si="12"/>
        <v>0.89940476190476193</v>
      </c>
      <c r="AG19" s="194">
        <f t="shared" si="12"/>
        <v>0.89970238095238098</v>
      </c>
      <c r="AH19" s="194">
        <f t="shared" si="12"/>
        <v>0.9</v>
      </c>
      <c r="AI19" s="194">
        <f t="shared" si="12"/>
        <v>0.90029761904761907</v>
      </c>
      <c r="AJ19" s="194">
        <f t="shared" si="12"/>
        <v>0.90059523809523812</v>
      </c>
      <c r="AK19" s="194">
        <f t="shared" si="12"/>
        <v>0.90089285714285716</v>
      </c>
      <c r="AL19" s="194">
        <f t="shared" si="12"/>
        <v>0.90119047619047621</v>
      </c>
      <c r="AM19" s="194">
        <f t="shared" si="12"/>
        <v>0.90148809523809526</v>
      </c>
      <c r="AN19" s="194">
        <f t="shared" si="12"/>
        <v>0.9017857142857143</v>
      </c>
      <c r="AO19" s="194">
        <f t="shared" si="12"/>
        <v>0.90208333333333335</v>
      </c>
      <c r="AP19" s="194">
        <f t="shared" si="12"/>
        <v>0.90238095238095239</v>
      </c>
      <c r="AQ19" s="194">
        <f t="shared" si="12"/>
        <v>0.90267857142857144</v>
      </c>
      <c r="AR19" s="194">
        <f t="shared" si="12"/>
        <v>0.90297619047619049</v>
      </c>
      <c r="AS19" s="194">
        <f t="shared" si="12"/>
        <v>0.90327380952380953</v>
      </c>
      <c r="AT19" s="194">
        <f t="shared" si="12"/>
        <v>0.90357142857142858</v>
      </c>
      <c r="AU19" s="194">
        <f t="shared" si="12"/>
        <v>0.90386904761904763</v>
      </c>
      <c r="AV19" s="194">
        <f t="shared" si="12"/>
        <v>0.90416666666666667</v>
      </c>
      <c r="AW19" s="194">
        <f t="shared" si="12"/>
        <v>0.90446428571428572</v>
      </c>
      <c r="AX19" s="194">
        <f t="shared" si="12"/>
        <v>0.90476190476190477</v>
      </c>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A286"/>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c r="W15" s="65"/>
      <c r="X15" s="65"/>
      <c r="AD15" s="65" t="s">
        <v>659</v>
      </c>
      <c r="AF15" s="65"/>
      <c r="AL15" s="65" t="s">
        <v>660</v>
      </c>
      <c r="AR15" s="236" t="s">
        <v>661</v>
      </c>
    </row>
    <row r="16" spans="5:44" x14ac:dyDescent="0.25">
      <c r="S16" s="65"/>
      <c r="V16"/>
      <c r="W16"/>
      <c r="X16"/>
      <c r="Y16"/>
      <c r="Z16"/>
      <c r="AA16"/>
      <c r="AB16"/>
      <c r="AD16" s="240">
        <v>2017</v>
      </c>
      <c r="AE16" s="240">
        <v>2020</v>
      </c>
      <c r="AF16" s="241">
        <v>2030</v>
      </c>
      <c r="AG16" s="241">
        <v>2040</v>
      </c>
      <c r="AH16" s="242">
        <v>2050</v>
      </c>
      <c r="AL16" s="240">
        <v>2010</v>
      </c>
      <c r="AM16" s="240">
        <v>2020</v>
      </c>
      <c r="AN16" s="241">
        <v>2030</v>
      </c>
      <c r="AO16" s="241">
        <v>2040</v>
      </c>
      <c r="AP16" s="242">
        <v>2050</v>
      </c>
    </row>
    <row r="17" spans="5:48" x14ac:dyDescent="0.25">
      <c r="R17" s="65"/>
      <c r="V17"/>
      <c r="W17"/>
      <c r="X17"/>
      <c r="Y17"/>
      <c r="Z17"/>
      <c r="AA17"/>
      <c r="AB17"/>
      <c r="AD17" s="245"/>
      <c r="AE17" s="245"/>
      <c r="AF17" s="245"/>
      <c r="AG17" s="245"/>
      <c r="AH17" s="245"/>
    </row>
    <row r="18" spans="5:48" ht="30" x14ac:dyDescent="0.25">
      <c r="N18"/>
      <c r="O18"/>
      <c r="R18" s="246"/>
      <c r="S18" s="65"/>
      <c r="V18"/>
      <c r="W18"/>
      <c r="X18"/>
      <c r="Y18"/>
      <c r="Z18"/>
      <c r="AA18"/>
      <c r="AB18"/>
      <c r="AD18" s="988" t="s">
        <v>663</v>
      </c>
      <c r="AE18" s="988" t="s">
        <v>663</v>
      </c>
      <c r="AF18" s="988" t="s">
        <v>663</v>
      </c>
      <c r="AG18" s="988" t="s">
        <v>663</v>
      </c>
      <c r="AH18" s="988"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c r="W19"/>
      <c r="X19"/>
      <c r="Y19"/>
      <c r="Z19"/>
      <c r="AA19"/>
      <c r="AB19"/>
      <c r="AJ19" s="224" t="s">
        <v>676</v>
      </c>
      <c r="AK19" s="224" t="s">
        <v>677</v>
      </c>
      <c r="AR19" s="61">
        <f>AD16</f>
        <v>2017</v>
      </c>
      <c r="AS19" s="61">
        <f t="shared" ref="AS19:AV19" si="4">AE16</f>
        <v>2020</v>
      </c>
      <c r="AT19" s="61">
        <f t="shared" si="4"/>
        <v>2030</v>
      </c>
      <c r="AU19" s="61">
        <f t="shared" si="4"/>
        <v>2040</v>
      </c>
      <c r="AV19" s="61">
        <f t="shared" si="4"/>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0</v>
      </c>
      <c r="T20" s="255" t="s">
        <v>681</v>
      </c>
      <c r="U20" s="849" t="s">
        <v>680</v>
      </c>
      <c r="V20" s="992"/>
      <c r="W20" s="992"/>
      <c r="X20" s="992"/>
      <c r="Y20" s="992"/>
      <c r="Z20" s="992"/>
      <c r="AA20" s="992"/>
      <c r="AB20" s="992"/>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 t="shared" ref="AQ20:AQ51" si="5">P20&amp;"-"&amp;N20</f>
        <v>CAR-OGS</v>
      </c>
      <c r="AR20" s="80"/>
      <c r="AS20" s="80"/>
      <c r="AT20" s="80"/>
      <c r="AU20" s="80"/>
      <c r="AV20" s="80"/>
    </row>
    <row r="21" spans="5:48" x14ac:dyDescent="0.25">
      <c r="E21" s="61" t="s">
        <v>683</v>
      </c>
      <c r="F21" s="61" t="s">
        <v>684</v>
      </c>
      <c r="I21" s="251" t="s">
        <v>685</v>
      </c>
      <c r="N21" s="61" t="s">
        <v>506</v>
      </c>
      <c r="O21" s="61" t="s">
        <v>613</v>
      </c>
      <c r="P21" s="61" t="s">
        <v>555</v>
      </c>
      <c r="Q21" s="61" t="str">
        <f t="shared" ref="Q21:Q90" si="6">RIGHT(P21,3)</f>
        <v>CAR</v>
      </c>
      <c r="R21" s="61" t="s">
        <v>680</v>
      </c>
      <c r="T21" s="255" t="s">
        <v>681</v>
      </c>
      <c r="U21" s="849" t="s">
        <v>680</v>
      </c>
      <c r="V21" s="993" t="s">
        <v>1411</v>
      </c>
      <c r="W21" s="992"/>
      <c r="X21" s="992"/>
      <c r="Y21" s="992"/>
      <c r="Z21" s="992"/>
      <c r="AA21" s="992"/>
      <c r="AB21" s="992"/>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90" si="8">-((AD21-AE21)/($AE$16-$AD$16))/AD21</f>
        <v>-4.9750416666666797E-3</v>
      </c>
      <c r="AK21" s="256">
        <f t="shared" ref="AK21:AK90" si="9">-((AE21-AH21)/($AH$16-$AE$16))/AE21</f>
        <v>-8.0468874575124021E-3</v>
      </c>
      <c r="AQ21" s="61" t="str">
        <f t="shared" si="5"/>
        <v>CAR-BGS</v>
      </c>
      <c r="AR21" s="80"/>
      <c r="AS21" s="80"/>
      <c r="AT21" s="80"/>
      <c r="AU21" s="80"/>
      <c r="AV21" s="80"/>
    </row>
    <row r="22" spans="5:48" x14ac:dyDescent="0.25">
      <c r="E22" s="61" t="s">
        <v>686</v>
      </c>
      <c r="F22" s="61">
        <v>1.6</v>
      </c>
      <c r="N22" s="61" t="s">
        <v>511</v>
      </c>
      <c r="O22" s="61" t="s">
        <v>613</v>
      </c>
      <c r="P22" s="61" t="s">
        <v>555</v>
      </c>
      <c r="Q22" s="61" t="str">
        <f t="shared" si="6"/>
        <v>CAR</v>
      </c>
      <c r="R22" s="61" t="s">
        <v>680</v>
      </c>
      <c r="T22" s="255" t="s">
        <v>681</v>
      </c>
      <c r="U22" s="849" t="s">
        <v>687</v>
      </c>
      <c r="V22" s="992"/>
      <c r="W22" s="992"/>
      <c r="X22" s="992"/>
      <c r="Y22" s="992"/>
      <c r="Z22" s="992"/>
      <c r="AA22" s="992"/>
      <c r="AB22" s="992"/>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5"/>
        <v>CAR-ODS</v>
      </c>
      <c r="AR22" s="80"/>
      <c r="AS22" s="80"/>
      <c r="AT22" s="80"/>
      <c r="AU22" s="80"/>
      <c r="AV22" s="80"/>
    </row>
    <row r="23" spans="5:48" x14ac:dyDescent="0.25">
      <c r="N23" s="61" t="s">
        <v>519</v>
      </c>
      <c r="O23" s="61" t="s">
        <v>613</v>
      </c>
      <c r="P23" s="61" t="s">
        <v>555</v>
      </c>
      <c r="Q23" s="61" t="str">
        <f t="shared" si="6"/>
        <v>CAR</v>
      </c>
      <c r="R23" s="61" t="s">
        <v>680</v>
      </c>
      <c r="S23" s="65"/>
      <c r="T23" s="255" t="s">
        <v>681</v>
      </c>
      <c r="U23" s="849" t="s">
        <v>688</v>
      </c>
      <c r="V23" s="992"/>
      <c r="W23" s="992"/>
      <c r="X23" s="992"/>
      <c r="Y23" s="992"/>
      <c r="Z23" s="992"/>
      <c r="AA23" s="992"/>
      <c r="AB23" s="992"/>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5"/>
        <v>CAR-OGSH</v>
      </c>
      <c r="AR23" s="80"/>
      <c r="AS23" s="80"/>
      <c r="AT23" s="80"/>
      <c r="AU23" s="80"/>
      <c r="AV23" s="80"/>
    </row>
    <row r="24" spans="5:48" x14ac:dyDescent="0.25">
      <c r="N24" s="61" t="s">
        <v>521</v>
      </c>
      <c r="O24" s="61" t="s">
        <v>613</v>
      </c>
      <c r="P24" s="61" t="s">
        <v>555</v>
      </c>
      <c r="Q24" s="61" t="str">
        <f t="shared" si="6"/>
        <v>CAR</v>
      </c>
      <c r="R24" s="61" t="s">
        <v>680</v>
      </c>
      <c r="S24" s="65"/>
      <c r="T24" s="255" t="s">
        <v>681</v>
      </c>
      <c r="U24" s="849" t="s">
        <v>689</v>
      </c>
      <c r="V24" s="992"/>
      <c r="W24" s="992"/>
      <c r="X24" s="992"/>
      <c r="Y24" s="992"/>
      <c r="Z24" s="992"/>
      <c r="AA24" s="992"/>
      <c r="AB24" s="992"/>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5"/>
        <v>CAR-ODSH</v>
      </c>
      <c r="AR24" s="80"/>
      <c r="AS24" s="80"/>
      <c r="AT24" s="80"/>
      <c r="AU24" s="80"/>
      <c r="AV24" s="80"/>
    </row>
    <row r="25" spans="5:48" x14ac:dyDescent="0.25">
      <c r="H25" s="61">
        <v>2018</v>
      </c>
      <c r="I25" s="61">
        <v>2020</v>
      </c>
      <c r="N25" s="61" t="s">
        <v>690</v>
      </c>
      <c r="O25" s="61" t="s">
        <v>613</v>
      </c>
      <c r="P25" s="61" t="s">
        <v>555</v>
      </c>
      <c r="Q25" s="61" t="str">
        <f t="shared" si="6"/>
        <v>CAR</v>
      </c>
      <c r="R25" s="61" t="s">
        <v>680</v>
      </c>
      <c r="S25" s="65"/>
      <c r="T25" s="255" t="s">
        <v>681</v>
      </c>
      <c r="U25" s="849" t="s">
        <v>691</v>
      </c>
      <c r="V25" s="992"/>
      <c r="W25" s="992"/>
      <c r="X25" s="992"/>
      <c r="Y25" s="992"/>
      <c r="Z25" s="992"/>
      <c r="AA25" s="992"/>
      <c r="AB25" s="992"/>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5"/>
        <v>CAR-OGSP</v>
      </c>
      <c r="AR25" s="80"/>
      <c r="AS25" s="80"/>
      <c r="AT25" s="80"/>
      <c r="AU25" s="80"/>
      <c r="AV25" s="80"/>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849" t="s">
        <v>695</v>
      </c>
      <c r="V26" s="992"/>
      <c r="W26" s="992"/>
      <c r="X26" s="992"/>
      <c r="Y26" s="992"/>
      <c r="Z26" s="992"/>
      <c r="AA26" s="992"/>
      <c r="AB26" s="992"/>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5"/>
        <v>CAR-ODSP</v>
      </c>
      <c r="AR26" s="80"/>
      <c r="AS26" s="80"/>
      <c r="AT26" s="80"/>
      <c r="AU26" s="80"/>
      <c r="AV26" s="80"/>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0</v>
      </c>
      <c r="T27" s="255" t="s">
        <v>681</v>
      </c>
      <c r="U27" s="849" t="s">
        <v>692</v>
      </c>
      <c r="V27" s="992"/>
      <c r="W27" s="992"/>
      <c r="X27" s="992"/>
      <c r="Y27" s="992"/>
      <c r="Z27" s="992"/>
      <c r="AA27" s="992"/>
      <c r="AB27" s="992"/>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INDEX($N$278:$W$278,,MATCH(AL$16,$N$275:$W$275,0))</f>
        <v>#N/A</v>
      </c>
      <c r="AM27" s="67">
        <f>INDEX($N$278:$W$278,,MATCH(AM$16,$N$275:$W$275,0))</f>
        <v>1</v>
      </c>
      <c r="AN27" s="67">
        <f>INDEX($N$278:$W$278,,MATCH(AN$16,$N$275:$W$275,0))</f>
        <v>1</v>
      </c>
      <c r="AO27" s="67">
        <f>INDEX($N$278:$W$278,,MATCH(AO$16,$N$275:$W$275,0))</f>
        <v>1</v>
      </c>
      <c r="AP27" s="67">
        <f>INDEX($N$278:$W$278,,MATCH(AP$16,$N$275:$W$275,0))</f>
        <v>1</v>
      </c>
      <c r="AQ27" s="61" t="str">
        <f t="shared" si="5"/>
        <v>CAR-ELC</v>
      </c>
      <c r="AR27" s="80"/>
      <c r="AS27" s="80"/>
      <c r="AT27" s="80"/>
      <c r="AU27" s="80"/>
      <c r="AV27" s="80"/>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849" t="s">
        <v>699</v>
      </c>
      <c r="V28" s="992"/>
      <c r="W28" s="992"/>
      <c r="X28" s="992"/>
      <c r="Y28" s="992"/>
      <c r="Z28" s="992"/>
      <c r="AA28" s="992"/>
      <c r="AB28" s="992"/>
      <c r="AC28" s="103" t="str">
        <f t="shared" ref="AC28:AC92" si="10">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5"/>
        <v>CAR-HGN</v>
      </c>
      <c r="AR28" s="80"/>
      <c r="AS28" s="80"/>
      <c r="AT28" s="80"/>
      <c r="AU28" s="80"/>
      <c r="AV28" s="80"/>
    </row>
    <row r="29" spans="5:48" x14ac:dyDescent="0.25">
      <c r="N29" s="61" t="s">
        <v>509</v>
      </c>
      <c r="O29" s="61" t="s">
        <v>613</v>
      </c>
      <c r="P29" s="61" t="s">
        <v>555</v>
      </c>
      <c r="Q29" s="61" t="str">
        <f t="shared" si="6"/>
        <v>CAR</v>
      </c>
      <c r="R29" s="61" t="s">
        <v>680</v>
      </c>
      <c r="S29" s="65"/>
      <c r="T29" s="255" t="s">
        <v>681</v>
      </c>
      <c r="U29" s="849" t="s">
        <v>700</v>
      </c>
      <c r="V29" s="992"/>
      <c r="W29" s="992"/>
      <c r="X29" s="992"/>
      <c r="Y29" s="992"/>
      <c r="Z29" s="992"/>
      <c r="AA29" s="992"/>
      <c r="AB29" s="992"/>
      <c r="AC29" s="103" t="str">
        <f t="shared" si="10"/>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5"/>
        <v>CAR-GAS</v>
      </c>
      <c r="AR29" s="80"/>
      <c r="AS29" s="80"/>
      <c r="AT29" s="80"/>
      <c r="AU29" s="80"/>
      <c r="AV29" s="80"/>
    </row>
    <row r="30" spans="5:48" x14ac:dyDescent="0.25">
      <c r="O30" s="61" t="s">
        <v>613</v>
      </c>
      <c r="Q30" s="61" t="str">
        <f t="shared" si="6"/>
        <v/>
      </c>
      <c r="S30" s="65"/>
      <c r="T30" s="255"/>
      <c r="V30" s="992"/>
      <c r="W30" s="992"/>
      <c r="X30" s="992"/>
      <c r="Y30" s="992"/>
      <c r="Z30" s="992"/>
      <c r="AA30" s="992"/>
      <c r="AB30" s="992"/>
      <c r="AC30" s="103" t="str">
        <f t="shared" si="10"/>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5"/>
        <v>-</v>
      </c>
      <c r="AR30" s="80"/>
      <c r="AS30" s="80"/>
      <c r="AT30" s="80"/>
      <c r="AU30" s="80"/>
      <c r="AV30" s="80"/>
    </row>
    <row r="31" spans="5:48" x14ac:dyDescent="0.25">
      <c r="N31" s="61" t="s">
        <v>573</v>
      </c>
      <c r="O31" s="61" t="s">
        <v>613</v>
      </c>
      <c r="P31" s="61" t="s">
        <v>460</v>
      </c>
      <c r="Q31" s="61" t="str">
        <f t="shared" si="6"/>
        <v>SUV</v>
      </c>
      <c r="R31" s="61" t="s">
        <v>680</v>
      </c>
      <c r="S31" s="65"/>
      <c r="T31" s="255" t="s">
        <v>701</v>
      </c>
      <c r="U31" s="849" t="s">
        <v>680</v>
      </c>
      <c r="V31" s="992"/>
      <c r="W31" s="992"/>
      <c r="X31" s="992"/>
      <c r="Y31" s="992"/>
      <c r="Z31" s="992"/>
      <c r="AA31" s="992"/>
      <c r="AB31" s="992"/>
      <c r="AC31" s="103" t="str">
        <f t="shared" si="10"/>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5"/>
        <v>SUV-OGS</v>
      </c>
      <c r="AR31" s="80"/>
      <c r="AS31" s="80"/>
      <c r="AT31" s="80"/>
      <c r="AU31" s="80"/>
      <c r="AV31" s="80"/>
    </row>
    <row r="32" spans="5:48" x14ac:dyDescent="0.25">
      <c r="N32" s="61" t="s">
        <v>519</v>
      </c>
      <c r="O32" s="61" t="s">
        <v>613</v>
      </c>
      <c r="P32" s="61" t="s">
        <v>460</v>
      </c>
      <c r="Q32" s="61" t="str">
        <f t="shared" si="6"/>
        <v>SUV</v>
      </c>
      <c r="R32" s="61" t="s">
        <v>680</v>
      </c>
      <c r="S32" s="65"/>
      <c r="T32" s="255" t="s">
        <v>701</v>
      </c>
      <c r="U32" s="849" t="s">
        <v>688</v>
      </c>
      <c r="V32" s="992"/>
      <c r="W32" s="992"/>
      <c r="X32" s="992"/>
      <c r="Y32" s="992"/>
      <c r="Z32" s="992"/>
      <c r="AA32" s="992"/>
      <c r="AB32" s="992"/>
      <c r="AC32" s="103" t="str">
        <f t="shared" si="10"/>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5"/>
        <v>SUV-OGSH</v>
      </c>
      <c r="AR32" s="80"/>
      <c r="AS32" s="80"/>
      <c r="AT32" s="80"/>
      <c r="AU32" s="80"/>
      <c r="AV32" s="80"/>
    </row>
    <row r="33" spans="1:48" x14ac:dyDescent="0.25">
      <c r="N33" s="61" t="s">
        <v>506</v>
      </c>
      <c r="O33" s="61" t="s">
        <v>613</v>
      </c>
      <c r="P33" s="61" t="s">
        <v>460</v>
      </c>
      <c r="Q33" s="61" t="str">
        <f t="shared" si="6"/>
        <v>SUV</v>
      </c>
      <c r="R33" s="61" t="s">
        <v>680</v>
      </c>
      <c r="S33" s="65"/>
      <c r="T33" s="255" t="s">
        <v>701</v>
      </c>
      <c r="U33" s="849" t="s">
        <v>680</v>
      </c>
      <c r="V33" s="992"/>
      <c r="W33" s="992"/>
      <c r="X33" s="992"/>
      <c r="Y33" s="992"/>
      <c r="Z33" s="992"/>
      <c r="AA33" s="992"/>
      <c r="AB33" s="992"/>
      <c r="AC33" s="103" t="str">
        <f t="shared" si="10"/>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5"/>
        <v>SUV-BGS</v>
      </c>
      <c r="AR33" s="80"/>
      <c r="AS33" s="80"/>
      <c r="AT33" s="80"/>
      <c r="AU33" s="80"/>
      <c r="AV33" s="80"/>
    </row>
    <row r="34" spans="1:48" x14ac:dyDescent="0.25">
      <c r="N34" s="61" t="s">
        <v>511</v>
      </c>
      <c r="O34" s="61" t="s">
        <v>613</v>
      </c>
      <c r="P34" s="61" t="s">
        <v>460</v>
      </c>
      <c r="Q34" s="61" t="str">
        <f t="shared" si="6"/>
        <v>SUV</v>
      </c>
      <c r="R34" s="61" t="s">
        <v>680</v>
      </c>
      <c r="S34" s="65"/>
      <c r="T34" s="255" t="s">
        <v>701</v>
      </c>
      <c r="U34" s="849" t="s">
        <v>687</v>
      </c>
      <c r="V34" s="992"/>
      <c r="W34" s="992"/>
      <c r="X34" s="992"/>
      <c r="Y34" s="992"/>
      <c r="Z34" s="992"/>
      <c r="AA34" s="992"/>
      <c r="AB34" s="992"/>
      <c r="AC34" s="103" t="str">
        <f t="shared" si="10"/>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5"/>
        <v>SUV-ODS</v>
      </c>
      <c r="AR34" s="80"/>
      <c r="AS34" s="80"/>
      <c r="AT34" s="80"/>
      <c r="AU34" s="80"/>
      <c r="AV34" s="80"/>
    </row>
    <row r="35" spans="1:48" x14ac:dyDescent="0.25">
      <c r="J35" s="254"/>
      <c r="N35" s="61" t="s">
        <v>521</v>
      </c>
      <c r="O35" s="61" t="s">
        <v>613</v>
      </c>
      <c r="P35" s="61" t="s">
        <v>460</v>
      </c>
      <c r="Q35" s="61" t="str">
        <f t="shared" si="6"/>
        <v>SUV</v>
      </c>
      <c r="R35" s="61" t="s">
        <v>680</v>
      </c>
      <c r="S35" s="65"/>
      <c r="T35" s="255" t="s">
        <v>701</v>
      </c>
      <c r="U35" s="849" t="s">
        <v>689</v>
      </c>
      <c r="V35" s="992"/>
      <c r="W35" s="992"/>
      <c r="X35" s="992"/>
      <c r="Y35" s="992"/>
      <c r="Z35" s="992"/>
      <c r="AA35" s="992"/>
      <c r="AB35" s="992"/>
      <c r="AC35" s="103" t="str">
        <f t="shared" si="10"/>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5"/>
        <v>SUV-ODSH</v>
      </c>
      <c r="AR35" s="80"/>
      <c r="AS35" s="80"/>
      <c r="AT35" s="80"/>
      <c r="AU35" s="80"/>
      <c r="AV35" s="80"/>
    </row>
    <row r="36" spans="1:48" x14ac:dyDescent="0.25">
      <c r="N36" s="61" t="s">
        <v>501</v>
      </c>
      <c r="O36" s="61" t="s">
        <v>613</v>
      </c>
      <c r="P36" s="61" t="s">
        <v>460</v>
      </c>
      <c r="Q36" s="61" t="str">
        <f t="shared" si="6"/>
        <v>SUV</v>
      </c>
      <c r="R36" s="61" t="s">
        <v>680</v>
      </c>
      <c r="S36" s="65"/>
      <c r="T36" s="255" t="s">
        <v>701</v>
      </c>
      <c r="U36" s="849" t="s">
        <v>692</v>
      </c>
      <c r="V36" s="992"/>
      <c r="W36" s="992"/>
      <c r="X36" s="992"/>
      <c r="Y36" s="992"/>
      <c r="Z36" s="992"/>
      <c r="AA36" s="992"/>
      <c r="AB36" s="992"/>
      <c r="AC36" s="103" t="str">
        <f t="shared" si="10"/>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5"/>
        <v>SUV-ELC</v>
      </c>
      <c r="AR36" s="80"/>
      <c r="AS36" s="80"/>
      <c r="AT36" s="80"/>
      <c r="AU36" s="80"/>
      <c r="AV36" s="80"/>
    </row>
    <row r="37" spans="1:48" x14ac:dyDescent="0.25">
      <c r="N37" s="61" t="s">
        <v>504</v>
      </c>
      <c r="O37" s="61" t="s">
        <v>613</v>
      </c>
      <c r="P37" s="61" t="s">
        <v>460</v>
      </c>
      <c r="Q37" s="61" t="str">
        <f t="shared" si="6"/>
        <v>SUV</v>
      </c>
      <c r="R37" s="61" t="s">
        <v>680</v>
      </c>
      <c r="S37" s="65"/>
      <c r="T37" s="255" t="s">
        <v>701</v>
      </c>
      <c r="U37" s="849" t="s">
        <v>699</v>
      </c>
      <c r="V37" s="992"/>
      <c r="W37" s="992"/>
      <c r="X37" s="992"/>
      <c r="Y37" s="992"/>
      <c r="Z37" s="992"/>
      <c r="AA37" s="992"/>
      <c r="AB37" s="992"/>
      <c r="AC37" s="103" t="str">
        <f t="shared" si="10"/>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5"/>
        <v>SUV-HGN</v>
      </c>
      <c r="AR37" s="80"/>
      <c r="AS37" s="80"/>
      <c r="AT37" s="80"/>
      <c r="AU37" s="80"/>
      <c r="AV37" s="80"/>
    </row>
    <row r="38" spans="1:48" x14ac:dyDescent="0.25">
      <c r="A38" s="65" t="s">
        <v>617</v>
      </c>
      <c r="C38" s="65" t="s">
        <v>702</v>
      </c>
      <c r="N38" s="61" t="s">
        <v>509</v>
      </c>
      <c r="O38" s="61" t="s">
        <v>613</v>
      </c>
      <c r="P38" s="61" t="s">
        <v>460</v>
      </c>
      <c r="Q38" s="61" t="str">
        <f t="shared" si="6"/>
        <v>SUV</v>
      </c>
      <c r="R38" s="61" t="s">
        <v>680</v>
      </c>
      <c r="S38" s="65"/>
      <c r="T38" s="255" t="s">
        <v>701</v>
      </c>
      <c r="U38" s="849" t="s">
        <v>700</v>
      </c>
      <c r="V38" s="992"/>
      <c r="W38" s="992"/>
      <c r="X38" s="992"/>
      <c r="Y38" s="992"/>
      <c r="Z38" s="992"/>
      <c r="AA38" s="992"/>
      <c r="AB38" s="992"/>
      <c r="AC38" s="103" t="str">
        <f t="shared" si="10"/>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5"/>
        <v>SUV-GAS</v>
      </c>
      <c r="AR38" s="80"/>
      <c r="AS38" s="80"/>
      <c r="AT38" s="80"/>
      <c r="AU38" s="80"/>
      <c r="AV38" s="80"/>
    </row>
    <row r="39" spans="1:48" x14ac:dyDescent="0.25">
      <c r="A39" s="65"/>
      <c r="C39" s="65"/>
      <c r="O39" s="61" t="s">
        <v>613</v>
      </c>
      <c r="Q39" s="61" t="str">
        <f t="shared" si="6"/>
        <v/>
      </c>
      <c r="S39" s="65"/>
      <c r="T39" s="255"/>
      <c r="U39" s="849"/>
      <c r="V39" s="992"/>
      <c r="W39" s="992"/>
      <c r="X39" s="992"/>
      <c r="Y39" s="992"/>
      <c r="Z39" s="992"/>
      <c r="AA39" s="992"/>
      <c r="AB39" s="992"/>
      <c r="AC39" s="103" t="str">
        <f t="shared" si="10"/>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5"/>
        <v>-</v>
      </c>
      <c r="AR39" s="80"/>
      <c r="AS39" s="80"/>
      <c r="AT39" s="80"/>
      <c r="AU39" s="80"/>
      <c r="AV39" s="80"/>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849" t="s">
        <v>680</v>
      </c>
      <c r="V40" s="992"/>
      <c r="W40" s="992"/>
      <c r="X40" s="992"/>
      <c r="Y40" s="992"/>
      <c r="Z40" s="992"/>
      <c r="AA40" s="992"/>
      <c r="AB40" s="992"/>
      <c r="AC40" s="103" t="str">
        <f t="shared" si="10"/>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5"/>
        <v>MBT-OGS</v>
      </c>
      <c r="AR40" s="80"/>
      <c r="AS40" s="80"/>
      <c r="AT40" s="80"/>
      <c r="AU40" s="80"/>
      <c r="AV40" s="80"/>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849" t="s">
        <v>680</v>
      </c>
      <c r="V41" s="992"/>
      <c r="W41" s="992"/>
      <c r="X41" s="992"/>
      <c r="Y41" s="992"/>
      <c r="Z41" s="992"/>
      <c r="AA41" s="992"/>
      <c r="AB41" s="992"/>
      <c r="AC41" s="103" t="str">
        <f t="shared" si="10"/>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5"/>
        <v>MBT-BGS</v>
      </c>
      <c r="AR41" s="80"/>
      <c r="AS41" s="80"/>
      <c r="AT41" s="80"/>
      <c r="AU41" s="80"/>
      <c r="AV41" s="80"/>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849" t="s">
        <v>687</v>
      </c>
      <c r="V42" s="992"/>
      <c r="W42" s="992"/>
      <c r="X42" s="992"/>
      <c r="Y42" s="992"/>
      <c r="Z42" s="992"/>
      <c r="AA42" s="992"/>
      <c r="AB42" s="992"/>
      <c r="AC42" s="103" t="str">
        <f t="shared" si="10"/>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5"/>
        <v>MBT-ODS</v>
      </c>
      <c r="AR42" s="80"/>
      <c r="AS42" s="80"/>
      <c r="AT42" s="80"/>
      <c r="AU42" s="80"/>
      <c r="AV42" s="80"/>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849" t="s">
        <v>692</v>
      </c>
      <c r="V43" s="992"/>
      <c r="W43" s="992"/>
      <c r="X43" s="992"/>
      <c r="Y43" s="992"/>
      <c r="Z43" s="992"/>
      <c r="AA43" s="992"/>
      <c r="AB43" s="992"/>
      <c r="AC43" s="103" t="str">
        <f t="shared" si="10"/>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5"/>
        <v>MBT-ELC</v>
      </c>
      <c r="AR43" s="80"/>
      <c r="AS43" s="80"/>
      <c r="AT43" s="80"/>
      <c r="AU43" s="80"/>
      <c r="AV43" s="80"/>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849" t="s">
        <v>699</v>
      </c>
      <c r="V44" s="992"/>
      <c r="W44" s="992"/>
      <c r="X44" s="992"/>
      <c r="Y44" s="992"/>
      <c r="Z44" s="992"/>
      <c r="AA44" s="992"/>
      <c r="AB44" s="992"/>
      <c r="AC44" s="103" t="str">
        <f t="shared" si="10"/>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5"/>
        <v>MBT-HGN</v>
      </c>
      <c r="AR44" s="80"/>
      <c r="AS44" s="80"/>
      <c r="AT44" s="80"/>
      <c r="AU44" s="80"/>
      <c r="AV44" s="80"/>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849" t="s">
        <v>700</v>
      </c>
      <c r="V45" s="992"/>
      <c r="W45" s="992"/>
      <c r="X45" s="992"/>
      <c r="Y45" s="992"/>
      <c r="Z45" s="992"/>
      <c r="AA45" s="992"/>
      <c r="AB45" s="992"/>
      <c r="AC45" s="103" t="str">
        <f t="shared" si="10"/>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5"/>
        <v>MBT-GAS</v>
      </c>
      <c r="AR45" s="80"/>
      <c r="AS45" s="80"/>
      <c r="AT45" s="80"/>
      <c r="AU45" s="80"/>
      <c r="AV45" s="80"/>
    </row>
    <row r="46" spans="1:48" x14ac:dyDescent="0.25">
      <c r="C46" s="177" t="s">
        <v>704</v>
      </c>
      <c r="D46" s="61" t="s">
        <v>713</v>
      </c>
      <c r="E46" s="61" t="s">
        <v>706</v>
      </c>
      <c r="F46" s="61">
        <v>5840</v>
      </c>
      <c r="O46" s="61" t="s">
        <v>613</v>
      </c>
      <c r="Q46" s="61" t="str">
        <f t="shared" si="6"/>
        <v/>
      </c>
      <c r="S46" s="65"/>
      <c r="T46" s="255"/>
      <c r="U46" s="259"/>
      <c r="V46" s="992"/>
      <c r="W46" s="992"/>
      <c r="X46" s="992"/>
      <c r="Y46" s="992"/>
      <c r="Z46" s="992"/>
      <c r="AA46" s="992"/>
      <c r="AB46" s="992"/>
      <c r="AC46" s="103" t="str">
        <f t="shared" si="10"/>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5"/>
        <v>-</v>
      </c>
      <c r="AR46" s="80"/>
      <c r="AS46" s="80"/>
      <c r="AT46" s="80"/>
      <c r="AU46" s="80"/>
      <c r="AV46" s="80"/>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849" t="s">
        <v>680</v>
      </c>
      <c r="V47" s="992"/>
      <c r="W47" s="992"/>
      <c r="X47" s="992"/>
      <c r="Y47" s="992"/>
      <c r="Z47" s="992"/>
      <c r="AA47" s="992"/>
      <c r="AB47" s="992"/>
      <c r="AC47" s="103" t="str">
        <f t="shared" si="10"/>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5"/>
        <v>MOT-OGS</v>
      </c>
      <c r="AR47" s="80"/>
      <c r="AS47" s="80"/>
      <c r="AT47" s="80"/>
      <c r="AU47" s="80"/>
      <c r="AV47" s="80"/>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849" t="s">
        <v>688</v>
      </c>
      <c r="V48" s="992"/>
      <c r="W48" s="992"/>
      <c r="X48" s="992"/>
      <c r="Y48" s="992"/>
      <c r="Z48" s="992"/>
      <c r="AA48" s="992"/>
      <c r="AB48" s="992"/>
      <c r="AC48" s="103" t="str">
        <f t="shared" si="10"/>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5"/>
        <v>MOT-ODS</v>
      </c>
      <c r="AR48" s="80"/>
      <c r="AS48" s="80"/>
      <c r="AT48" s="80"/>
      <c r="AU48" s="80"/>
      <c r="AV48" s="80"/>
    </row>
    <row r="49" spans="1:53" x14ac:dyDescent="0.25">
      <c r="C49" s="177"/>
      <c r="N49" s="61" t="s">
        <v>501</v>
      </c>
      <c r="O49" s="61" t="s">
        <v>613</v>
      </c>
      <c r="P49" s="61" t="s">
        <v>714</v>
      </c>
      <c r="Q49" s="61" t="str">
        <f t="shared" si="6"/>
        <v>MOT</v>
      </c>
      <c r="R49" s="61" t="s">
        <v>680</v>
      </c>
      <c r="S49"/>
      <c r="T49" s="255" t="s">
        <v>715</v>
      </c>
      <c r="U49" s="849" t="s">
        <v>692</v>
      </c>
      <c r="V49" s="992"/>
      <c r="W49" s="992"/>
      <c r="X49" s="992"/>
      <c r="Y49" s="992"/>
      <c r="Z49" s="992"/>
      <c r="AA49" s="992"/>
      <c r="AB49" s="992"/>
      <c r="AC49" s="103" t="str">
        <f t="shared" si="10"/>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5"/>
        <v>MOT-ELC</v>
      </c>
      <c r="AR49" s="80"/>
      <c r="AS49" s="80"/>
      <c r="AT49" s="80"/>
      <c r="AU49" s="80"/>
      <c r="AV49" s="80"/>
    </row>
    <row r="50" spans="1:53" x14ac:dyDescent="0.25">
      <c r="C50" s="177"/>
      <c r="N50" s="61" t="s">
        <v>504</v>
      </c>
      <c r="O50" s="61" t="s">
        <v>613</v>
      </c>
      <c r="P50" s="61" t="s">
        <v>714</v>
      </c>
      <c r="Q50" s="61" t="str">
        <f t="shared" si="6"/>
        <v>MOT</v>
      </c>
      <c r="R50" s="61" t="s">
        <v>680</v>
      </c>
      <c r="S50"/>
      <c r="T50" s="255" t="s">
        <v>715</v>
      </c>
      <c r="U50" s="849" t="s">
        <v>699</v>
      </c>
      <c r="V50" s="992"/>
      <c r="W50" s="992"/>
      <c r="X50" s="992"/>
      <c r="Y50" s="992"/>
      <c r="Z50" s="992"/>
      <c r="AA50" s="992"/>
      <c r="AB50" s="992"/>
      <c r="AC50" s="103" t="str">
        <f t="shared" si="10"/>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5"/>
        <v>MOT-HGN</v>
      </c>
      <c r="AR50" s="80"/>
      <c r="AS50" s="80"/>
      <c r="AT50" s="80"/>
      <c r="AU50" s="80"/>
      <c r="AV50" s="80"/>
    </row>
    <row r="51" spans="1:53" x14ac:dyDescent="0.25">
      <c r="C51" s="177" t="s">
        <v>711</v>
      </c>
      <c r="D51" s="61" t="s">
        <v>713</v>
      </c>
      <c r="E51" s="61" t="s">
        <v>706</v>
      </c>
      <c r="F51" s="61">
        <v>8850</v>
      </c>
      <c r="O51" s="61" t="s">
        <v>613</v>
      </c>
      <c r="Q51" s="61" t="str">
        <f t="shared" si="6"/>
        <v/>
      </c>
      <c r="S51"/>
      <c r="T51" s="255"/>
      <c r="U51" s="259"/>
      <c r="V51" s="992"/>
      <c r="W51" s="992"/>
      <c r="X51" s="992"/>
      <c r="Y51" s="992"/>
      <c r="Z51" s="992"/>
      <c r="AA51" s="992"/>
      <c r="AB51" s="992"/>
      <c r="AC51" s="103" t="str">
        <f t="shared" si="10"/>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5"/>
        <v>-</v>
      </c>
      <c r="AR51" s="80"/>
      <c r="AS51" s="80"/>
      <c r="AT51" s="80"/>
      <c r="AU51" s="80"/>
      <c r="AV51" s="80"/>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849" t="s">
        <v>687</v>
      </c>
      <c r="V52" s="992"/>
      <c r="W52" s="992"/>
      <c r="X52" s="992"/>
      <c r="Y52" s="992"/>
      <c r="Z52" s="992"/>
      <c r="AA52" s="992"/>
      <c r="AB52" s="992"/>
      <c r="AC52" s="103" t="str">
        <f t="shared" si="10"/>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ref="AQ52:AQ83" si="11">P52&amp;"-"&amp;N52</f>
        <v>BUS-ODS</v>
      </c>
      <c r="AR52" s="80"/>
      <c r="AS52" s="80"/>
      <c r="AT52" s="80"/>
      <c r="AU52" s="80"/>
      <c r="AV52" s="80"/>
    </row>
    <row r="53" spans="1:53" x14ac:dyDescent="0.25">
      <c r="C53" s="177"/>
      <c r="N53" s="61" t="s">
        <v>506</v>
      </c>
      <c r="O53" s="61" t="s">
        <v>613</v>
      </c>
      <c r="P53" s="61" t="s">
        <v>563</v>
      </c>
      <c r="Q53" s="61" t="str">
        <f t="shared" si="6"/>
        <v>BUS</v>
      </c>
      <c r="R53" s="61" t="s">
        <v>687</v>
      </c>
      <c r="S53"/>
      <c r="T53" s="255" t="s">
        <v>60</v>
      </c>
      <c r="U53" s="849" t="s">
        <v>687</v>
      </c>
      <c r="V53" s="992"/>
      <c r="W53" s="992"/>
      <c r="X53" s="992"/>
      <c r="Y53" s="992"/>
      <c r="Z53" s="992"/>
      <c r="AA53" s="992"/>
      <c r="AB53" s="992"/>
      <c r="AC53" s="103" t="str">
        <f t="shared" si="10"/>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1"/>
        <v>BUS-BGS</v>
      </c>
      <c r="AR53" s="80"/>
      <c r="AS53" s="80"/>
      <c r="AT53" s="80"/>
      <c r="AU53" s="80"/>
      <c r="AV53" s="80"/>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849" t="s">
        <v>692</v>
      </c>
      <c r="V54" s="992"/>
      <c r="W54" s="992"/>
      <c r="X54" s="992"/>
      <c r="Y54" s="992"/>
      <c r="Z54" s="992"/>
      <c r="AA54" s="992"/>
      <c r="AB54" s="992"/>
      <c r="AC54" s="103" t="str">
        <f t="shared" si="10"/>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1"/>
        <v>BUS-ELC</v>
      </c>
      <c r="AR54" s="80"/>
      <c r="AS54" s="80"/>
      <c r="AT54" s="80"/>
      <c r="AU54" s="80"/>
      <c r="AV54" s="80"/>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849" t="s">
        <v>699</v>
      </c>
      <c r="V55" s="992"/>
      <c r="W55" s="992"/>
      <c r="X55" s="992"/>
      <c r="Y55" s="992"/>
      <c r="Z55" s="992"/>
      <c r="AA55" s="992"/>
      <c r="AB55" s="992"/>
      <c r="AC55" s="103" t="str">
        <f t="shared" si="10"/>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1"/>
        <v>BUS-HGN</v>
      </c>
      <c r="AR55" s="80"/>
      <c r="AS55" s="80"/>
      <c r="AT55" s="80"/>
      <c r="AU55" s="80"/>
      <c r="AV55" s="80"/>
    </row>
    <row r="56" spans="1:53" x14ac:dyDescent="0.25">
      <c r="C56" s="177"/>
      <c r="N56" s="61" t="s">
        <v>509</v>
      </c>
      <c r="O56" s="61" t="s">
        <v>613</v>
      </c>
      <c r="P56" s="61" t="s">
        <v>563</v>
      </c>
      <c r="Q56" s="61" t="str">
        <f t="shared" si="6"/>
        <v>BUS</v>
      </c>
      <c r="R56" s="61" t="s">
        <v>687</v>
      </c>
      <c r="S56" s="65"/>
      <c r="T56" s="255" t="s">
        <v>60</v>
      </c>
      <c r="U56" s="849" t="s">
        <v>700</v>
      </c>
      <c r="V56" s="992"/>
      <c r="W56" s="992"/>
      <c r="X56" s="992"/>
      <c r="Y56" s="992"/>
      <c r="Z56" s="992"/>
      <c r="AA56" s="992"/>
      <c r="AB56" s="992"/>
      <c r="AC56" s="103" t="str">
        <f t="shared" si="10"/>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1"/>
        <v>BUS-GAS</v>
      </c>
      <c r="AR56" s="80"/>
      <c r="AS56" s="80"/>
      <c r="AT56" s="80"/>
      <c r="AU56" s="80"/>
      <c r="AV56" s="80"/>
    </row>
    <row r="57" spans="1:53" x14ac:dyDescent="0.25">
      <c r="D57" s="61">
        <v>2012</v>
      </c>
      <c r="Q57" s="61" t="str">
        <f t="shared" si="6"/>
        <v/>
      </c>
      <c r="S57" s="65"/>
      <c r="T57" s="255"/>
      <c r="U57" s="259"/>
      <c r="V57" s="992"/>
      <c r="W57" s="992"/>
      <c r="X57" s="992"/>
      <c r="Y57" s="992"/>
      <c r="Z57" s="992"/>
      <c r="AA57" s="992"/>
      <c r="AB57" s="992"/>
      <c r="AC57" s="103" t="str">
        <f t="shared" si="10"/>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1"/>
        <v>-</v>
      </c>
      <c r="AR57" s="80"/>
      <c r="AS57" s="80"/>
      <c r="AT57" s="80"/>
      <c r="AU57" s="80"/>
      <c r="AV57" s="80"/>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849" t="s">
        <v>687</v>
      </c>
      <c r="V58" s="992"/>
      <c r="W58" s="992"/>
      <c r="X58" s="992"/>
      <c r="Y58" s="992"/>
      <c r="Z58" s="992"/>
      <c r="AA58" s="992"/>
      <c r="AB58" s="992"/>
      <c r="AC58" s="103" t="str">
        <f t="shared" si="10"/>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1"/>
        <v>BRT-ODS</v>
      </c>
      <c r="AR58" s="80"/>
      <c r="AS58" s="80"/>
      <c r="AT58" s="80"/>
      <c r="AU58" s="80"/>
      <c r="AV58" s="80"/>
    </row>
    <row r="59" spans="1:53" x14ac:dyDescent="0.25">
      <c r="A59" s="260" t="s">
        <v>617</v>
      </c>
      <c r="B59" s="260" t="s">
        <v>719</v>
      </c>
      <c r="D59" s="7">
        <v>4742</v>
      </c>
      <c r="N59" s="61" t="s">
        <v>506</v>
      </c>
      <c r="O59" s="61" t="s">
        <v>613</v>
      </c>
      <c r="P59" s="61" t="s">
        <v>59</v>
      </c>
      <c r="Q59" s="61" t="str">
        <f t="shared" si="6"/>
        <v>BRT</v>
      </c>
      <c r="R59" s="61" t="s">
        <v>687</v>
      </c>
      <c r="S59"/>
      <c r="T59" s="255" t="s">
        <v>60</v>
      </c>
      <c r="U59" s="849" t="s">
        <v>687</v>
      </c>
      <c r="V59" s="992"/>
      <c r="W59" s="992"/>
      <c r="X59" s="992"/>
      <c r="Y59" s="992"/>
      <c r="Z59" s="992"/>
      <c r="AA59" s="992"/>
      <c r="AB59" s="992"/>
      <c r="AC59" s="103" t="str">
        <f t="shared" si="10"/>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1"/>
        <v>BRT-BGS</v>
      </c>
      <c r="AR59" s="80"/>
      <c r="AS59" s="80"/>
      <c r="AT59" s="80"/>
      <c r="AU59" s="80"/>
      <c r="AV59" s="80"/>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849" t="s">
        <v>692</v>
      </c>
      <c r="V60" s="992"/>
      <c r="W60" s="992"/>
      <c r="X60" s="992"/>
      <c r="Y60" s="992"/>
      <c r="Z60" s="992"/>
      <c r="AA60" s="992"/>
      <c r="AB60" s="992"/>
      <c r="AC60" s="103" t="str">
        <f t="shared" si="10"/>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1"/>
        <v>BRT-ELC</v>
      </c>
      <c r="AR60" s="80"/>
      <c r="AS60" s="80"/>
      <c r="AT60" s="80"/>
      <c r="AU60" s="80"/>
      <c r="AV60" s="80"/>
    </row>
    <row r="61" spans="1:53" x14ac:dyDescent="0.25">
      <c r="N61" s="61" t="s">
        <v>504</v>
      </c>
      <c r="O61" s="61" t="s">
        <v>613</v>
      </c>
      <c r="P61" s="61" t="s">
        <v>59</v>
      </c>
      <c r="Q61" s="61" t="str">
        <f t="shared" si="6"/>
        <v>BRT</v>
      </c>
      <c r="R61" s="61" t="s">
        <v>687</v>
      </c>
      <c r="S61" s="65"/>
      <c r="T61" s="255" t="s">
        <v>60</v>
      </c>
      <c r="U61" s="849" t="s">
        <v>699</v>
      </c>
      <c r="V61" s="992"/>
      <c r="W61" s="992"/>
      <c r="X61" s="992"/>
      <c r="Y61" s="992"/>
      <c r="Z61" s="992"/>
      <c r="AA61" s="992"/>
      <c r="AB61" s="992"/>
      <c r="AC61" s="103" t="str">
        <f t="shared" si="10"/>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1"/>
        <v>BRT-HGN</v>
      </c>
      <c r="AR61" s="80"/>
      <c r="AS61" s="80"/>
      <c r="AT61" s="80"/>
      <c r="AU61" s="80"/>
      <c r="AV61" s="80"/>
    </row>
    <row r="62" spans="1:53" x14ac:dyDescent="0.25">
      <c r="N62" s="61" t="s">
        <v>509</v>
      </c>
      <c r="O62" s="61" t="s">
        <v>613</v>
      </c>
      <c r="P62" s="61" t="s">
        <v>59</v>
      </c>
      <c r="Q62" s="61" t="str">
        <f t="shared" si="6"/>
        <v>BRT</v>
      </c>
      <c r="R62" s="61" t="s">
        <v>687</v>
      </c>
      <c r="S62" s="65"/>
      <c r="T62" s="255" t="s">
        <v>60</v>
      </c>
      <c r="U62" s="849" t="s">
        <v>700</v>
      </c>
      <c r="V62" s="992"/>
      <c r="W62" s="992"/>
      <c r="X62" s="992"/>
      <c r="Y62" s="992"/>
      <c r="Z62" s="992"/>
      <c r="AA62" s="992"/>
      <c r="AB62" s="992"/>
      <c r="AC62" s="103" t="str">
        <f t="shared" si="10"/>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1"/>
        <v>BRT-GAS</v>
      </c>
      <c r="AR62" s="80"/>
      <c r="AS62" s="80"/>
      <c r="AT62" s="80"/>
      <c r="AU62" s="80"/>
      <c r="AV62" s="80"/>
      <c r="AZ62" s="261">
        <v>2020</v>
      </c>
      <c r="BA62" s="261"/>
    </row>
    <row r="63" spans="1:53" ht="15.75" thickBot="1" x14ac:dyDescent="0.3">
      <c r="A63" s="262" t="s">
        <v>722</v>
      </c>
      <c r="C63" s="61">
        <v>2010</v>
      </c>
      <c r="Q63" s="61" t="str">
        <f t="shared" si="6"/>
        <v/>
      </c>
      <c r="S63" s="65"/>
      <c r="T63" s="255"/>
      <c r="V63" s="992"/>
      <c r="W63" s="992"/>
      <c r="X63" s="992"/>
      <c r="Y63" s="992"/>
      <c r="Z63" s="992"/>
      <c r="AA63" s="992"/>
      <c r="AB63" s="992"/>
      <c r="AC63" s="103" t="str">
        <f t="shared" si="10"/>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1"/>
        <v>-</v>
      </c>
      <c r="AR63" s="80"/>
      <c r="AS63" s="80"/>
      <c r="AT63" s="80"/>
      <c r="AU63" s="80"/>
      <c r="AV63" s="80"/>
      <c r="AZ63" s="261" t="s">
        <v>723</v>
      </c>
      <c r="BA63" s="261"/>
    </row>
    <row r="64" spans="1:53" ht="15.75" thickBot="1" x14ac:dyDescent="0.3">
      <c r="A64" s="263" t="s">
        <v>247</v>
      </c>
      <c r="B64" s="264">
        <v>852698</v>
      </c>
      <c r="C64" s="265">
        <f t="shared" ref="C64:C75" si="12">B64/$B$76</f>
        <v>0.33180253208690158</v>
      </c>
      <c r="N64" s="61" t="s">
        <v>573</v>
      </c>
      <c r="O64" s="61" t="s">
        <v>653</v>
      </c>
      <c r="P64" s="61" t="s">
        <v>63</v>
      </c>
      <c r="Q64" s="61" t="str">
        <f t="shared" si="6"/>
        <v>LCV</v>
      </c>
      <c r="R64" s="61" t="s">
        <v>680</v>
      </c>
      <c r="S64" s="65"/>
      <c r="T64" s="255" t="s">
        <v>701</v>
      </c>
      <c r="U64" s="849" t="s">
        <v>680</v>
      </c>
      <c r="V64" s="992"/>
      <c r="W64" s="992"/>
      <c r="X64" s="992"/>
      <c r="Y64" s="992"/>
      <c r="Z64" s="992"/>
      <c r="AA64" s="992"/>
      <c r="AB64" s="992"/>
      <c r="AC64" s="103" t="str">
        <f t="shared" si="10"/>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1"/>
        <v>LCV-OGS</v>
      </c>
      <c r="AR64" s="80"/>
      <c r="AS64" s="80"/>
      <c r="AT64" s="80"/>
      <c r="AU64" s="80"/>
      <c r="AV64" s="80"/>
      <c r="AZ64" s="261">
        <f>Analytica!AB34</f>
        <v>0.206726097108171</v>
      </c>
      <c r="BA64" s="266" t="e" cm="1">
        <f t="array" aca="1" ref="BA64" ca="1">(1/AZ64)/INDIRECT("cv."&amp;LEFT($U64,6)&amp;".lhv.MJL") * 100</f>
        <v>#REF!</v>
      </c>
    </row>
    <row r="65" spans="1:53" ht="15.75" thickBot="1" x14ac:dyDescent="0.3">
      <c r="A65" s="267" t="s">
        <v>246</v>
      </c>
      <c r="B65" s="268">
        <v>1394106</v>
      </c>
      <c r="C65" s="265">
        <f t="shared" si="12"/>
        <v>0.54247564882003008</v>
      </c>
      <c r="N65" s="61" t="s">
        <v>519</v>
      </c>
      <c r="O65" s="61" t="s">
        <v>653</v>
      </c>
      <c r="P65" s="61" t="s">
        <v>63</v>
      </c>
      <c r="Q65" s="61" t="str">
        <f t="shared" si="6"/>
        <v>LCV</v>
      </c>
      <c r="R65" s="61" t="s">
        <v>680</v>
      </c>
      <c r="S65" s="65"/>
      <c r="T65" s="255" t="s">
        <v>701</v>
      </c>
      <c r="U65" s="849" t="s">
        <v>688</v>
      </c>
      <c r="V65" s="992"/>
      <c r="W65" s="992"/>
      <c r="X65" s="992"/>
      <c r="Y65" s="992"/>
      <c r="Z65" s="992"/>
      <c r="AA65" s="992"/>
      <c r="AB65" s="992"/>
      <c r="AC65" s="103" t="str">
        <f t="shared" si="10"/>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1"/>
        <v>LCV-OGSH</v>
      </c>
      <c r="AR65" s="80"/>
      <c r="AS65" s="80"/>
      <c r="AT65" s="80"/>
      <c r="AU65" s="80"/>
      <c r="AV65" s="80"/>
      <c r="AZ65" s="261">
        <f>Analytica!AB33</f>
        <v>0.236416891901715</v>
      </c>
      <c r="BA65" s="266" t="e" cm="1">
        <f t="array" aca="1" ref="BA65" ca="1">(1/AZ65)/INDIRECT("cv."&amp;LEFT($U65,6)&amp;".lhv.MJL") * 100</f>
        <v>#REF!</v>
      </c>
    </row>
    <row r="66" spans="1:53" ht="15.75" thickBot="1" x14ac:dyDescent="0.3">
      <c r="A66" s="267" t="s">
        <v>265</v>
      </c>
      <c r="B66" s="268">
        <v>6061</v>
      </c>
      <c r="C66" s="265">
        <f t="shared" si="12"/>
        <v>2.3584611984298195E-3</v>
      </c>
      <c r="N66" s="61" t="s">
        <v>511</v>
      </c>
      <c r="O66" s="61" t="s">
        <v>653</v>
      </c>
      <c r="P66" s="61" t="s">
        <v>63</v>
      </c>
      <c r="Q66" s="61" t="str">
        <f t="shared" si="6"/>
        <v>LCV</v>
      </c>
      <c r="R66" s="61" t="s">
        <v>680</v>
      </c>
      <c r="S66" s="65"/>
      <c r="T66" s="255" t="s">
        <v>701</v>
      </c>
      <c r="U66" s="849" t="s">
        <v>687</v>
      </c>
      <c r="V66" s="992"/>
      <c r="W66" s="992"/>
      <c r="X66" s="992"/>
      <c r="Y66" s="992"/>
      <c r="Z66" s="992"/>
      <c r="AA66" s="992"/>
      <c r="AB66" s="992"/>
      <c r="AC66" s="166" t="str">
        <f t="shared" si="10"/>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989">
        <f t="shared" si="8"/>
        <v>-9.9900033333333066E-4</v>
      </c>
      <c r="AK66" s="989">
        <f t="shared" si="9"/>
        <v>-7.5326913841620409E-3</v>
      </c>
      <c r="AQ66" s="61" t="str">
        <f t="shared" si="11"/>
        <v>LCV-ODS</v>
      </c>
      <c r="AR66" s="80"/>
      <c r="AS66" s="80"/>
      <c r="AT66" s="80"/>
      <c r="AU66" s="80"/>
      <c r="AV66" s="80"/>
    </row>
    <row r="67" spans="1:53" ht="15.75" thickBot="1" x14ac:dyDescent="0.3">
      <c r="A67" s="267" t="s">
        <v>266</v>
      </c>
      <c r="B67" s="268">
        <v>120270</v>
      </c>
      <c r="C67" s="265">
        <f t="shared" si="12"/>
        <v>4.6799559203952221E-2</v>
      </c>
      <c r="N67" s="61" t="s">
        <v>521</v>
      </c>
      <c r="O67" s="61" t="s">
        <v>653</v>
      </c>
      <c r="P67" s="61" t="s">
        <v>63</v>
      </c>
      <c r="Q67" s="61" t="str">
        <f t="shared" si="6"/>
        <v>LCV</v>
      </c>
      <c r="R67" s="61" t="s">
        <v>680</v>
      </c>
      <c r="S67" s="65"/>
      <c r="T67" s="255" t="s">
        <v>701</v>
      </c>
      <c r="U67" s="849" t="s">
        <v>689</v>
      </c>
      <c r="V67" s="992"/>
      <c r="W67" s="992"/>
      <c r="X67" s="992"/>
      <c r="Y67" s="992"/>
      <c r="Z67" s="992"/>
      <c r="AA67" s="992"/>
      <c r="AB67" s="992"/>
      <c r="AC67" s="166" t="str">
        <f t="shared" si="10"/>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989">
        <f t="shared" si="8"/>
        <v>-9.9900033333336752E-4</v>
      </c>
      <c r="AK67" s="989">
        <f t="shared" si="9"/>
        <v>-7.5326913841620401E-3</v>
      </c>
      <c r="AQ67" s="61" t="str">
        <f t="shared" si="11"/>
        <v>LCV-ODSH</v>
      </c>
      <c r="AR67" s="80"/>
      <c r="AS67" s="80"/>
      <c r="AT67" s="80"/>
      <c r="AU67" s="80"/>
      <c r="AV67" s="80"/>
    </row>
    <row r="68" spans="1:53" ht="15.75" thickBot="1" x14ac:dyDescent="0.3">
      <c r="A68" s="267" t="s">
        <v>263</v>
      </c>
      <c r="B68" s="268">
        <v>31074</v>
      </c>
      <c r="C68" s="265">
        <f t="shared" si="12"/>
        <v>1.2091539891108434E-2</v>
      </c>
      <c r="I68"/>
      <c r="N68" s="61" t="s">
        <v>501</v>
      </c>
      <c r="O68" s="61" t="s">
        <v>653</v>
      </c>
      <c r="P68" s="61" t="s">
        <v>63</v>
      </c>
      <c r="Q68" s="61" t="str">
        <f t="shared" si="6"/>
        <v>LCV</v>
      </c>
      <c r="R68" s="61" t="s">
        <v>680</v>
      </c>
      <c r="S68" s="65"/>
      <c r="T68" s="255" t="s">
        <v>701</v>
      </c>
      <c r="U68" s="849" t="s">
        <v>692</v>
      </c>
      <c r="V68" s="992"/>
      <c r="W68" s="992"/>
      <c r="X68" s="992"/>
      <c r="Y68" s="992"/>
      <c r="Z68" s="992"/>
      <c r="AA68" s="992"/>
      <c r="AB68" s="992"/>
      <c r="AC68" s="166" t="str">
        <f t="shared" si="10"/>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989">
        <f t="shared" si="8"/>
        <v>-9.9900033333332806E-4</v>
      </c>
      <c r="AK68" s="989">
        <f t="shared" si="9"/>
        <v>-7.5326913841620375E-3</v>
      </c>
      <c r="AQ68" s="61" t="str">
        <f t="shared" si="11"/>
        <v>LCV-ELC</v>
      </c>
      <c r="AR68" s="80"/>
      <c r="AS68" s="80"/>
      <c r="AT68" s="80"/>
      <c r="AU68" s="80"/>
      <c r="AV68" s="80"/>
    </row>
    <row r="69" spans="1:53" ht="15.75" thickBot="1" x14ac:dyDescent="0.3">
      <c r="A69" s="267" t="s">
        <v>261</v>
      </c>
      <c r="B69" s="268">
        <v>53763</v>
      </c>
      <c r="C69" s="265">
        <f t="shared" si="12"/>
        <v>2.0920301833225935E-2</v>
      </c>
      <c r="N69" s="61" t="s">
        <v>504</v>
      </c>
      <c r="O69" s="61" t="s">
        <v>653</v>
      </c>
      <c r="P69" s="61" t="s">
        <v>63</v>
      </c>
      <c r="Q69" s="61" t="str">
        <f t="shared" si="6"/>
        <v>LCV</v>
      </c>
      <c r="R69" s="61" t="s">
        <v>680</v>
      </c>
      <c r="S69" s="65"/>
      <c r="T69" s="255" t="s">
        <v>701</v>
      </c>
      <c r="U69" s="849" t="s">
        <v>699</v>
      </c>
      <c r="V69" s="992"/>
      <c r="W69" s="992"/>
      <c r="X69" s="992"/>
      <c r="Y69" s="992"/>
      <c r="Z69" s="992"/>
      <c r="AA69" s="992"/>
      <c r="AB69" s="992"/>
      <c r="AC69" s="166" t="str">
        <f t="shared" si="10"/>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989">
        <f t="shared" si="8"/>
        <v>-9.9900033333331266E-4</v>
      </c>
      <c r="AK69" s="989">
        <f t="shared" si="9"/>
        <v>-7.5326913841620401E-3</v>
      </c>
      <c r="AQ69" s="61" t="str">
        <f t="shared" si="11"/>
        <v>LCV-HGN</v>
      </c>
      <c r="AR69" s="80"/>
      <c r="AS69" s="80"/>
      <c r="AT69" s="80"/>
      <c r="AU69" s="80"/>
      <c r="AV69" s="80"/>
    </row>
    <row r="70" spans="1:53" ht="15.75" thickBot="1" x14ac:dyDescent="0.3">
      <c r="A70" s="267" t="s">
        <v>259</v>
      </c>
      <c r="B70" s="268">
        <v>12249</v>
      </c>
      <c r="C70" s="265">
        <f t="shared" si="12"/>
        <v>4.7663407390804921E-3</v>
      </c>
      <c r="N70" s="61" t="s">
        <v>509</v>
      </c>
      <c r="O70" s="61" t="s">
        <v>653</v>
      </c>
      <c r="P70" s="61" t="s">
        <v>63</v>
      </c>
      <c r="Q70" s="61" t="str">
        <f t="shared" si="6"/>
        <v>LCV</v>
      </c>
      <c r="R70" s="61" t="s">
        <v>680</v>
      </c>
      <c r="S70" s="65"/>
      <c r="T70" s="255" t="s">
        <v>701</v>
      </c>
      <c r="U70" s="849" t="s">
        <v>700</v>
      </c>
      <c r="V70" s="992"/>
      <c r="W70" s="992"/>
      <c r="X70" s="992"/>
      <c r="Y70" s="992"/>
      <c r="Z70" s="992"/>
      <c r="AA70" s="992"/>
      <c r="AB70" s="992"/>
      <c r="AC70" s="166" t="str">
        <f t="shared" si="10"/>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989">
        <f t="shared" si="8"/>
        <v>-9.9900033333332329E-4</v>
      </c>
      <c r="AK70" s="989">
        <f t="shared" si="9"/>
        <v>-7.5326913841620418E-3</v>
      </c>
      <c r="AQ70" s="61" t="str">
        <f t="shared" si="11"/>
        <v>LCV-GAS</v>
      </c>
      <c r="AR70" s="80"/>
      <c r="AS70" s="80"/>
      <c r="AT70" s="80"/>
      <c r="AU70" s="80"/>
      <c r="AV70" s="80"/>
    </row>
    <row r="71" spans="1:53" ht="15.75" thickBot="1" x14ac:dyDescent="0.3">
      <c r="A71" s="267" t="s">
        <v>257</v>
      </c>
      <c r="B71" s="268">
        <v>5146</v>
      </c>
      <c r="C71" s="265">
        <f t="shared" si="12"/>
        <v>2.0024156619567485E-3</v>
      </c>
      <c r="O71" s="61" t="s">
        <v>653</v>
      </c>
      <c r="Q71" s="61" t="str">
        <f t="shared" si="6"/>
        <v/>
      </c>
      <c r="S71" s="65"/>
      <c r="T71" s="255"/>
      <c r="U71" s="259"/>
      <c r="V71" s="992"/>
      <c r="W71" s="992"/>
      <c r="X71" s="992"/>
      <c r="Y71" s="992"/>
      <c r="Z71" s="992"/>
      <c r="AA71" s="992"/>
      <c r="AB71" s="992"/>
      <c r="AC71" s="166" t="str">
        <f t="shared" si="10"/>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989" t="e">
        <f t="shared" si="8"/>
        <v>#N/A</v>
      </c>
      <c r="AK71" s="989" t="e">
        <f t="shared" si="9"/>
        <v>#N/A</v>
      </c>
      <c r="AQ71" s="61" t="str">
        <f t="shared" si="11"/>
        <v>-</v>
      </c>
      <c r="AR71" s="80"/>
      <c r="AS71" s="80"/>
      <c r="AT71" s="80"/>
      <c r="AU71" s="80"/>
      <c r="AV71" s="80"/>
    </row>
    <row r="72" spans="1:53" ht="15.75" thickBot="1" x14ac:dyDescent="0.3">
      <c r="A72" s="267" t="s">
        <v>255</v>
      </c>
      <c r="B72" s="268">
        <v>74175</v>
      </c>
      <c r="C72" s="265">
        <f t="shared" si="12"/>
        <v>2.8863035702612089E-2</v>
      </c>
      <c r="N72" s="61" t="s">
        <v>511</v>
      </c>
      <c r="O72" s="61" t="s">
        <v>653</v>
      </c>
      <c r="P72" s="61" t="s">
        <v>724</v>
      </c>
      <c r="Q72" s="61" t="str">
        <f t="shared" si="6"/>
        <v>CV1</v>
      </c>
      <c r="R72" s="61" t="s">
        <v>687</v>
      </c>
      <c r="S72" s="65"/>
      <c r="T72" s="255" t="s">
        <v>725</v>
      </c>
      <c r="U72" s="849" t="s">
        <v>687</v>
      </c>
      <c r="V72" s="992"/>
      <c r="W72" s="992"/>
      <c r="X72" s="992"/>
      <c r="Y72" s="992"/>
      <c r="Z72" s="992"/>
      <c r="AA72" s="992"/>
      <c r="AB72" s="992"/>
      <c r="AC72" s="166" t="str">
        <f t="shared" si="10"/>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989">
        <f t="shared" si="8"/>
        <v>-9.9900033333332372E-4</v>
      </c>
      <c r="AK72" s="989">
        <f t="shared" si="9"/>
        <v>-7.5326913841620409E-3</v>
      </c>
      <c r="AQ72" s="61" t="str">
        <f t="shared" si="11"/>
        <v>HCV1-ODS</v>
      </c>
      <c r="AR72" s="80"/>
      <c r="AS72" s="80"/>
      <c r="AT72" s="80"/>
      <c r="AU72" s="80"/>
      <c r="AV72" s="80"/>
    </row>
    <row r="73" spans="1:53" ht="15.75" thickBot="1" x14ac:dyDescent="0.3">
      <c r="A73" s="267" t="s">
        <v>253</v>
      </c>
      <c r="B73" s="268">
        <v>19406</v>
      </c>
      <c r="C73" s="265">
        <f t="shared" si="12"/>
        <v>7.5512783396682204E-3</v>
      </c>
      <c r="N73" s="61" t="s">
        <v>573</v>
      </c>
      <c r="O73" s="61" t="s">
        <v>653</v>
      </c>
      <c r="P73" s="61" t="s">
        <v>724</v>
      </c>
      <c r="Q73" s="61" t="str">
        <f t="shared" si="6"/>
        <v>CV1</v>
      </c>
      <c r="R73" s="61" t="s">
        <v>687</v>
      </c>
      <c r="S73" s="65"/>
      <c r="T73" s="255" t="s">
        <v>725</v>
      </c>
      <c r="U73" s="849" t="s">
        <v>680</v>
      </c>
      <c r="V73" s="992"/>
      <c r="W73" s="992"/>
      <c r="X73" s="992"/>
      <c r="Y73" s="992"/>
      <c r="Z73" s="992"/>
      <c r="AA73" s="992"/>
      <c r="AB73" s="992"/>
      <c r="AC73" s="166" t="str">
        <f t="shared" si="10"/>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989">
        <f t="shared" si="8"/>
        <v>-9.9900033333334454E-4</v>
      </c>
      <c r="AK73" s="989">
        <f t="shared" si="9"/>
        <v>-7.5326913841620375E-3</v>
      </c>
      <c r="AQ73" s="61" t="str">
        <f t="shared" si="11"/>
        <v>HCV1-OGS</v>
      </c>
      <c r="AR73" s="80"/>
      <c r="AS73" s="80"/>
      <c r="AT73" s="80"/>
      <c r="AU73" s="80"/>
      <c r="AV73" s="80"/>
    </row>
    <row r="74" spans="1:53" ht="15.75" thickBot="1" x14ac:dyDescent="0.3">
      <c r="A74" s="267" t="s">
        <v>251</v>
      </c>
      <c r="B74" s="268">
        <v>434</v>
      </c>
      <c r="C74" s="265">
        <f t="shared" si="12"/>
        <v>1.688784293216535E-4</v>
      </c>
      <c r="N74" s="61" t="s">
        <v>501</v>
      </c>
      <c r="O74" s="61" t="s">
        <v>653</v>
      </c>
      <c r="P74" s="61" t="s">
        <v>724</v>
      </c>
      <c r="Q74" s="61" t="str">
        <f t="shared" si="6"/>
        <v>CV1</v>
      </c>
      <c r="R74" s="61" t="s">
        <v>687</v>
      </c>
      <c r="S74" s="65"/>
      <c r="T74" s="255" t="s">
        <v>725</v>
      </c>
      <c r="U74" s="849" t="s">
        <v>692</v>
      </c>
      <c r="V74" s="992"/>
      <c r="W74" s="992"/>
      <c r="X74" s="992"/>
      <c r="Y74" s="992"/>
      <c r="Z74" s="992"/>
      <c r="AA74" s="992"/>
      <c r="AB74" s="992"/>
      <c r="AC74" s="166" t="str">
        <f t="shared" si="10"/>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989">
        <f t="shared" si="8"/>
        <v>-9.9900033333332199E-4</v>
      </c>
      <c r="AK74" s="989">
        <f t="shared" si="9"/>
        <v>-7.5326913841620409E-3</v>
      </c>
      <c r="AQ74" s="61" t="str">
        <f t="shared" si="11"/>
        <v>HCV1-ELC</v>
      </c>
      <c r="AR74" s="80"/>
      <c r="AS74" s="80"/>
      <c r="AT74" s="80"/>
      <c r="AU74" s="80"/>
      <c r="AV74" s="80"/>
    </row>
    <row r="75" spans="1:53" ht="15.75" thickBot="1" x14ac:dyDescent="0.3">
      <c r="A75" s="267" t="s">
        <v>249</v>
      </c>
      <c r="B75" s="268">
        <v>514</v>
      </c>
      <c r="C75" s="265">
        <f t="shared" si="12"/>
        <v>2.000080937127417E-4</v>
      </c>
      <c r="N75" s="61" t="s">
        <v>504</v>
      </c>
      <c r="O75" s="61" t="s">
        <v>653</v>
      </c>
      <c r="P75" s="61" t="s">
        <v>724</v>
      </c>
      <c r="Q75" s="61" t="str">
        <f t="shared" si="6"/>
        <v>CV1</v>
      </c>
      <c r="R75" s="61" t="s">
        <v>687</v>
      </c>
      <c r="S75" s="65"/>
      <c r="T75" s="255" t="s">
        <v>725</v>
      </c>
      <c r="U75" s="849" t="s">
        <v>699</v>
      </c>
      <c r="V75" s="992"/>
      <c r="W75" s="992"/>
      <c r="X75" s="992"/>
      <c r="Y75" s="992"/>
      <c r="Z75" s="992"/>
      <c r="AA75" s="992"/>
      <c r="AB75" s="992"/>
      <c r="AC75" s="166" t="str">
        <f t="shared" si="10"/>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989">
        <f t="shared" si="8"/>
        <v>-9.990003333333222E-4</v>
      </c>
      <c r="AK75" s="989">
        <f t="shared" si="9"/>
        <v>-7.5326913841620401E-3</v>
      </c>
      <c r="AQ75" s="61" t="str">
        <f t="shared" si="11"/>
        <v>HCV1-HGN</v>
      </c>
      <c r="AR75" s="80"/>
      <c r="AS75" s="80"/>
      <c r="AT75" s="80"/>
      <c r="AU75" s="80"/>
      <c r="AV75" s="80"/>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849" t="s">
        <v>700</v>
      </c>
      <c r="V76" s="992"/>
      <c r="W76" s="992"/>
      <c r="X76" s="992"/>
      <c r="Y76" s="992"/>
      <c r="Z76" s="992"/>
      <c r="AA76" s="992"/>
      <c r="AB76" s="992"/>
      <c r="AC76" s="166" t="str">
        <f t="shared" si="10"/>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989">
        <f t="shared" si="8"/>
        <v>-9.9900033333332372E-4</v>
      </c>
      <c r="AK76" s="989">
        <f t="shared" si="9"/>
        <v>-7.5326913841620418E-3</v>
      </c>
      <c r="AQ76" s="61" t="str">
        <f t="shared" si="11"/>
        <v>HCV1-GAS</v>
      </c>
      <c r="AR76" s="80"/>
      <c r="AS76" s="80"/>
      <c r="AT76" s="80"/>
      <c r="AU76" s="80"/>
      <c r="AV76" s="80"/>
    </row>
    <row r="77" spans="1:53" ht="77.25" thickBot="1" x14ac:dyDescent="0.3">
      <c r="A77" s="272" t="s">
        <v>727</v>
      </c>
      <c r="B77" s="273"/>
      <c r="C77" s="274"/>
      <c r="O77" s="61" t="s">
        <v>653</v>
      </c>
      <c r="Q77" s="61" t="str">
        <f t="shared" si="6"/>
        <v/>
      </c>
      <c r="S77" s="65"/>
      <c r="T77" s="255"/>
      <c r="U77" s="259"/>
      <c r="V77" s="992"/>
      <c r="W77" s="992"/>
      <c r="X77" s="992"/>
      <c r="Y77" s="992"/>
      <c r="Z77" s="992"/>
      <c r="AA77" s="992"/>
      <c r="AB77" s="992"/>
      <c r="AC77" s="166" t="str">
        <f t="shared" si="10"/>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989" t="e">
        <f t="shared" si="8"/>
        <v>#N/A</v>
      </c>
      <c r="AK77" s="989" t="e">
        <f t="shared" si="9"/>
        <v>#N/A</v>
      </c>
      <c r="AQ77" s="61" t="str">
        <f t="shared" si="11"/>
        <v>-</v>
      </c>
      <c r="AR77" s="80"/>
      <c r="AS77" s="80"/>
      <c r="AT77" s="80"/>
      <c r="AU77" s="80"/>
      <c r="AV77" s="80"/>
    </row>
    <row r="78" spans="1:53" x14ac:dyDescent="0.25">
      <c r="N78" s="61" t="s">
        <v>511</v>
      </c>
      <c r="O78" s="61" t="s">
        <v>653</v>
      </c>
      <c r="P78" s="61" t="s">
        <v>728</v>
      </c>
      <c r="Q78" s="61" t="str">
        <f t="shared" si="6"/>
        <v>CV2</v>
      </c>
      <c r="R78" s="61" t="s">
        <v>687</v>
      </c>
      <c r="S78" s="65"/>
      <c r="T78" s="255" t="s">
        <v>725</v>
      </c>
      <c r="U78" s="849" t="s">
        <v>687</v>
      </c>
      <c r="V78" s="992"/>
      <c r="W78" s="992"/>
      <c r="X78" s="992"/>
      <c r="Y78" s="992"/>
      <c r="Z78" s="992"/>
      <c r="AA78" s="992"/>
      <c r="AB78" s="992"/>
      <c r="AC78" s="166" t="str">
        <f t="shared" si="10"/>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989">
        <f t="shared" si="8"/>
        <v>-9.9900033333332307E-4</v>
      </c>
      <c r="AK78" s="989">
        <f t="shared" si="9"/>
        <v>-7.5326913841620392E-3</v>
      </c>
      <c r="AQ78" s="61" t="str">
        <f t="shared" si="11"/>
        <v>HCV2-ODS</v>
      </c>
      <c r="AR78" s="80"/>
      <c r="AS78" s="80"/>
      <c r="AT78" s="80"/>
      <c r="AU78" s="80"/>
      <c r="AV78" s="80"/>
    </row>
    <row r="79" spans="1:53" x14ac:dyDescent="0.25">
      <c r="N79" s="61" t="s">
        <v>501</v>
      </c>
      <c r="O79" s="61" t="s">
        <v>653</v>
      </c>
      <c r="P79" s="61" t="s">
        <v>728</v>
      </c>
      <c r="Q79" s="61" t="str">
        <f t="shared" si="6"/>
        <v>CV2</v>
      </c>
      <c r="R79" s="61" t="s">
        <v>687</v>
      </c>
      <c r="S79" s="65"/>
      <c r="T79" s="255" t="s">
        <v>725</v>
      </c>
      <c r="U79" s="849" t="s">
        <v>692</v>
      </c>
      <c r="V79" s="992"/>
      <c r="W79" s="992"/>
      <c r="X79" s="992"/>
      <c r="Y79" s="992"/>
      <c r="Z79" s="992"/>
      <c r="AA79" s="992"/>
      <c r="AB79" s="992"/>
      <c r="AC79" s="166" t="str">
        <f t="shared" si="10"/>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989">
        <f t="shared" si="8"/>
        <v>-9.9900033333336384E-4</v>
      </c>
      <c r="AK79" s="989">
        <f t="shared" si="9"/>
        <v>-7.5326913841620427E-3</v>
      </c>
      <c r="AQ79" s="61" t="str">
        <f t="shared" si="11"/>
        <v>HCV2-ELC</v>
      </c>
      <c r="AR79" s="80"/>
      <c r="AS79" s="80"/>
      <c r="AT79" s="80"/>
      <c r="AU79" s="80"/>
      <c r="AV79" s="80"/>
    </row>
    <row r="80" spans="1:53" x14ac:dyDescent="0.25">
      <c r="A80" s="61" t="s">
        <v>729</v>
      </c>
      <c r="N80" s="61" t="s">
        <v>504</v>
      </c>
      <c r="O80" s="61" t="s">
        <v>653</v>
      </c>
      <c r="P80" s="61" t="s">
        <v>728</v>
      </c>
      <c r="Q80" s="61" t="str">
        <f t="shared" si="6"/>
        <v>CV2</v>
      </c>
      <c r="R80" s="61" t="s">
        <v>687</v>
      </c>
      <c r="S80" s="65"/>
      <c r="T80" s="255" t="s">
        <v>725</v>
      </c>
      <c r="U80" s="849" t="s">
        <v>699</v>
      </c>
      <c r="V80" s="992"/>
      <c r="W80" s="992"/>
      <c r="X80" s="992"/>
      <c r="Y80" s="992"/>
      <c r="Z80" s="992"/>
      <c r="AA80" s="992"/>
      <c r="AB80" s="992"/>
      <c r="AC80" s="166" t="str">
        <f t="shared" si="10"/>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989">
        <f t="shared" si="8"/>
        <v>-9.9900033333334302E-4</v>
      </c>
      <c r="AK80" s="989">
        <f t="shared" si="9"/>
        <v>-7.5326913841620453E-3</v>
      </c>
      <c r="AQ80" s="61" t="str">
        <f t="shared" si="11"/>
        <v>HCV2-HGN</v>
      </c>
      <c r="AR80" s="80"/>
      <c r="AS80" s="80"/>
      <c r="AT80" s="80"/>
      <c r="AU80" s="80"/>
      <c r="AV80" s="80"/>
    </row>
    <row r="81" spans="1:48" x14ac:dyDescent="0.25">
      <c r="D81" s="61">
        <v>2012</v>
      </c>
      <c r="N81" s="61" t="s">
        <v>509</v>
      </c>
      <c r="O81" s="61" t="s">
        <v>653</v>
      </c>
      <c r="P81" s="61" t="s">
        <v>728</v>
      </c>
      <c r="Q81" s="61" t="str">
        <f t="shared" si="6"/>
        <v>CV2</v>
      </c>
      <c r="R81" s="61" t="s">
        <v>687</v>
      </c>
      <c r="S81" s="65"/>
      <c r="T81" s="255" t="s">
        <v>725</v>
      </c>
      <c r="U81" s="849" t="s">
        <v>700</v>
      </c>
      <c r="V81" s="992"/>
      <c r="W81" s="992"/>
      <c r="X81" s="992"/>
      <c r="Y81" s="992"/>
      <c r="Z81" s="992"/>
      <c r="AA81" s="992"/>
      <c r="AB81" s="992"/>
      <c r="AC81" s="166" t="str">
        <f t="shared" si="10"/>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989">
        <f t="shared" si="8"/>
        <v>-9.9900033333330399E-4</v>
      </c>
      <c r="AK81" s="989">
        <f t="shared" si="9"/>
        <v>-7.5326913841620383E-3</v>
      </c>
      <c r="AQ81" s="61" t="str">
        <f t="shared" si="11"/>
        <v>HCV2-GAS</v>
      </c>
      <c r="AR81" s="80"/>
      <c r="AS81" s="80"/>
      <c r="AT81" s="80"/>
      <c r="AU81" s="80"/>
      <c r="AV81" s="80"/>
    </row>
    <row r="82" spans="1:48" x14ac:dyDescent="0.25">
      <c r="A82" s="61" t="s">
        <v>730</v>
      </c>
      <c r="C82" s="275">
        <f>SUM(C68:C75)</f>
        <v>7.6563798690686316E-2</v>
      </c>
      <c r="D82" s="276">
        <f>D58-D92</f>
        <v>-1541.4455811873268</v>
      </c>
      <c r="O82" s="61" t="s">
        <v>653</v>
      </c>
      <c r="Q82" s="61" t="str">
        <f t="shared" si="6"/>
        <v/>
      </c>
      <c r="S82" s="65"/>
      <c r="T82" s="255"/>
      <c r="V82" s="992"/>
      <c r="W82" s="992"/>
      <c r="X82" s="992"/>
      <c r="Y82" s="992"/>
      <c r="Z82" s="992"/>
      <c r="AA82" s="992"/>
      <c r="AB82" s="992"/>
      <c r="AC82" s="166" t="str">
        <f t="shared" si="10"/>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989" t="e">
        <f t="shared" si="8"/>
        <v>#N/A</v>
      </c>
      <c r="AK82" s="989" t="e">
        <f t="shared" si="9"/>
        <v>#N/A</v>
      </c>
      <c r="AQ82" s="61" t="str">
        <f t="shared" si="11"/>
        <v>-</v>
      </c>
      <c r="AR82" s="80"/>
      <c r="AS82" s="80"/>
      <c r="AT82" s="80"/>
      <c r="AU82" s="80"/>
      <c r="AV82" s="80"/>
    </row>
    <row r="83" spans="1:48" x14ac:dyDescent="0.25">
      <c r="A83" s="61" t="s">
        <v>263</v>
      </c>
      <c r="C83" s="206">
        <f t="shared" ref="C83:C88" si="13">C68/$C$82</f>
        <v>0.15792763809901353</v>
      </c>
      <c r="D83" s="7">
        <f t="shared" ref="D83:D91" si="14">C83*$D$58</f>
        <v>2468.2510558494823</v>
      </c>
      <c r="N83" s="61" t="s">
        <v>511</v>
      </c>
      <c r="O83" s="61" t="s">
        <v>653</v>
      </c>
      <c r="P83" s="61" t="s">
        <v>731</v>
      </c>
      <c r="Q83" s="61" t="str">
        <f t="shared" si="6"/>
        <v>CV3</v>
      </c>
      <c r="R83" s="61" t="s">
        <v>687</v>
      </c>
      <c r="S83" s="65"/>
      <c r="T83" s="255" t="s">
        <v>725</v>
      </c>
      <c r="U83" s="849" t="s">
        <v>687</v>
      </c>
      <c r="V83" s="992"/>
      <c r="W83" s="992"/>
      <c r="X83" s="992"/>
      <c r="Y83" s="992"/>
      <c r="Z83" s="992"/>
      <c r="AA83" s="992"/>
      <c r="AB83" s="992"/>
      <c r="AC83" s="166" t="str">
        <f t="shared" si="10"/>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989">
        <f t="shared" si="8"/>
        <v>-9.9900033333335603E-4</v>
      </c>
      <c r="AK83" s="989">
        <f t="shared" si="9"/>
        <v>-7.5326913841620409E-3</v>
      </c>
      <c r="AQ83" s="61" t="str">
        <f t="shared" si="11"/>
        <v>HCV3-ODS</v>
      </c>
      <c r="AR83" s="80"/>
      <c r="AS83" s="80"/>
      <c r="AT83" s="80"/>
      <c r="AU83" s="80"/>
      <c r="AV83" s="80"/>
    </row>
    <row r="84" spans="1:48" x14ac:dyDescent="0.25">
      <c r="A84" s="61" t="s">
        <v>261</v>
      </c>
      <c r="C84" s="206">
        <f t="shared" si="13"/>
        <v>0.27324012380502233</v>
      </c>
      <c r="D84" s="7">
        <f t="shared" si="14"/>
        <v>4270.4698949486938</v>
      </c>
      <c r="N84" s="61" t="s">
        <v>501</v>
      </c>
      <c r="O84" s="61" t="s">
        <v>653</v>
      </c>
      <c r="P84" s="61" t="s">
        <v>731</v>
      </c>
      <c r="Q84" s="61" t="str">
        <f t="shared" si="6"/>
        <v>CV3</v>
      </c>
      <c r="R84" s="61" t="s">
        <v>687</v>
      </c>
      <c r="S84" s="65"/>
      <c r="T84" s="255" t="s">
        <v>725</v>
      </c>
      <c r="U84" s="849" t="s">
        <v>692</v>
      </c>
      <c r="V84" s="992"/>
      <c r="W84" s="992"/>
      <c r="X84" s="992"/>
      <c r="Y84" s="992"/>
      <c r="Z84" s="992"/>
      <c r="AA84" s="992"/>
      <c r="AB84" s="992"/>
      <c r="AC84" s="166" t="str">
        <f t="shared" si="10"/>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989">
        <f t="shared" si="8"/>
        <v>-9.9900033333332459E-4</v>
      </c>
      <c r="AK84" s="989">
        <f t="shared" si="9"/>
        <v>-7.5326913841620392E-3</v>
      </c>
      <c r="AQ84" s="61" t="str">
        <f t="shared" ref="AQ84:AQ116" si="15">P84&amp;"-"&amp;N84</f>
        <v>HCV3-ELC</v>
      </c>
      <c r="AR84" s="80"/>
      <c r="AS84" s="80"/>
      <c r="AT84" s="80"/>
      <c r="AU84" s="80"/>
      <c r="AV84" s="80"/>
    </row>
    <row r="85" spans="1:48" x14ac:dyDescent="0.25">
      <c r="A85" s="61" t="s">
        <v>259</v>
      </c>
      <c r="C85" s="206">
        <f t="shared" si="13"/>
        <v>6.2253190418833003E-2</v>
      </c>
      <c r="D85" s="7">
        <f t="shared" si="14"/>
        <v>972.95511305594096</v>
      </c>
      <c r="N85" s="61" t="s">
        <v>504</v>
      </c>
      <c r="O85" s="61" t="s">
        <v>653</v>
      </c>
      <c r="P85" s="61" t="s">
        <v>731</v>
      </c>
      <c r="Q85" s="61" t="str">
        <f t="shared" si="6"/>
        <v>CV3</v>
      </c>
      <c r="R85" s="61" t="s">
        <v>687</v>
      </c>
      <c r="S85" s="65"/>
      <c r="T85" s="255" t="s">
        <v>725</v>
      </c>
      <c r="U85" s="849" t="s">
        <v>699</v>
      </c>
      <c r="V85" s="992"/>
      <c r="W85" s="992"/>
      <c r="X85" s="992"/>
      <c r="Y85" s="992"/>
      <c r="Z85" s="992"/>
      <c r="AA85" s="992"/>
      <c r="AB85" s="992"/>
      <c r="AC85" s="166" t="str">
        <f t="shared" si="10"/>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989">
        <f t="shared" si="8"/>
        <v>-9.9900033333332719E-4</v>
      </c>
      <c r="AK85" s="989">
        <f t="shared" si="9"/>
        <v>-7.5326913841620418E-3</v>
      </c>
      <c r="AQ85" s="61" t="str">
        <f t="shared" si="15"/>
        <v>HCV3-HGN</v>
      </c>
      <c r="AR85" s="80"/>
      <c r="AS85" s="80"/>
      <c r="AT85" s="80"/>
      <c r="AU85" s="80"/>
      <c r="AV85" s="80"/>
    </row>
    <row r="86" spans="1:48" x14ac:dyDescent="0.25">
      <c r="A86" s="61" t="s">
        <v>257</v>
      </c>
      <c r="C86" s="206">
        <f t="shared" si="13"/>
        <v>2.6153556853238193E-2</v>
      </c>
      <c r="D86" s="7">
        <f t="shared" si="14"/>
        <v>408.75394005925972</v>
      </c>
      <c r="N86" s="61" t="s">
        <v>509</v>
      </c>
      <c r="O86" s="61" t="s">
        <v>653</v>
      </c>
      <c r="P86" s="61" t="s">
        <v>731</v>
      </c>
      <c r="Q86" s="61" t="str">
        <f t="shared" si="6"/>
        <v>CV3</v>
      </c>
      <c r="R86" s="61" t="s">
        <v>687</v>
      </c>
      <c r="S86" s="65"/>
      <c r="T86" s="255" t="s">
        <v>725</v>
      </c>
      <c r="U86" s="849" t="s">
        <v>700</v>
      </c>
      <c r="V86" s="992"/>
      <c r="W86" s="992"/>
      <c r="X86" s="992"/>
      <c r="Y86" s="992"/>
      <c r="Z86" s="992"/>
      <c r="AA86" s="992"/>
      <c r="AB86" s="992"/>
      <c r="AC86" s="166" t="str">
        <f t="shared" si="10"/>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989">
        <f t="shared" si="8"/>
        <v>-9.9900033333333435E-4</v>
      </c>
      <c r="AK86" s="989">
        <f t="shared" si="9"/>
        <v>-7.5326913841620427E-3</v>
      </c>
      <c r="AQ86" s="61" t="str">
        <f t="shared" si="15"/>
        <v>HCV3-GAS</v>
      </c>
      <c r="AR86" s="80"/>
      <c r="AS86" s="80"/>
      <c r="AT86" s="80"/>
      <c r="AU86" s="80"/>
      <c r="AV86" s="80"/>
    </row>
    <row r="87" spans="1:48" x14ac:dyDescent="0.25">
      <c r="A87" s="61" t="s">
        <v>255</v>
      </c>
      <c r="C87" s="206">
        <f t="shared" si="13"/>
        <v>0.37698019424581086</v>
      </c>
      <c r="D87" s="7">
        <f t="shared" si="14"/>
        <v>5891.8234558677777</v>
      </c>
      <c r="O87" s="61" t="s">
        <v>653</v>
      </c>
      <c r="Q87" s="61" t="str">
        <f t="shared" si="6"/>
        <v/>
      </c>
      <c r="S87" s="65"/>
      <c r="T87" s="255"/>
      <c r="U87" s="259"/>
      <c r="V87" s="992"/>
      <c r="W87" s="992"/>
      <c r="X87" s="992"/>
      <c r="Y87" s="992"/>
      <c r="Z87" s="992"/>
      <c r="AA87" s="992"/>
      <c r="AB87" s="992"/>
      <c r="AC87" s="166" t="str">
        <f t="shared" si="10"/>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989" t="e">
        <f t="shared" si="8"/>
        <v>#N/A</v>
      </c>
      <c r="AK87" s="989" t="e">
        <f t="shared" si="9"/>
        <v>#N/A</v>
      </c>
      <c r="AQ87" s="61" t="str">
        <f t="shared" si="15"/>
        <v>-</v>
      </c>
      <c r="AR87" s="80"/>
      <c r="AS87" s="80"/>
      <c r="AT87" s="80"/>
      <c r="AU87" s="80"/>
      <c r="AV87" s="80"/>
    </row>
    <row r="88" spans="1:48" x14ac:dyDescent="0.25">
      <c r="A88" s="61" t="s">
        <v>253</v>
      </c>
      <c r="C88" s="206">
        <f t="shared" si="13"/>
        <v>9.8627268615223557E-2</v>
      </c>
      <c r="D88" s="7">
        <f t="shared" si="14"/>
        <v>1541.445581187329</v>
      </c>
      <c r="N88" s="61" t="s">
        <v>511</v>
      </c>
      <c r="O88" s="61" t="s">
        <v>653</v>
      </c>
      <c r="P88" s="61" t="s">
        <v>732</v>
      </c>
      <c r="Q88" s="61" t="str">
        <f t="shared" si="6"/>
        <v>CV4</v>
      </c>
      <c r="R88" s="61" t="s">
        <v>687</v>
      </c>
      <c r="S88" s="65"/>
      <c r="T88" s="255" t="s">
        <v>733</v>
      </c>
      <c r="U88" s="849" t="s">
        <v>687</v>
      </c>
      <c r="V88" s="992"/>
      <c r="W88" s="992"/>
      <c r="X88" s="992"/>
      <c r="Y88" s="992"/>
      <c r="Z88" s="992"/>
      <c r="AA88" s="992"/>
      <c r="AB88" s="992"/>
      <c r="AC88" s="166" t="str">
        <f t="shared" si="10"/>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989">
        <f t="shared" si="8"/>
        <v>-9.9900033333330616E-4</v>
      </c>
      <c r="AK88" s="989">
        <f t="shared" si="9"/>
        <v>-7.5326913841620392E-3</v>
      </c>
      <c r="AQ88" s="61" t="str">
        <f t="shared" si="15"/>
        <v>HCV4-ODS</v>
      </c>
      <c r="AR88" s="80"/>
      <c r="AS88" s="80"/>
      <c r="AT88" s="80"/>
      <c r="AU88" s="80"/>
      <c r="AV88" s="80"/>
    </row>
    <row r="89" spans="1:48" x14ac:dyDescent="0.25">
      <c r="A89" s="61" t="s">
        <v>251</v>
      </c>
      <c r="C89" s="206">
        <f>C73/$C$82</f>
        <v>9.8627268615223557E-2</v>
      </c>
      <c r="D89" s="7">
        <f t="shared" ref="D89" si="16">C89*$D$58</f>
        <v>1541.445581187329</v>
      </c>
      <c r="N89" s="61" t="s">
        <v>501</v>
      </c>
      <c r="O89" s="61" t="s">
        <v>653</v>
      </c>
      <c r="P89" s="61" t="s">
        <v>732</v>
      </c>
      <c r="Q89" s="61" t="str">
        <f t="shared" ref="Q89" si="17">RIGHT(P89,3)</f>
        <v>CV4</v>
      </c>
      <c r="R89" s="61" t="s">
        <v>687</v>
      </c>
      <c r="S89" s="65"/>
      <c r="T89" s="255" t="s">
        <v>733</v>
      </c>
      <c r="U89" s="849" t="s">
        <v>692</v>
      </c>
      <c r="V89" s="992"/>
      <c r="W89" s="992"/>
      <c r="X89" s="992"/>
      <c r="Y89" s="992"/>
      <c r="Z89" s="992"/>
      <c r="AA89" s="992"/>
      <c r="AB89" s="992"/>
      <c r="AC89" s="166" t="str">
        <f t="shared" ref="AC89" si="18">Q89&amp;N89</f>
        <v>CV4ELC</v>
      </c>
      <c r="AD89" s="990">
        <f>$AD$84/$AD$83*AD88</f>
        <v>2.9793005045194332</v>
      </c>
      <c r="AE89" s="990">
        <f t="array" ref="AE89">IF($W$1,AD89*(1+INDEX(AE$1:AE$2,MATCH($O89,$AA$1:$AA$2,0)))^(AE$16-AD$16),INDEX('AEA2012 update'!$AC$6:$AG$104,MATCH($T89&amp;$U89,'AEA2012 update'!$A$6:$A$104&amp;'AEA2012 update'!$B$6:$B$104,0),MATCH(AE$16,'AEA2012 update'!$AC$4:$AG$4,0)))</f>
        <v>2.9703715379280879</v>
      </c>
      <c r="AF89" s="990">
        <f t="array" ref="AF89">IF($W$1,AE89*(1+INDEX(AF$1:AF$2,MATCH($O89,$AA$1:$AA$2,0)))^(AF$16-AE$16),INDEX('AEA2012 update'!$AC$6:$AG$104,MATCH($T89&amp;$U89,'AEA2012 update'!$A$6:$A$104&amp;'AEA2012 update'!$B$6:$B$104,0),MATCH(AF$16,'AEA2012 update'!$AC$4:$AG$4,0)))</f>
        <v>2.8109857851761313</v>
      </c>
      <c r="AG89" s="990">
        <f t="array" ref="AG89">IF($W$1,AF89*(1+INDEX(AG$1:AG$2,MATCH($O89,$AA$1:$AA$2,0)))^(AG$16-AF$16),INDEX('AEA2012 update'!$AC$6:$AG$104,MATCH($T89&amp;$U89,'AEA2012 update'!$A$6:$A$104&amp;'AEA2012 update'!$B$6:$B$104,0),MATCH(AG$16,'AEA2012 update'!$AC$4:$AG$4,0)))</f>
        <v>2.5422051572178428</v>
      </c>
      <c r="AH89" s="990">
        <f t="array" ref="AH89">IF($W$1,AG89*(1+INDEX(AH$1:AH$2,MATCH($O89,$AA$1:$AA$2,0)))^(AH$16-AG$16),INDEX('AEA2012 update'!$AC$6:$AG$104,MATCH($T89&amp;$U89,'AEA2012 update'!$A$6:$A$104&amp;'AEA2012 update'!$B$6:$B$104,0),MATCH(AH$16,'AEA2012 update'!$AC$4:$AG$4,0)))</f>
        <v>2.2991247751827562</v>
      </c>
      <c r="AI89" s="67"/>
      <c r="AJ89" s="989">
        <f t="shared" ref="AJ89" si="19">-((AD89-AE89)/($AE$16-$AD$16))/AD89</f>
        <v>-9.9900033333333196E-4</v>
      </c>
      <c r="AK89" s="989">
        <f t="shared" ref="AK89" si="20">-((AE89-AH89)/($AH$16-$AE$16))/AE89</f>
        <v>-7.5326913841620409E-3</v>
      </c>
      <c r="AQ89" s="61" t="str">
        <f t="shared" si="15"/>
        <v>HCV4-ELC</v>
      </c>
      <c r="AR89" s="80"/>
      <c r="AS89" s="80"/>
      <c r="AT89" s="80"/>
      <c r="AU89" s="80"/>
      <c r="AV89" s="80"/>
    </row>
    <row r="90" spans="1:48" x14ac:dyDescent="0.25">
      <c r="A90" s="61" t="s">
        <v>251</v>
      </c>
      <c r="C90" s="206">
        <f>C74/$C$82</f>
        <v>2.2057216623212936E-3</v>
      </c>
      <c r="D90" s="7">
        <f t="shared" si="14"/>
        <v>34.473223860419495</v>
      </c>
      <c r="N90" s="61" t="s">
        <v>504</v>
      </c>
      <c r="O90" s="61" t="s">
        <v>653</v>
      </c>
      <c r="P90" s="61" t="s">
        <v>732</v>
      </c>
      <c r="Q90" s="61" t="str">
        <f t="shared" si="6"/>
        <v>CV4</v>
      </c>
      <c r="R90" s="61" t="s">
        <v>687</v>
      </c>
      <c r="S90" s="65"/>
      <c r="T90" s="255" t="s">
        <v>733</v>
      </c>
      <c r="U90" s="849" t="s">
        <v>699</v>
      </c>
      <c r="V90" s="992"/>
      <c r="W90" s="992"/>
      <c r="X90" s="992"/>
      <c r="Y90" s="992"/>
      <c r="Z90" s="992"/>
      <c r="AA90" s="992"/>
      <c r="AB90" s="992"/>
      <c r="AC90" s="166" t="str">
        <f t="shared" si="10"/>
        <v>CV4HGN</v>
      </c>
      <c r="AD90" s="67">
        <f>INDEX('Vehicle data '!$AD$20:$AD$110,MATCH($AC90,'Vehicle data '!$AC$20:$AC$110,0))/INDEX('Vehicle data '!$AD$20:$AD$110,MATCH($AC$88,'Vehicle data '!$AC$20:$AC$110,0))*AD$88</f>
        <v>4.6238205653232871</v>
      </c>
      <c r="AE90" s="67">
        <f t="array" ref="AE90">IF($W$1,AD90*(1+INDEX(AE$1:AE$2,MATCH($O90,$AA$1:$AA$2,0)))^(AE$16-AD$16),INDEX('AEA2012 update'!$AC$6:$AG$104,MATCH($T90&amp;$U90,'AEA2012 update'!$A$6:$A$104&amp;'AEA2012 update'!$B$6:$B$104,0),MATCH(AE$16,'AEA2012 update'!$AC$4:$AG$4,0)))</f>
        <v>4.609962970465193</v>
      </c>
      <c r="AF90" s="67">
        <f t="array" ref="AF90">IF($W$1,AE90*(1+INDEX(AF$1:AF$2,MATCH($O90,$AA$1:$AA$2,0)))^(AF$16-AE$16),INDEX('AEA2012 update'!$AC$6:$AG$104,MATCH($T90&amp;$U90,'AEA2012 update'!$A$6:$A$104&amp;'AEA2012 update'!$B$6:$B$104,0),MATCH(AF$16,'AEA2012 update'!$AC$4:$AG$4,0)))</f>
        <v>4.3625991613173465</v>
      </c>
      <c r="AG90" s="67">
        <f t="array" ref="AG90">IF($W$1,AF90*(1+INDEX(AG$1:AG$2,MATCH($O90,$AA$1:$AA$2,0)))^(AG$16-AF$16),INDEX('AEA2012 update'!$AC$6:$AG$104,MATCH($T90&amp;$U90,'AEA2012 update'!$A$6:$A$104&amp;'AEA2012 update'!$B$6:$B$104,0),MATCH(AG$16,'AEA2012 update'!$AC$4:$AG$4,0)))</f>
        <v>3.9454564819438511</v>
      </c>
      <c r="AH90" s="67">
        <f t="array" ref="AH90">IF($W$1,AG90*(1+INDEX(AH$1:AH$2,MATCH($O90,$AA$1:$AA$2,0)))^(AH$16-AG$16),INDEX('AEA2012 update'!$AC$6:$AG$104,MATCH($T90&amp;$U90,'AEA2012 update'!$A$6:$A$104&amp;'AEA2012 update'!$B$6:$B$104,0),MATCH(AH$16,'AEA2012 update'!$AC$4:$AG$4,0)))</f>
        <v>3.568200119997317</v>
      </c>
      <c r="AI90" s="67"/>
      <c r="AJ90" s="989">
        <f t="shared" si="8"/>
        <v>-9.9900033333330941E-4</v>
      </c>
      <c r="AK90" s="989">
        <f t="shared" si="9"/>
        <v>-7.5326913841620392E-3</v>
      </c>
      <c r="AQ90" s="61" t="str">
        <f t="shared" si="15"/>
        <v>HCV4-HGN</v>
      </c>
      <c r="AR90" s="80"/>
      <c r="AS90" s="80"/>
      <c r="AT90" s="80"/>
      <c r="AU90" s="80"/>
      <c r="AV90" s="80"/>
    </row>
    <row r="91" spans="1:48" x14ac:dyDescent="0.25">
      <c r="A91" s="61" t="s">
        <v>249</v>
      </c>
      <c r="C91" s="206">
        <f>C75/$C$82</f>
        <v>2.6123063005372002E-3</v>
      </c>
      <c r="D91" s="7">
        <f t="shared" si="14"/>
        <v>40.827735171095902</v>
      </c>
      <c r="N91" s="61" t="s">
        <v>509</v>
      </c>
      <c r="O91" s="61" t="s">
        <v>653</v>
      </c>
      <c r="P91" s="61" t="s">
        <v>732</v>
      </c>
      <c r="Q91" s="61" t="str">
        <f t="shared" ref="Q91:Q116" si="21">RIGHT(P91,3)</f>
        <v>CV4</v>
      </c>
      <c r="R91" s="61" t="s">
        <v>687</v>
      </c>
      <c r="S91" s="65"/>
      <c r="T91" s="255" t="s">
        <v>733</v>
      </c>
      <c r="U91" s="849" t="s">
        <v>700</v>
      </c>
      <c r="V91" s="992"/>
      <c r="W91" s="992"/>
      <c r="X91" s="992"/>
      <c r="Y91" s="992"/>
      <c r="Z91" s="992"/>
      <c r="AA91" s="992"/>
      <c r="AB91" s="992"/>
      <c r="AC91" s="166" t="str">
        <f t="shared" si="10"/>
        <v>CV4GAS</v>
      </c>
      <c r="AD91" s="67">
        <f>INDEX('Vehicle data '!$AD$20:$AD$110,MATCH($AC91,'Vehicle data '!$AC$20:$AC$110,0))/INDEX('Vehicle data '!$AD$20:$AD$110,MATCH($AC$88,'Vehicle data '!$AC$20:$AC$110,0))*AD$88</f>
        <v>11.218255113394497</v>
      </c>
      <c r="AE91" s="67">
        <f t="array" ref="AE91">IF($W$1,AD91*(1+INDEX(AE$1:AE$2,MATCH($O91,$AA$1:$AA$2,0)))^(AE$16-AD$16),INDEX('AEA2012 update'!$AC$6:$AG$104,MATCH($T91&amp;$U91,'AEA2012 update'!$A$6:$A$104&amp;'AEA2012 update'!$B$6:$B$104,0),MATCH(AE$16,'AEA2012 update'!$AC$4:$AG$4,0)))</f>
        <v>11.184633991601398</v>
      </c>
      <c r="AF91" s="67">
        <f t="array" ref="AF91">IF($W$1,AE91*(1+INDEX(AF$1:AF$2,MATCH($O91,$AA$1:$AA$2,0)))^(AF$16-AE$16),INDEX('AEA2012 update'!$AC$6:$AG$104,MATCH($T91&amp;$U91,'AEA2012 update'!$A$6:$A$104&amp;'AEA2012 update'!$B$6:$B$104,0),MATCH(AF$16,'AEA2012 update'!$AC$4:$AG$4,0)))</f>
        <v>10.584483039020574</v>
      </c>
      <c r="AG91" s="67">
        <f t="array" ref="AG91">IF($W$1,AF91*(1+INDEX(AG$1:AG$2,MATCH($O91,$AA$1:$AA$2,0)))^(AG$16-AF$16),INDEX('AEA2012 update'!$AC$6:$AG$104,MATCH($T91&amp;$U91,'AEA2012 update'!$A$6:$A$104&amp;'AEA2012 update'!$B$6:$B$104,0),MATCH(AG$16,'AEA2012 update'!$AC$4:$AG$4,0)))</f>
        <v>9.5724167337249213</v>
      </c>
      <c r="AH91" s="67">
        <f t="array" ref="AH91">IF($W$1,AG91*(1+INDEX(AH$1:AH$2,MATCH($O91,$AA$1:$AA$2,0)))^(AH$16-AG$16),INDEX('AEA2012 update'!$AC$6:$AG$104,MATCH($T91&amp;$U91,'AEA2012 update'!$A$6:$A$104&amp;'AEA2012 update'!$B$6:$B$104,0),MATCH(AH$16,'AEA2012 update'!$AC$4:$AG$4,0)))</f>
        <v>8.6571221084951446</v>
      </c>
      <c r="AI91" s="67"/>
      <c r="AJ91" s="989">
        <f t="shared" ref="AJ91:AJ117" si="22">-((AD91-AE91)/($AE$16-$AD$16))/AD91</f>
        <v>-9.9900033333333261E-4</v>
      </c>
      <c r="AK91" s="989">
        <f t="shared" ref="AK91:AK116" si="23">-((AE91-AH91)/($AH$16-$AE$16))/AE91</f>
        <v>-7.5326913841620435E-3</v>
      </c>
      <c r="AQ91" s="61" t="str">
        <f t="shared" si="15"/>
        <v>HCV4-GAS</v>
      </c>
      <c r="AR91" s="80"/>
      <c r="AS91" s="80"/>
      <c r="AT91" s="80"/>
      <c r="AU91" s="80"/>
      <c r="AV91" s="80"/>
    </row>
    <row r="92" spans="1:48" x14ac:dyDescent="0.25">
      <c r="C92" s="76">
        <f>SUM(C83:C91)</f>
        <v>1.0986272686152234</v>
      </c>
      <c r="D92" s="7">
        <f>SUM(D83:D91)</f>
        <v>17170.445581187327</v>
      </c>
      <c r="O92" s="61" t="s">
        <v>653</v>
      </c>
      <c r="Q92" s="61" t="str">
        <f t="shared" si="21"/>
        <v/>
      </c>
      <c r="S92" s="65"/>
      <c r="T92" s="255"/>
      <c r="U92" s="259"/>
      <c r="V92" s="992"/>
      <c r="W92" s="992"/>
      <c r="X92" s="992"/>
      <c r="Y92" s="992"/>
      <c r="Z92" s="992"/>
      <c r="AA92" s="992"/>
      <c r="AB92" s="992"/>
      <c r="AC92" s="166" t="str">
        <f t="shared" si="10"/>
        <v/>
      </c>
      <c r="AD92" s="67" t="e">
        <f>1/INDEX(Analytica!$AA$17:$AE$48,MATCH($AC92,Analytica!$A$17:$A$48,0),MATCH(AD$16,Analytica!$AA$16:$AE$16,0))</f>
        <v>#N/A</v>
      </c>
      <c r="AE92" s="67" t="e">
        <f t="array" ref="AE92">IF($W$1,AD92*(1+INDEX(AE$1:AE$2,MATCH($O92,$AA$1:$AA$2,0)))^(AE$16-AD$16),INDEX('AEA2012 update'!$AC$6:$AG$104,MATCH($T92&amp;$U92,'AEA2012 update'!$A$6:$A$104&amp;'AEA2012 update'!$B$6:$B$104,0),MATCH(AE$16,'AEA2012 update'!$AC$4:$AG$4,0)))</f>
        <v>#N/A</v>
      </c>
      <c r="AF92" s="67" t="e">
        <f t="array" ref="AF92">IF($W$1,AE92*(1+INDEX(AF$1:AF$2,MATCH($O92,$AA$1:$AA$2,0)))^(AF$16-AE$16),INDEX('AEA2012 update'!$AC$6:$AG$104,MATCH($T92&amp;$U92,'AEA2012 update'!$A$6:$A$104&amp;'AEA2012 update'!$B$6:$B$104,0),MATCH(AF$16,'AEA2012 update'!$AC$4:$AG$4,0)))</f>
        <v>#N/A</v>
      </c>
      <c r="AG92" s="67" t="e">
        <f t="array" ref="AG92">IF($W$1,AF92*(1+INDEX(AG$1:AG$2,MATCH($O92,$AA$1:$AA$2,0)))^(AG$16-AF$16),INDEX('AEA2012 update'!$AC$6:$AG$104,MATCH($T92&amp;$U92,'AEA2012 update'!$A$6:$A$104&amp;'AEA2012 update'!$B$6:$B$104,0),MATCH(AG$16,'AEA2012 update'!$AC$4:$AG$4,0)))</f>
        <v>#N/A</v>
      </c>
      <c r="AH92" s="67" t="e">
        <f t="array" ref="AH92">IF($W$1,AG92*(1+INDEX(AH$1:AH$2,MATCH($O92,$AA$1:$AA$2,0)))^(AH$16-AG$16),INDEX('AEA2012 update'!$AC$6:$AG$104,MATCH($T92&amp;$U92,'AEA2012 update'!$A$6:$A$104&amp;'AEA2012 update'!$B$6:$B$104,0),MATCH(AH$16,'AEA2012 update'!$AC$4:$AG$4,0)))</f>
        <v>#N/A</v>
      </c>
      <c r="AI92" s="67"/>
      <c r="AJ92" s="989" t="e">
        <f t="shared" si="22"/>
        <v>#N/A</v>
      </c>
      <c r="AK92" s="989" t="e">
        <f t="shared" si="23"/>
        <v>#N/A</v>
      </c>
      <c r="AQ92" s="61" t="str">
        <f t="shared" si="15"/>
        <v>-</v>
      </c>
      <c r="AR92" s="80"/>
      <c r="AS92" s="80"/>
      <c r="AT92" s="80"/>
      <c r="AU92" s="80"/>
      <c r="AV92" s="80"/>
    </row>
    <row r="93" spans="1:48" x14ac:dyDescent="0.25">
      <c r="N93" s="61" t="s">
        <v>511</v>
      </c>
      <c r="O93" s="61" t="s">
        <v>653</v>
      </c>
      <c r="P93" s="61" t="s">
        <v>734</v>
      </c>
      <c r="Q93" s="61" t="str">
        <f t="shared" si="21"/>
        <v>CV5</v>
      </c>
      <c r="R93" s="61" t="s">
        <v>687</v>
      </c>
      <c r="S93" s="65"/>
      <c r="T93" s="255" t="s">
        <v>735</v>
      </c>
      <c r="U93" s="849" t="s">
        <v>687</v>
      </c>
      <c r="V93" s="992"/>
      <c r="W93" s="992"/>
      <c r="X93" s="992"/>
      <c r="Y93" s="992"/>
      <c r="Z93" s="992"/>
      <c r="AA93" s="992"/>
      <c r="AB93" s="992"/>
      <c r="AC93" s="166" t="str">
        <f t="shared" ref="AC93:AC116" si="24">Q93&amp;N93</f>
        <v>CV5ODS</v>
      </c>
      <c r="AD93" s="67">
        <f>1/INDEX(Analytica!$AA$17:$AE$48,MATCH($AC93,Analytica!$A$17:$A$48,0),MATCH(AD$16,Analytica!$AA$16:$AE$16,0))</f>
        <v>10.588781032925946</v>
      </c>
      <c r="AE93" s="67">
        <f t="array" ref="AE93">IF($W$1,AD93*(1+INDEX(AE$1:AE$2,MATCH($O93,$AA$1:$AA$2,0)))^(AE$16-AD$16),INDEX('AEA2012 update'!$AC$6:$AG$104,MATCH($T93&amp;$U93,'AEA2012 update'!$A$6:$A$104&amp;'AEA2012 update'!$B$6:$B$104,0),MATCH(AE$16,'AEA2012 update'!$AC$4:$AG$4,0)))</f>
        <v>10.557046445581486</v>
      </c>
      <c r="AF93" s="67">
        <f t="array" ref="AF93">IF($W$1,AE93*(1+INDEX(AF$1:AF$2,MATCH($O93,$AA$1:$AA$2,0)))^(AF$16-AE$16),INDEX('AEA2012 update'!$AC$6:$AG$104,MATCH($T93&amp;$U93,'AEA2012 update'!$A$6:$A$104&amp;'AEA2012 update'!$B$6:$B$104,0),MATCH(AF$16,'AEA2012 update'!$AC$4:$AG$4,0)))</f>
        <v>9.9905709144632269</v>
      </c>
      <c r="AG93" s="67">
        <f t="array" ref="AG93">IF($W$1,AF93*(1+INDEX(AG$1:AG$2,MATCH($O93,$AA$1:$AA$2,0)))^(AG$16-AF$16),INDEX('AEA2012 update'!$AC$6:$AG$104,MATCH($T93&amp;$U93,'AEA2012 update'!$A$6:$A$104&amp;'AEA2012 update'!$B$6:$B$104,0),MATCH(AG$16,'AEA2012 update'!$AC$4:$AG$4,0)))</f>
        <v>9.035293254144861</v>
      </c>
      <c r="AH93" s="67">
        <f t="array" ref="AH93">IF($W$1,AG93*(1+INDEX(AH$1:AH$2,MATCH($O93,$AA$1:$AA$2,0)))^(AH$16-AG$16),INDEX('AEA2012 update'!$AC$6:$AG$104,MATCH($T93&amp;$U93,'AEA2012 update'!$A$6:$A$104&amp;'AEA2012 update'!$B$6:$B$104,0),MATCH(AH$16,'AEA2012 update'!$AC$4:$AG$4,0)))</f>
        <v>8.1713572614965813</v>
      </c>
      <c r="AI93" s="67"/>
      <c r="AJ93" s="989">
        <f t="shared" si="22"/>
        <v>-9.9900033333331288E-4</v>
      </c>
      <c r="AK93" s="989">
        <f t="shared" si="23"/>
        <v>-7.5326913841620409E-3</v>
      </c>
      <c r="AQ93" s="61" t="str">
        <f t="shared" si="15"/>
        <v>HCV5-ODS</v>
      </c>
      <c r="AR93" s="80"/>
      <c r="AS93" s="80"/>
      <c r="AT93" s="80"/>
      <c r="AU93" s="80"/>
      <c r="AV93" s="80"/>
    </row>
    <row r="94" spans="1:48" x14ac:dyDescent="0.25">
      <c r="A94" s="61" t="s">
        <v>251</v>
      </c>
      <c r="C94" s="206">
        <f>C78/$C$82</f>
        <v>0</v>
      </c>
      <c r="D94" s="7">
        <f t="shared" ref="D94" si="25">C94*$D$58</f>
        <v>0</v>
      </c>
      <c r="N94" s="61" t="s">
        <v>501</v>
      </c>
      <c r="O94" s="61" t="s">
        <v>653</v>
      </c>
      <c r="P94" s="61" t="s">
        <v>734</v>
      </c>
      <c r="Q94" s="61" t="str">
        <f t="shared" si="21"/>
        <v>CV5</v>
      </c>
      <c r="R94" s="61" t="s">
        <v>687</v>
      </c>
      <c r="S94" s="65"/>
      <c r="T94" s="255" t="s">
        <v>735</v>
      </c>
      <c r="U94" s="849" t="s">
        <v>692</v>
      </c>
      <c r="V94" s="992"/>
      <c r="W94" s="992"/>
      <c r="X94" s="992"/>
      <c r="Y94" s="992"/>
      <c r="Z94" s="992"/>
      <c r="AA94" s="992"/>
      <c r="AB94" s="992"/>
      <c r="AC94" s="166" t="str">
        <f t="shared" si="24"/>
        <v>CV5ELC</v>
      </c>
      <c r="AD94" s="990">
        <f>$AD$84/$AD$83*AD93</f>
        <v>3.23394631410827</v>
      </c>
      <c r="AE94" s="990">
        <f t="array" ref="AE94">IF($W$1,AD94*(1+INDEX(AE$1:AE$2,MATCH($O94,$AA$1:$AA$2,0)))^(AE$16-AD$16),INDEX('AEA2012 update'!$AC$6:$AG$104,MATCH($T94&amp;$U94,'AEA2012 update'!$A$6:$A$104&amp;'AEA2012 update'!$B$6:$B$104,0),MATCH(AE$16,'AEA2012 update'!$AC$4:$AG$4,0)))</f>
        <v>3.2242541737709414</v>
      </c>
      <c r="AF94" s="990">
        <f t="array" ref="AF94">IF($W$1,AE94*(1+INDEX(AF$1:AF$2,MATCH($O94,$AA$1:$AA$2,0)))^(AF$16-AE$16),INDEX('AEA2012 update'!$AC$6:$AG$104,MATCH($T94&amp;$U94,'AEA2012 update'!$A$6:$A$104&amp;'AEA2012 update'!$B$6:$B$104,0),MATCH(AF$16,'AEA2012 update'!$AC$4:$AG$4,0)))</f>
        <v>3.0512454534852029</v>
      </c>
      <c r="AG94" s="990">
        <f t="array" ref="AG94">IF($W$1,AF94*(1+INDEX(AG$1:AG$2,MATCH($O94,$AA$1:$AA$2,0)))^(AG$16-AF$16),INDEX('AEA2012 update'!$AC$6:$AG$104,MATCH($T94&amp;$U94,'AEA2012 update'!$A$6:$A$104&amp;'AEA2012 update'!$B$6:$B$104,0),MATCH(AG$16,'AEA2012 update'!$AC$4:$AG$4,0)))</f>
        <v>2.7594916945841277</v>
      </c>
      <c r="AH94" s="990">
        <f t="array" ref="AH94">IF($W$1,AG94*(1+INDEX(AH$1:AH$2,MATCH($O94,$AA$1:$AA$2,0)))^(AH$16-AG$16),INDEX('AEA2012 update'!$AC$6:$AG$104,MATCH($T94&amp;$U94,'AEA2012 update'!$A$6:$A$104&amp;'AEA2012 update'!$B$6:$B$104,0),MATCH(AH$16,'AEA2012 update'!$AC$4:$AG$4,0)))</f>
        <v>2.495634824717555</v>
      </c>
      <c r="AI94" s="67"/>
      <c r="AJ94" s="989">
        <f t="shared" si="22"/>
        <v>-9.9900033333332112E-4</v>
      </c>
      <c r="AK94" s="989">
        <f t="shared" si="23"/>
        <v>-7.5326913841620435E-3</v>
      </c>
      <c r="AQ94" s="61" t="str">
        <f t="shared" si="15"/>
        <v>HCV5-ELC</v>
      </c>
      <c r="AR94" s="80"/>
      <c r="AS94" s="80"/>
      <c r="AT94" s="80"/>
      <c r="AU94" s="80"/>
      <c r="AV94" s="80"/>
    </row>
    <row r="95" spans="1:48" x14ac:dyDescent="0.25">
      <c r="N95" s="61" t="s">
        <v>504</v>
      </c>
      <c r="O95" s="61" t="s">
        <v>653</v>
      </c>
      <c r="P95" s="61" t="s">
        <v>734</v>
      </c>
      <c r="Q95" s="61" t="str">
        <f t="shared" si="21"/>
        <v>CV5</v>
      </c>
      <c r="R95" s="61" t="s">
        <v>687</v>
      </c>
      <c r="S95" s="65"/>
      <c r="T95" s="255" t="s">
        <v>735</v>
      </c>
      <c r="U95" s="849" t="s">
        <v>699</v>
      </c>
      <c r="V95" s="992"/>
      <c r="W95" s="992"/>
      <c r="X95" s="992"/>
      <c r="Y95" s="992"/>
      <c r="Z95" s="992"/>
      <c r="AA95" s="992"/>
      <c r="AB95" s="992"/>
      <c r="AC95" s="166" t="str">
        <f t="shared" si="24"/>
        <v>CV5HGN</v>
      </c>
      <c r="AD95" s="67">
        <f>INDEX('Vehicle data '!$AD$20:$AD$110,MATCH($AC95,'Vehicle data '!$AC$20:$AC$110,0))/INDEX('Vehicle data '!$AD$20:$AD$110,MATCH($AC$93,'Vehicle data '!$AC$20:$AC$110,0))*AD$93</f>
        <v>5.0190262619168848</v>
      </c>
      <c r="AE95" s="67">
        <f t="array" ref="AE95">IF($W$1,AD95*(1+INDEX(AE$1:AE$2,MATCH($O95,$AA$1:$AA$2,0)))^(AE$16-AD$16),INDEX('AEA2012 update'!$AC$6:$AG$104,MATCH($T95&amp;$U95,'AEA2012 update'!$A$6:$A$104&amp;'AEA2012 update'!$B$6:$B$104,0),MATCH(AE$16,'AEA2012 update'!$AC$4:$AG$4,0)))</f>
        <v>5.0039842351908934</v>
      </c>
      <c r="AF95" s="67">
        <f t="array" ref="AF95">IF($W$1,AE95*(1+INDEX(AF$1:AF$2,MATCH($O95,$AA$1:$AA$2,0)))^(AF$16-AE$16),INDEX('AEA2012 update'!$AC$6:$AG$104,MATCH($T95&amp;$U95,'AEA2012 update'!$A$6:$A$104&amp;'AEA2012 update'!$B$6:$B$104,0),MATCH(AF$16,'AEA2012 update'!$AC$4:$AG$4,0)))</f>
        <v>4.7354778265141038</v>
      </c>
      <c r="AG95" s="67">
        <f t="array" ref="AG95">IF($W$1,AF95*(1+INDEX(AG$1:AG$2,MATCH($O95,$AA$1:$AA$2,0)))^(AG$16-AF$16),INDEX('AEA2012 update'!$AC$6:$AG$104,MATCH($T95&amp;$U95,'AEA2012 update'!$A$6:$A$104&amp;'AEA2012 update'!$B$6:$B$104,0),MATCH(AG$16,'AEA2012 update'!$AC$4:$AG$4,0)))</f>
        <v>4.2826812629010078</v>
      </c>
      <c r="AH95" s="67">
        <f t="array" ref="AH95">IF($W$1,AG95*(1+INDEX(AH$1:AH$2,MATCH($O95,$AA$1:$AA$2,0)))^(AH$16-AG$16),INDEX('AEA2012 update'!$AC$6:$AG$104,MATCH($T95&amp;$U95,'AEA2012 update'!$A$6:$A$104&amp;'AEA2012 update'!$B$6:$B$104,0),MATCH(AH$16,'AEA2012 update'!$AC$4:$AG$4,0)))</f>
        <v>3.8731801671437398</v>
      </c>
      <c r="AI95" s="67"/>
      <c r="AJ95" s="989">
        <f t="shared" si="22"/>
        <v>-9.9900033333335018E-4</v>
      </c>
      <c r="AK95" s="989">
        <f t="shared" si="23"/>
        <v>-7.5326913841620401E-3</v>
      </c>
      <c r="AQ95" s="61" t="str">
        <f t="shared" si="15"/>
        <v>HCV5-HGN</v>
      </c>
      <c r="AR95" s="80"/>
      <c r="AS95" s="80"/>
      <c r="AT95" s="80"/>
      <c r="AU95" s="80"/>
      <c r="AV95" s="80"/>
    </row>
    <row r="96" spans="1:48" x14ac:dyDescent="0.25">
      <c r="N96" s="61" t="s">
        <v>509</v>
      </c>
      <c r="O96" s="61" t="s">
        <v>653</v>
      </c>
      <c r="P96" s="61" t="s">
        <v>734</v>
      </c>
      <c r="Q96" s="61" t="str">
        <f t="shared" si="21"/>
        <v>CV5</v>
      </c>
      <c r="R96" s="61" t="s">
        <v>687</v>
      </c>
      <c r="S96" s="65"/>
      <c r="T96" s="255" t="s">
        <v>735</v>
      </c>
      <c r="U96" s="849" t="s">
        <v>700</v>
      </c>
      <c r="V96" s="992"/>
      <c r="W96" s="992"/>
      <c r="X96" s="992"/>
      <c r="Y96" s="992"/>
      <c r="Z96" s="992"/>
      <c r="AA96" s="992"/>
      <c r="AB96" s="992"/>
      <c r="AC96" s="166" t="str">
        <f t="shared" si="24"/>
        <v>CV5GAS</v>
      </c>
      <c r="AD96" s="67">
        <f>INDEX('Vehicle data '!$AD$20:$AD$110,MATCH($AC96,'Vehicle data '!$AC$20:$AC$110,0))/INDEX('Vehicle data '!$AD$20:$AD$110,MATCH($AC$93,'Vehicle data '!$AC$20:$AC$110,0))*AD$93</f>
        <v>12.177098187864836</v>
      </c>
      <c r="AE96" s="67">
        <f t="array" ref="AE96">IF($W$1,AD96*(1+INDEX(AE$1:AE$2,MATCH($O96,$AA$1:$AA$2,0)))^(AE$16-AD$16),INDEX('AEA2012 update'!$AC$6:$AG$104,MATCH($T96&amp;$U96,'AEA2012 update'!$A$6:$A$104&amp;'AEA2012 update'!$B$6:$B$104,0),MATCH(AE$16,'AEA2012 update'!$AC$4:$AG$4,0)))</f>
        <v>12.140603412418706</v>
      </c>
      <c r="AF96" s="67">
        <f t="array" ref="AF96">IF($W$1,AE96*(1+INDEX(AF$1:AF$2,MATCH($O96,$AA$1:$AA$2,0)))^(AF$16-AE$16),INDEX('AEA2012 update'!$AC$6:$AG$104,MATCH($T96&amp;$U96,'AEA2012 update'!$A$6:$A$104&amp;'AEA2012 update'!$B$6:$B$104,0),MATCH(AF$16,'AEA2012 update'!$AC$4:$AG$4,0)))</f>
        <v>11.489156551632709</v>
      </c>
      <c r="AG96" s="67">
        <f t="array" ref="AG96">IF($W$1,AF96*(1+INDEX(AG$1:AG$2,MATCH($O96,$AA$1:$AA$2,0)))^(AG$16-AF$16),INDEX('AEA2012 update'!$AC$6:$AG$104,MATCH($T96&amp;$U96,'AEA2012 update'!$A$6:$A$104&amp;'AEA2012 update'!$B$6:$B$104,0),MATCH(AG$16,'AEA2012 update'!$AC$4:$AG$4,0)))</f>
        <v>10.390587242266587</v>
      </c>
      <c r="AH96" s="67">
        <f t="array" ref="AH96">IF($W$1,AG96*(1+INDEX(AH$1:AH$2,MATCH($O96,$AA$1:$AA$2,0)))^(AH$16-AG$16),INDEX('AEA2012 update'!$AC$6:$AG$104,MATCH($T96&amp;$U96,'AEA2012 update'!$A$6:$A$104&amp;'AEA2012 update'!$B$6:$B$104,0),MATCH(AH$16,'AEA2012 update'!$AC$4:$AG$4,0)))</f>
        <v>9.3970608507210649</v>
      </c>
      <c r="AI96" s="67"/>
      <c r="AJ96" s="989">
        <f t="shared" si="22"/>
        <v>-9.9900033333335191E-4</v>
      </c>
      <c r="AK96" s="989">
        <f t="shared" si="23"/>
        <v>-7.5326913841620444E-3</v>
      </c>
      <c r="AQ96" s="61" t="str">
        <f t="shared" si="15"/>
        <v>HCV5-GAS</v>
      </c>
      <c r="AR96" s="80"/>
      <c r="AS96" s="80"/>
      <c r="AT96" s="80"/>
      <c r="AU96" s="80"/>
      <c r="AV96" s="80"/>
    </row>
    <row r="97" spans="1:51" x14ac:dyDescent="0.25">
      <c r="B97"/>
      <c r="C97"/>
      <c r="D97"/>
      <c r="E97"/>
      <c r="F97"/>
      <c r="G97"/>
      <c r="H97"/>
      <c r="I97"/>
      <c r="J97"/>
      <c r="O97" s="61" t="s">
        <v>653</v>
      </c>
      <c r="Q97" s="61" t="str">
        <f t="shared" si="21"/>
        <v/>
      </c>
      <c r="S97" s="65"/>
      <c r="T97" s="255"/>
      <c r="V97" s="992"/>
      <c r="W97" s="992"/>
      <c r="X97" s="992"/>
      <c r="Y97" s="992"/>
      <c r="Z97" s="992"/>
      <c r="AA97" s="992"/>
      <c r="AB97" s="992"/>
      <c r="AC97" s="166" t="str">
        <f t="shared" si="24"/>
        <v/>
      </c>
      <c r="AD97" s="67" t="e">
        <f>1/INDEX(Analytica!$AA$17:$AE$48,MATCH($AC97,Analytica!$A$17:$A$48,0),MATCH(AD$16,Analytica!$AA$16:$AE$16,0))</f>
        <v>#N/A</v>
      </c>
      <c r="AE97" s="67" t="e">
        <f t="array" ref="AE97">IF($W$1,AD97*(1+INDEX(AE$1:AE$2,MATCH($O97,$AA$1:$AA$2,0)))^(AE$16-AD$16),INDEX('AEA2012 update'!$AC$6:$AG$104,MATCH($T97&amp;$U97,'AEA2012 update'!$A$6:$A$104&amp;'AEA2012 update'!$B$6:$B$104,0),MATCH(AE$16,'AEA2012 update'!$AC$4:$AG$4,0)))</f>
        <v>#N/A</v>
      </c>
      <c r="AF97" s="67" t="e">
        <f t="array" ref="AF97">IF($W$1,AE97*(1+INDEX(AF$1:AF$2,MATCH($O97,$AA$1:$AA$2,0)))^(AF$16-AE$16),INDEX('AEA2012 update'!$AC$6:$AG$104,MATCH($T97&amp;$U97,'AEA2012 update'!$A$6:$A$104&amp;'AEA2012 update'!$B$6:$B$104,0),MATCH(AF$16,'AEA2012 update'!$AC$4:$AG$4,0)))</f>
        <v>#N/A</v>
      </c>
      <c r="AG97" s="67" t="e">
        <f t="array" ref="AG97">IF($W$1,AF97*(1+INDEX(AG$1:AG$2,MATCH($O97,$AA$1:$AA$2,0)))^(AG$16-AF$16),INDEX('AEA2012 update'!$AC$6:$AG$104,MATCH($T97&amp;$U97,'AEA2012 update'!$A$6:$A$104&amp;'AEA2012 update'!$B$6:$B$104,0),MATCH(AG$16,'AEA2012 update'!$AC$4:$AG$4,0)))</f>
        <v>#N/A</v>
      </c>
      <c r="AH97" s="67" t="e">
        <f t="array" ref="AH97">IF($W$1,AG97*(1+INDEX(AH$1:AH$2,MATCH($O97,$AA$1:$AA$2,0)))^(AH$16-AG$16),INDEX('AEA2012 update'!$AC$6:$AG$104,MATCH($T97&amp;$U97,'AEA2012 update'!$A$6:$A$104&amp;'AEA2012 update'!$B$6:$B$104,0),MATCH(AH$16,'AEA2012 update'!$AC$4:$AG$4,0)))</f>
        <v>#N/A</v>
      </c>
      <c r="AI97" s="67"/>
      <c r="AJ97" s="989" t="e">
        <f t="shared" si="22"/>
        <v>#N/A</v>
      </c>
      <c r="AK97" s="989" t="e">
        <f t="shared" si="23"/>
        <v>#N/A</v>
      </c>
      <c r="AQ97" s="61" t="str">
        <f t="shared" si="15"/>
        <v>-</v>
      </c>
      <c r="AR97" s="80"/>
      <c r="AS97" s="80"/>
      <c r="AT97" s="80"/>
      <c r="AU97" s="80"/>
      <c r="AV97" s="80"/>
    </row>
    <row r="98" spans="1:51" x14ac:dyDescent="0.25">
      <c r="A98" t="s">
        <v>736</v>
      </c>
      <c r="B98" t="s">
        <v>737</v>
      </c>
      <c r="C98" t="s">
        <v>738</v>
      </c>
      <c r="D98"/>
      <c r="E98"/>
      <c r="F98"/>
      <c r="G98" t="s">
        <v>737</v>
      </c>
      <c r="H98" t="s">
        <v>739</v>
      </c>
      <c r="I98"/>
      <c r="J98" t="s">
        <v>740</v>
      </c>
      <c r="N98" s="61" t="s">
        <v>511</v>
      </c>
      <c r="O98" s="61" t="s">
        <v>653</v>
      </c>
      <c r="P98" s="61" t="s">
        <v>741</v>
      </c>
      <c r="Q98" s="61" t="str">
        <f t="shared" si="21"/>
        <v>CV6</v>
      </c>
      <c r="R98" s="61" t="s">
        <v>687</v>
      </c>
      <c r="S98" s="65"/>
      <c r="T98" s="255" t="s">
        <v>735</v>
      </c>
      <c r="U98" s="849" t="s">
        <v>687</v>
      </c>
      <c r="V98" s="992"/>
      <c r="W98" s="992"/>
      <c r="X98" s="992"/>
      <c r="Y98" s="992"/>
      <c r="Z98" s="992"/>
      <c r="AA98" s="992"/>
      <c r="AB98" s="992"/>
      <c r="AC98" s="166" t="str">
        <f t="shared" si="24"/>
        <v>CV6ODS</v>
      </c>
      <c r="AD98" s="67">
        <f>1/INDEX(Analytica!$AA$17:$AE$48,MATCH($AC98,Analytica!$A$17:$A$48,0),MATCH(AD$16,Analytica!$AA$16:$AE$16,0))</f>
        <v>15.351533031153163</v>
      </c>
      <c r="AE98" s="67">
        <f t="array" ref="AE98">IF($W$1,AD98*(1+INDEX(AE$1:AE$2,MATCH($O98,$AA$1:$AA$2,0)))^(AE$16-AD$16),INDEX('AEA2012 update'!$AC$6:$AG$104,MATCH($T98&amp;$U98,'AEA2012 update'!$A$6:$A$104&amp;'AEA2012 update'!$B$6:$B$104,0),MATCH(AE$16,'AEA2012 update'!$AC$4:$AG$4,0)))</f>
        <v>15.305524471307264</v>
      </c>
      <c r="AF98" s="67">
        <f t="array" ref="AF98">IF($W$1,AE98*(1+INDEX(AF$1:AF$2,MATCH($O98,$AA$1:$AA$2,0)))^(AF$16-AE$16),INDEX('AEA2012 update'!$AC$6:$AG$104,MATCH($T98&amp;$U98,'AEA2012 update'!$A$6:$A$104&amp;'AEA2012 update'!$B$6:$B$104,0),MATCH(AF$16,'AEA2012 update'!$AC$4:$AG$4,0)))</f>
        <v>14.484252617610334</v>
      </c>
      <c r="AG98" s="67">
        <f t="array" ref="AG98">IF($W$1,AF98*(1+INDEX(AG$1:AG$2,MATCH($O98,$AA$1:$AA$2,0)))^(AG$16-AF$16),INDEX('AEA2012 update'!$AC$6:$AG$104,MATCH($T98&amp;$U98,'AEA2012 update'!$A$6:$A$104&amp;'AEA2012 update'!$B$6:$B$104,0),MATCH(AG$16,'AEA2012 update'!$AC$4:$AG$4,0)))</f>
        <v>13.099298437266139</v>
      </c>
      <c r="AH98" s="67">
        <f t="array" ref="AH98">IF($W$1,AG98*(1+INDEX(AH$1:AH$2,MATCH($O98,$AA$1:$AA$2,0)))^(AH$16-AG$16),INDEX('AEA2012 update'!$AC$6:$AG$104,MATCH($T98&amp;$U98,'AEA2012 update'!$A$6:$A$104&amp;'AEA2012 update'!$B$6:$B$104,0),MATCH(AH$16,'AEA2012 update'!$AC$4:$AG$4,0)))</f>
        <v>11.846770701854338</v>
      </c>
      <c r="AI98" s="67"/>
      <c r="AJ98" s="989">
        <f t="shared" si="22"/>
        <v>-9.9900033333335169E-4</v>
      </c>
      <c r="AK98" s="989">
        <f t="shared" si="23"/>
        <v>-7.5326913841620435E-3</v>
      </c>
      <c r="AQ98" s="61" t="str">
        <f t="shared" si="15"/>
        <v>HCV6-ODS</v>
      </c>
      <c r="AR98" s="80"/>
      <c r="AS98" s="80"/>
      <c r="AT98" s="80"/>
      <c r="AU98" s="80"/>
      <c r="AV98" s="80"/>
    </row>
    <row r="99" spans="1:51" x14ac:dyDescent="0.25">
      <c r="A99" s="61" t="s">
        <v>251</v>
      </c>
      <c r="C99" s="206">
        <f>C83/$C$82</f>
        <v>2.0626933459379777</v>
      </c>
      <c r="D99" s="7">
        <f t="shared" ref="D99" si="26">C99*$D$58</f>
        <v>32237.834303664655</v>
      </c>
      <c r="N99" s="61" t="s">
        <v>501</v>
      </c>
      <c r="O99" s="61" t="s">
        <v>653</v>
      </c>
      <c r="P99" s="61" t="s">
        <v>741</v>
      </c>
      <c r="Q99" s="61" t="str">
        <f t="shared" ref="Q99" si="27">RIGHT(P99,3)</f>
        <v>CV6</v>
      </c>
      <c r="R99" s="61" t="s">
        <v>687</v>
      </c>
      <c r="S99" s="65"/>
      <c r="T99" s="255" t="s">
        <v>735</v>
      </c>
      <c r="U99" s="849" t="s">
        <v>692</v>
      </c>
      <c r="V99" s="992"/>
      <c r="W99" s="992"/>
      <c r="X99" s="992"/>
      <c r="Y99" s="992"/>
      <c r="Z99" s="992"/>
      <c r="AA99" s="992"/>
      <c r="AB99" s="992"/>
      <c r="AC99" s="166" t="str">
        <f t="shared" ref="AC99" si="28">Q99&amp;N99</f>
        <v>CV6ELC</v>
      </c>
      <c r="AD99" s="990">
        <f>$AD$84/$AD$83*AD98</f>
        <v>4.6885504108201097</v>
      </c>
      <c r="AE99" s="990">
        <f t="array" ref="AE99">IF($W$1,AD99*(1+INDEX(AE$1:AE$2,MATCH($O99,$AA$1:$AA$2,0)))^(AE$16-AD$16),INDEX('AEA2012 update'!$AC$6:$AG$104,MATCH($T99&amp;$U99,'AEA2012 update'!$A$6:$A$104&amp;'AEA2012 update'!$B$6:$B$104,0),MATCH(AE$16,'AEA2012 update'!$AC$4:$AG$4,0)))</f>
        <v>4.6744988205503315</v>
      </c>
      <c r="AF99" s="990">
        <f t="array" ref="AF99">IF($W$1,AE99*(1+INDEX(AF$1:AF$2,MATCH($O99,$AA$1:$AA$2,0)))^(AF$16-AE$16),INDEX('AEA2012 update'!$AC$6:$AG$104,MATCH($T99&amp;$U99,'AEA2012 update'!$A$6:$A$104&amp;'AEA2012 update'!$B$6:$B$104,0),MATCH(AF$16,'AEA2012 update'!$AC$4:$AG$4,0)))</f>
        <v>4.4236721129354191</v>
      </c>
      <c r="AG99" s="990">
        <f t="array" ref="AG99">IF($W$1,AF99*(1+INDEX(AG$1:AG$2,MATCH($O99,$AA$1:$AA$2,0)))^(AG$16-AF$16),INDEX('AEA2012 update'!$AC$6:$AG$104,MATCH($T99&amp;$U99,'AEA2012 update'!$A$6:$A$104&amp;'AEA2012 update'!$B$6:$B$104,0),MATCH(AG$16,'AEA2012 update'!$AC$4:$AG$4,0)))</f>
        <v>4.0006897646551156</v>
      </c>
      <c r="AH99" s="990">
        <f t="array" ref="AH99">IF($W$1,AG99*(1+INDEX(AH$1:AH$2,MATCH($O99,$AA$1:$AA$2,0)))^(AH$16-AG$16),INDEX('AEA2012 update'!$AC$6:$AG$104,MATCH($T99&amp;$U99,'AEA2012 update'!$A$6:$A$104&amp;'AEA2012 update'!$B$6:$B$104,0),MATCH(AH$16,'AEA2012 update'!$AC$4:$AG$4,0)))</f>
        <v>3.6181521108252785</v>
      </c>
      <c r="AI99" s="67"/>
      <c r="AJ99" s="989">
        <f t="shared" ref="AJ99" si="29">-((AD99-AE99)/($AE$16-$AD$16))/AD99</f>
        <v>-9.9900033333332784E-4</v>
      </c>
      <c r="AK99" s="989">
        <f t="shared" ref="AK99" si="30">-((AE99-AH99)/($AH$16-$AE$16))/AE99</f>
        <v>-7.5326913841620401E-3</v>
      </c>
      <c r="AQ99" s="61" t="str">
        <f t="shared" si="15"/>
        <v>HCV6-ELC</v>
      </c>
      <c r="AR99" s="80"/>
      <c r="AS99" s="80"/>
      <c r="AT99" s="80"/>
      <c r="AU99" s="80"/>
      <c r="AV99" s="80"/>
    </row>
    <row r="100" spans="1:51" x14ac:dyDescent="0.25">
      <c r="A100"/>
      <c r="B100" t="s">
        <v>742</v>
      </c>
      <c r="C100" t="s">
        <v>742</v>
      </c>
      <c r="D100" t="s">
        <v>743</v>
      </c>
      <c r="E100" t="s">
        <v>743</v>
      </c>
      <c r="F100"/>
      <c r="G100" t="s">
        <v>744</v>
      </c>
      <c r="H100" t="s">
        <v>744</v>
      </c>
      <c r="I100"/>
      <c r="J100" t="s">
        <v>744</v>
      </c>
      <c r="N100" s="61" t="s">
        <v>504</v>
      </c>
      <c r="O100" s="61" t="s">
        <v>653</v>
      </c>
      <c r="P100" s="61" t="s">
        <v>741</v>
      </c>
      <c r="Q100" s="61" t="str">
        <f t="shared" si="21"/>
        <v>CV6</v>
      </c>
      <c r="R100" s="61" t="s">
        <v>687</v>
      </c>
      <c r="S100" s="65"/>
      <c r="T100" s="255" t="s">
        <v>735</v>
      </c>
      <c r="U100" s="849" t="s">
        <v>699</v>
      </c>
      <c r="V100" s="992"/>
      <c r="W100" s="992"/>
      <c r="X100" s="992"/>
      <c r="Y100" s="992"/>
      <c r="Z100" s="992"/>
      <c r="AA100" s="992"/>
      <c r="AB100" s="992"/>
      <c r="AC100" s="166" t="str">
        <f t="shared" si="24"/>
        <v>CV6HGN</v>
      </c>
      <c r="AD100" s="67">
        <f>INDEX('Vehicle data '!$AD$20:$AD$110,MATCH($AC100,'Vehicle data '!$AC$20:$AC$110,0))/INDEX('Vehicle data '!$AD$20:$AD$110,MATCH($AC$98,'Vehicle data '!$AC$20:$AC$110,0))*AD$98</f>
        <v>7.2765455442373499</v>
      </c>
      <c r="AE100" s="67">
        <f t="array" ref="AE100">IF($W$1,AD100*(1+INDEX(AE$1:AE$2,MATCH($O100,$AA$1:$AA$2,0)))^(AE$16-AD$16),INDEX('AEA2012 update'!$AC$6:$AG$104,MATCH($T100&amp;$U100,'AEA2012 update'!$A$6:$A$104&amp;'AEA2012 update'!$B$6:$B$104,0),MATCH(AE$16,'AEA2012 update'!$AC$4:$AG$4,0)))</f>
        <v>7.2547377299647247</v>
      </c>
      <c r="AF100" s="67">
        <f t="array" ref="AF100">IF($W$1,AE100*(1+INDEX(AF$1:AF$2,MATCH($O100,$AA$1:$AA$2,0)))^(AF$16-AE$16),INDEX('AEA2012 update'!$AC$6:$AG$104,MATCH($T100&amp;$U100,'AEA2012 update'!$A$6:$A$104&amp;'AEA2012 update'!$B$6:$B$104,0),MATCH(AF$16,'AEA2012 update'!$AC$4:$AG$4,0)))</f>
        <v>6.865459210646903</v>
      </c>
      <c r="AG100" s="67">
        <f t="array" ref="AG100">IF($W$1,AF100*(1+INDEX(AG$1:AG$2,MATCH($O100,$AA$1:$AA$2,0)))^(AG$16-AF$16),INDEX('AEA2012 update'!$AC$6:$AG$104,MATCH($T100&amp;$U100,'AEA2012 update'!$A$6:$A$104&amp;'AEA2012 update'!$B$6:$B$104,0),MATCH(AG$16,'AEA2012 update'!$AC$4:$AG$4,0)))</f>
        <v>6.2089982468131542</v>
      </c>
      <c r="AH100" s="67">
        <f t="array" ref="AH100">IF($W$1,AG100*(1+INDEX(AH$1:AH$2,MATCH($O100,$AA$1:$AA$2,0)))^(AH$16-AG$16),INDEX('AEA2012 update'!$AC$6:$AG$104,MATCH($T100&amp;$U100,'AEA2012 update'!$A$6:$A$104&amp;'AEA2012 update'!$B$6:$B$104,0),MATCH(AH$16,'AEA2012 update'!$AC$4:$AG$4,0)))</f>
        <v>5.6153067181789087</v>
      </c>
      <c r="AI100" s="67"/>
      <c r="AJ100" s="989">
        <f t="shared" si="22"/>
        <v>-9.9900033333334953E-4</v>
      </c>
      <c r="AK100" s="989">
        <f t="shared" si="23"/>
        <v>-7.5326913841620357E-3</v>
      </c>
      <c r="AQ100" s="61" t="str">
        <f t="shared" si="15"/>
        <v>HCV6-HGN</v>
      </c>
      <c r="AR100" s="80"/>
      <c r="AS100" s="80"/>
      <c r="AT100" s="80"/>
      <c r="AU100" s="80"/>
      <c r="AV100" s="80"/>
    </row>
    <row r="101" spans="1:51" x14ac:dyDescent="0.25">
      <c r="A101" t="s">
        <v>745</v>
      </c>
      <c r="B101" s="67">
        <v>13</v>
      </c>
      <c r="C101">
        <v>34278</v>
      </c>
      <c r="D101" s="67">
        <v>15</v>
      </c>
      <c r="E101">
        <v>43323</v>
      </c>
      <c r="F101"/>
      <c r="G101" s="67">
        <f>B101/D101</f>
        <v>0.8666666666666667</v>
      </c>
      <c r="H101" s="67">
        <f>C101/E101</f>
        <v>0.79121944463679805</v>
      </c>
      <c r="I101"/>
      <c r="J101" s="170">
        <v>-0.12</v>
      </c>
      <c r="N101" s="61" t="s">
        <v>509</v>
      </c>
      <c r="O101" s="61" t="s">
        <v>653</v>
      </c>
      <c r="P101" s="61" t="s">
        <v>741</v>
      </c>
      <c r="Q101" s="61" t="str">
        <f t="shared" si="21"/>
        <v>CV6</v>
      </c>
      <c r="R101" s="61" t="s">
        <v>687</v>
      </c>
      <c r="S101" s="65"/>
      <c r="T101" s="255" t="s">
        <v>735</v>
      </c>
      <c r="U101" s="849" t="s">
        <v>700</v>
      </c>
      <c r="V101" s="992"/>
      <c r="W101" s="992"/>
      <c r="X101" s="992"/>
      <c r="Y101" s="992"/>
      <c r="Z101" s="992"/>
      <c r="AA101" s="992"/>
      <c r="AB101" s="992"/>
      <c r="AC101" s="166" t="str">
        <f t="shared" si="24"/>
        <v>CV6GAS</v>
      </c>
      <c r="AD101" s="67">
        <f>INDEX('Vehicle data '!$AD$20:$AD$110,MATCH($AC101,'Vehicle data '!$AC$20:$AC$110,0))/INDEX('Vehicle data '!$AD$20:$AD$110,MATCH($AC$98,'Vehicle data '!$AC$20:$AC$110,0))*AD$98</f>
        <v>17.654262985826136</v>
      </c>
      <c r="AE101" s="67">
        <f t="array" ref="AE101">IF($W$1,AD101*(1+INDEX(AE$1:AE$2,MATCH($O101,$AA$1:$AA$2,0)))^(AE$16-AD$16),INDEX('AEA2012 update'!$AC$6:$AG$104,MATCH($T101&amp;$U101,'AEA2012 update'!$A$6:$A$104&amp;'AEA2012 update'!$B$6:$B$104,0),MATCH(AE$16,'AEA2012 update'!$AC$4:$AG$4,0)))</f>
        <v>17.601353142003351</v>
      </c>
      <c r="AF101" s="67">
        <f t="array" ref="AF101">IF($W$1,AE101*(1+INDEX(AF$1:AF$2,MATCH($O101,$AA$1:$AA$2,0)))^(AF$16-AE$16),INDEX('AEA2012 update'!$AC$6:$AG$104,MATCH($T101&amp;$U101,'AEA2012 update'!$A$6:$A$104&amp;'AEA2012 update'!$B$6:$B$104,0),MATCH(AF$16,'AEA2012 update'!$AC$4:$AG$4,0)))</f>
        <v>16.656890510251884</v>
      </c>
      <c r="AG101" s="67">
        <f t="array" ref="AG101">IF($W$1,AF101*(1+INDEX(AG$1:AG$2,MATCH($O101,$AA$1:$AA$2,0)))^(AG$16-AF$16),INDEX('AEA2012 update'!$AC$6:$AG$104,MATCH($T101&amp;$U101,'AEA2012 update'!$A$6:$A$104&amp;'AEA2012 update'!$B$6:$B$104,0),MATCH(AG$16,'AEA2012 update'!$AC$4:$AG$4,0)))</f>
        <v>15.06419320285606</v>
      </c>
      <c r="AH101" s="67">
        <f t="array" ref="AH101">IF($W$1,AG101*(1+INDEX(AH$1:AH$2,MATCH($O101,$AA$1:$AA$2,0)))^(AH$16-AG$16),INDEX('AEA2012 update'!$AC$6:$AG$104,MATCH($T101&amp;$U101,'AEA2012 update'!$A$6:$A$104&amp;'AEA2012 update'!$B$6:$B$104,0),MATCH(AH$16,'AEA2012 update'!$AC$4:$AG$4,0)))</f>
        <v>13.623786307132489</v>
      </c>
      <c r="AI101" s="67"/>
      <c r="AJ101" s="989">
        <f t="shared" si="22"/>
        <v>-9.9900033333336362E-4</v>
      </c>
      <c r="AK101" s="989">
        <f t="shared" si="23"/>
        <v>-7.5326913841620383E-3</v>
      </c>
      <c r="AQ101" s="61" t="str">
        <f t="shared" si="15"/>
        <v>HCV6-GAS</v>
      </c>
      <c r="AR101" s="80"/>
      <c r="AS101" s="80"/>
      <c r="AT101" s="80"/>
      <c r="AU101" s="80"/>
      <c r="AV101" s="80"/>
    </row>
    <row r="102" spans="1:51" x14ac:dyDescent="0.25">
      <c r="A102"/>
      <c r="B102" s="67">
        <v>13</v>
      </c>
      <c r="C102">
        <v>36170</v>
      </c>
      <c r="D102" s="67">
        <v>15</v>
      </c>
      <c r="E102">
        <v>44700</v>
      </c>
      <c r="F102"/>
      <c r="G102" s="67">
        <f t="shared" ref="G102:H105" si="31">B102/D102</f>
        <v>0.8666666666666667</v>
      </c>
      <c r="H102" s="67">
        <f t="shared" si="31"/>
        <v>0.80917225950783001</v>
      </c>
      <c r="I102"/>
      <c r="J102" s="170">
        <v>-0.11</v>
      </c>
      <c r="O102" s="61" t="s">
        <v>653</v>
      </c>
      <c r="Q102" s="61" t="str">
        <f t="shared" si="21"/>
        <v/>
      </c>
      <c r="S102" s="65"/>
      <c r="T102" s="255"/>
      <c r="V102" s="992"/>
      <c r="W102" s="992"/>
      <c r="X102" s="992"/>
      <c r="Y102" s="992"/>
      <c r="Z102" s="992"/>
      <c r="AA102" s="992"/>
      <c r="AB102" s="992"/>
      <c r="AC102" s="166" t="str">
        <f t="shared" si="24"/>
        <v/>
      </c>
      <c r="AD102" s="67" t="e">
        <f>1/INDEX(Analytica!$AA$17:$AE$48,MATCH($AC102,Analytica!$A$17:$A$48,0),MATCH(AD$16,Analytica!$AA$16:$AE$16,0))</f>
        <v>#N/A</v>
      </c>
      <c r="AE102" s="67" t="e">
        <f t="array" ref="AE102">IF($W$1,AD102*(1+INDEX(AE$1:AE$2,MATCH($O102,$AA$1:$AA$2,0)))^(AE$16-AD$16),INDEX('AEA2012 update'!$AC$6:$AG$104,MATCH($T102&amp;$U102,'AEA2012 update'!$A$6:$A$104&amp;'AEA2012 update'!$B$6:$B$104,0),MATCH(AE$16,'AEA2012 update'!$AC$4:$AG$4,0)))</f>
        <v>#N/A</v>
      </c>
      <c r="AF102" s="67" t="e">
        <f t="array" ref="AF102">IF($W$1,AE102*(1+INDEX(AF$1:AF$2,MATCH($O102,$AA$1:$AA$2,0)))^(AF$16-AE$16),INDEX('AEA2012 update'!$AC$6:$AG$104,MATCH($T102&amp;$U102,'AEA2012 update'!$A$6:$A$104&amp;'AEA2012 update'!$B$6:$B$104,0),MATCH(AF$16,'AEA2012 update'!$AC$4:$AG$4,0)))</f>
        <v>#N/A</v>
      </c>
      <c r="AG102" s="67" t="e">
        <f t="array" ref="AG102">IF($W$1,AF102*(1+INDEX(AG$1:AG$2,MATCH($O102,$AA$1:$AA$2,0)))^(AG$16-AF$16),INDEX('AEA2012 update'!$AC$6:$AG$104,MATCH($T102&amp;$U102,'AEA2012 update'!$A$6:$A$104&amp;'AEA2012 update'!$B$6:$B$104,0),MATCH(AG$16,'AEA2012 update'!$AC$4:$AG$4,0)))</f>
        <v>#N/A</v>
      </c>
      <c r="AH102" s="67" t="e">
        <f t="array" ref="AH102">IF($W$1,AG102*(1+INDEX(AH$1:AH$2,MATCH($O102,$AA$1:$AA$2,0)))^(AH$16-AG$16),INDEX('AEA2012 update'!$AC$6:$AG$104,MATCH($T102&amp;$U102,'AEA2012 update'!$A$6:$A$104&amp;'AEA2012 update'!$B$6:$B$104,0),MATCH(AH$16,'AEA2012 update'!$AC$4:$AG$4,0)))</f>
        <v>#N/A</v>
      </c>
      <c r="AI102" s="67"/>
      <c r="AJ102" s="989" t="e">
        <f t="shared" si="22"/>
        <v>#N/A</v>
      </c>
      <c r="AK102" s="989" t="e">
        <f t="shared" si="23"/>
        <v>#N/A</v>
      </c>
      <c r="AQ102" s="61" t="str">
        <f t="shared" si="15"/>
        <v>-</v>
      </c>
      <c r="AR102" s="80"/>
      <c r="AS102" s="80"/>
      <c r="AT102" s="80"/>
      <c r="AU102" s="80"/>
      <c r="AV102" s="80"/>
    </row>
    <row r="103" spans="1:51" x14ac:dyDescent="0.25">
      <c r="A103"/>
      <c r="B103" s="67">
        <v>12</v>
      </c>
      <c r="C103">
        <v>34132</v>
      </c>
      <c r="D103" s="67">
        <v>14</v>
      </c>
      <c r="E103">
        <v>45139</v>
      </c>
      <c r="F103"/>
      <c r="G103" s="67">
        <f t="shared" si="31"/>
        <v>0.8571428571428571</v>
      </c>
      <c r="H103" s="67">
        <f t="shared" si="31"/>
        <v>0.75615321562285387</v>
      </c>
      <c r="I103"/>
      <c r="J103" s="170">
        <v>-0.05</v>
      </c>
      <c r="N103" s="61" t="s">
        <v>511</v>
      </c>
      <c r="O103" s="61" t="s">
        <v>653</v>
      </c>
      <c r="P103" s="61" t="s">
        <v>746</v>
      </c>
      <c r="Q103" s="61" t="str">
        <f t="shared" si="21"/>
        <v>CV7</v>
      </c>
      <c r="R103" s="61" t="s">
        <v>687</v>
      </c>
      <c r="S103" s="65"/>
      <c r="T103" s="255" t="s">
        <v>747</v>
      </c>
      <c r="U103" s="849" t="s">
        <v>687</v>
      </c>
      <c r="V103" s="992"/>
      <c r="W103" s="992"/>
      <c r="X103" s="992"/>
      <c r="Y103" s="992"/>
      <c r="Z103" s="992"/>
      <c r="AA103" s="992"/>
      <c r="AB103" s="992"/>
      <c r="AC103" s="166" t="str">
        <f t="shared" si="24"/>
        <v>CV7ODS</v>
      </c>
      <c r="AD103" s="67">
        <f>1/INDEX(Analytica!$AA$17:$AE$48,MATCH($AC103,Analytica!$A$17:$A$48,0),MATCH(AD$16,Analytica!$AA$16:$AE$16,0))</f>
        <v>14.221141864653497</v>
      </c>
      <c r="AE103" s="67">
        <f t="array" ref="AE103">IF($W$1,AD103*(1+INDEX(AE$1:AE$2,MATCH($O103,$AA$1:$AA$2,0)))^(AE$16-AD$16),INDEX('AEA2012 update'!$AC$6:$AG$104,MATCH($T103&amp;$U103,'AEA2012 update'!$A$6:$A$104&amp;'AEA2012 update'!$B$6:$B$104,0),MATCH(AE$16,'AEA2012 update'!$AC$4:$AG$4,0)))</f>
        <v>14.178521088263988</v>
      </c>
      <c r="AF103" s="67">
        <f t="array" ref="AF103">IF($W$1,AE103*(1+INDEX(AF$1:AF$2,MATCH($O103,$AA$1:$AA$2,0)))^(AF$16-AE$16),INDEX('AEA2012 update'!$AC$6:$AG$104,MATCH($T103&amp;$U103,'AEA2012 update'!$A$6:$A$104&amp;'AEA2012 update'!$B$6:$B$104,0),MATCH(AF$16,'AEA2012 update'!$AC$4:$AG$4,0)))</f>
        <v>13.417722572756142</v>
      </c>
      <c r="AG103" s="67">
        <f t="array" ref="AG103">IF($W$1,AF103*(1+INDEX(AG$1:AG$2,MATCH($O103,$AA$1:$AA$2,0)))^(AG$16-AF$16),INDEX('AEA2012 update'!$AC$6:$AG$104,MATCH($T103&amp;$U103,'AEA2012 update'!$A$6:$A$104&amp;'AEA2012 update'!$B$6:$B$104,0),MATCH(AG$16,'AEA2012 update'!$AC$4:$AG$4,0)))</f>
        <v>12.134747782241671</v>
      </c>
      <c r="AH103" s="67">
        <f t="array" ref="AH103">IF($W$1,AG103*(1+INDEX(AH$1:AH$2,MATCH($O103,$AA$1:$AA$2,0)))^(AH$16-AG$16),INDEX('AEA2012 update'!$AC$6:$AG$104,MATCH($T103&amp;$U103,'AEA2012 update'!$A$6:$A$104&amp;'AEA2012 update'!$B$6:$B$104,0),MATCH(AH$16,'AEA2012 update'!$AC$4:$AG$4,0)))</f>
        <v>10.974448379012209</v>
      </c>
      <c r="AI103" s="67"/>
      <c r="AJ103" s="989">
        <f t="shared" si="22"/>
        <v>-9.9900033333333717E-4</v>
      </c>
      <c r="AK103" s="989">
        <f t="shared" si="23"/>
        <v>-7.5326913841620427E-3</v>
      </c>
      <c r="AQ103" s="61" t="str">
        <f t="shared" si="15"/>
        <v>HCV7-ODS</v>
      </c>
      <c r="AR103" s="80"/>
      <c r="AS103" s="80"/>
      <c r="AT103" s="80"/>
      <c r="AU103" s="80"/>
      <c r="AV103" s="80"/>
    </row>
    <row r="104" spans="1:51" x14ac:dyDescent="0.25">
      <c r="A104" s="61" t="s">
        <v>251</v>
      </c>
      <c r="C104" s="206">
        <f>C88/$C$82</f>
        <v>1.2881710456095901</v>
      </c>
      <c r="D104" s="7">
        <f t="shared" ref="D104" si="32">C104*$D$58</f>
        <v>20132.825271832284</v>
      </c>
      <c r="N104" s="61" t="s">
        <v>501</v>
      </c>
      <c r="O104" s="61" t="s">
        <v>653</v>
      </c>
      <c r="P104" s="61" t="s">
        <v>746</v>
      </c>
      <c r="Q104" s="61" t="str">
        <f t="shared" si="21"/>
        <v>CV7</v>
      </c>
      <c r="R104" s="61" t="s">
        <v>687</v>
      </c>
      <c r="S104" s="65"/>
      <c r="T104" s="255" t="s">
        <v>747</v>
      </c>
      <c r="U104" s="849" t="s">
        <v>692</v>
      </c>
      <c r="V104" s="992"/>
      <c r="W104" s="992"/>
      <c r="X104" s="992"/>
      <c r="Y104" s="992"/>
      <c r="Z104" s="992"/>
      <c r="AA104" s="992"/>
      <c r="AB104" s="992"/>
      <c r="AC104" s="166" t="str">
        <f t="shared" si="24"/>
        <v>CV7ELC</v>
      </c>
      <c r="AD104" s="990">
        <f>$AD$84/$AD$83*AD103</f>
        <v>4.3433147944602153</v>
      </c>
      <c r="AE104" s="990">
        <f t="array" ref="AE104">IF($W$1,AD104*(1+INDEX(AE$1:AE$2,MATCH($O104,$AA$1:$AA$2,0)))^(AE$16-AD$16),INDEX('AEA2012 update'!$AC$6:$AG$104,MATCH($T104&amp;$U104,'AEA2012 update'!$A$6:$A$104&amp;'AEA2012 update'!$B$6:$B$104,0),MATCH(AE$16,'AEA2012 update'!$AC$4:$AG$4,0)))</f>
        <v>4.3302978756779034</v>
      </c>
      <c r="AF104" s="990">
        <f t="array" ref="AF104">IF($W$1,AE104*(1+INDEX(AF$1:AF$2,MATCH($O104,$AA$1:$AA$2,0)))^(AF$16-AE$16),INDEX('AEA2012 update'!$AC$6:$AG$104,MATCH($T104&amp;$U104,'AEA2012 update'!$A$6:$A$104&amp;'AEA2012 update'!$B$6:$B$104,0),MATCH(AF$16,'AEA2012 update'!$AC$4:$AG$4,0)))</f>
        <v>4.0979404827584487</v>
      </c>
      <c r="AG104" s="990">
        <f t="array" ref="AG104">IF($W$1,AF104*(1+INDEX(AG$1:AG$2,MATCH($O104,$AA$1:$AA$2,0)))^(AG$16-AF$16),INDEX('AEA2012 update'!$AC$6:$AG$104,MATCH($T104&amp;$U104,'AEA2012 update'!$A$6:$A$104&amp;'AEA2012 update'!$B$6:$B$104,0),MATCH(AG$16,'AEA2012 update'!$AC$4:$AG$4,0)))</f>
        <v>3.706103917059667</v>
      </c>
      <c r="AH104" s="990">
        <f t="array" ref="AH104">IF($W$1,AG104*(1+INDEX(AH$1:AH$2,MATCH($O104,$AA$1:$AA$2,0)))^(AH$16-AG$16),INDEX('AEA2012 update'!$AC$6:$AG$104,MATCH($T104&amp;$U104,'AEA2012 update'!$A$6:$A$104&amp;'AEA2012 update'!$B$6:$B$104,0),MATCH(AH$16,'AEA2012 update'!$AC$4:$AG$4,0)))</f>
        <v>3.3517339507086792</v>
      </c>
      <c r="AI104" s="67"/>
      <c r="AJ104" s="989">
        <f t="shared" si="22"/>
        <v>-9.9900033333332307E-4</v>
      </c>
      <c r="AK104" s="989">
        <f t="shared" si="23"/>
        <v>-7.5326913841620427E-3</v>
      </c>
      <c r="AQ104" s="61" t="str">
        <f t="shared" si="15"/>
        <v>HCV7-ELC</v>
      </c>
      <c r="AR104" s="80"/>
      <c r="AS104" s="80"/>
      <c r="AT104" s="80"/>
      <c r="AU104" s="80"/>
      <c r="AV104" s="80"/>
    </row>
    <row r="105" spans="1:51" ht="16.5" customHeight="1" x14ac:dyDescent="0.25">
      <c r="A105"/>
      <c r="B105" s="67">
        <v>13</v>
      </c>
      <c r="C105">
        <v>37063</v>
      </c>
      <c r="D105" s="67">
        <v>15</v>
      </c>
      <c r="E105">
        <v>46620</v>
      </c>
      <c r="F105"/>
      <c r="G105" s="67">
        <f t="shared" si="31"/>
        <v>0.8666666666666667</v>
      </c>
      <c r="H105" s="67">
        <f t="shared" si="31"/>
        <v>0.79500214500214506</v>
      </c>
      <c r="I105"/>
      <c r="J105" s="170">
        <v>-0.12</v>
      </c>
      <c r="N105" s="61" t="s">
        <v>504</v>
      </c>
      <c r="O105" s="61" t="s">
        <v>653</v>
      </c>
      <c r="P105" s="61" t="s">
        <v>746</v>
      </c>
      <c r="Q105" s="61" t="str">
        <f t="shared" si="21"/>
        <v>CV7</v>
      </c>
      <c r="R105" s="61" t="s">
        <v>687</v>
      </c>
      <c r="S105" s="65"/>
      <c r="T105" s="255" t="s">
        <v>747</v>
      </c>
      <c r="U105" s="849" t="s">
        <v>699</v>
      </c>
      <c r="V105" s="992"/>
      <c r="W105" s="992"/>
      <c r="X105" s="992"/>
      <c r="Y105" s="992"/>
      <c r="Z105" s="992"/>
      <c r="AA105" s="992"/>
      <c r="AB105" s="992"/>
      <c r="AC105" s="166" t="str">
        <f t="shared" si="24"/>
        <v>CV7HGN</v>
      </c>
      <c r="AD105" s="67">
        <f>INDEX('Vehicle data '!$AD$20:$AD$110,MATCH($AC105,'Vehicle data '!$AC$20:$AC$110,0))/INDEX('Vehicle data '!$AD$20:$AD$110,MATCH($AC$103,'Vehicle data '!$AC$20:$AC$110,0))*AD$103</f>
        <v>6.7545932970199489</v>
      </c>
      <c r="AE105" s="67">
        <f t="array" ref="AE105">IF($W$1,AD105*(1+INDEX(AE$1:AE$2,MATCH($O105,$AA$1:$AA$2,0)))^(AE$16-AD$16),INDEX('AEA2012 update'!$AC$6:$AG$104,MATCH($T105&amp;$U105,'AEA2012 update'!$A$6:$A$104&amp;'AEA2012 update'!$B$6:$B$104,0),MATCH(AE$16,'AEA2012 update'!$AC$4:$AG$4,0)))</f>
        <v>6.7343497741541869</v>
      </c>
      <c r="AF105" s="67">
        <f t="array" ref="AF105">IF($W$1,AE105*(1+INDEX(AF$1:AF$2,MATCH($O105,$AA$1:$AA$2,0)))^(AF$16-AE$16),INDEX('AEA2012 update'!$AC$6:$AG$104,MATCH($T105&amp;$U105,'AEA2012 update'!$A$6:$A$104&amp;'AEA2012 update'!$B$6:$B$104,0),MATCH(AF$16,'AEA2012 update'!$AC$4:$AG$4,0)))</f>
        <v>6.3729945045042395</v>
      </c>
      <c r="AG105" s="67">
        <f t="array" ref="AG105">IF($W$1,AF105*(1+INDEX(AG$1:AG$2,MATCH($O105,$AA$1:$AA$2,0)))^(AG$16-AF$16),INDEX('AEA2012 update'!$AC$6:$AG$104,MATCH($T105&amp;$U105,'AEA2012 update'!$A$6:$A$104&amp;'AEA2012 update'!$B$6:$B$104,0),MATCH(AG$16,'AEA2012 update'!$AC$4:$AG$4,0)))</f>
        <v>5.7636219940032509</v>
      </c>
      <c r="AH105" s="67">
        <f t="array" ref="AH105">IF($W$1,AG105*(1+INDEX(AH$1:AH$2,MATCH($O105,$AA$1:$AA$2,0)))^(AH$16-AG$16),INDEX('AEA2012 update'!$AC$6:$AG$104,MATCH($T105&amp;$U105,'AEA2012 update'!$A$6:$A$104&amp;'AEA2012 update'!$B$6:$B$104,0),MATCH(AH$16,'AEA2012 update'!$AC$4:$AG$4,0)))</f>
        <v>5.2125164185030419</v>
      </c>
      <c r="AI105" s="67"/>
      <c r="AJ105" s="989">
        <f t="shared" si="22"/>
        <v>-9.9900033333333066E-4</v>
      </c>
      <c r="AK105" s="989">
        <f t="shared" si="23"/>
        <v>-7.5326913841620418E-3</v>
      </c>
      <c r="AQ105" s="61" t="str">
        <f t="shared" si="15"/>
        <v>HCV7-HGN</v>
      </c>
      <c r="AR105" s="80"/>
      <c r="AS105" s="80"/>
      <c r="AT105" s="80"/>
      <c r="AU105" s="80"/>
      <c r="AV105" s="80"/>
    </row>
    <row r="106" spans="1:51" x14ac:dyDescent="0.25">
      <c r="A106"/>
      <c r="B106"/>
      <c r="C106"/>
      <c r="D106"/>
      <c r="E106"/>
      <c r="F106"/>
      <c r="G106" s="277">
        <f>AVERAGE(G101:G105)</f>
        <v>0.86428571428571432</v>
      </c>
      <c r="H106" s="277">
        <f>AVERAGE(H101:H105)</f>
        <v>0.78788676619240683</v>
      </c>
      <c r="I106" s="277"/>
      <c r="J106" s="991">
        <v>-9.9999999999999992E-2</v>
      </c>
      <c r="N106" s="61" t="s">
        <v>509</v>
      </c>
      <c r="O106" s="61" t="s">
        <v>653</v>
      </c>
      <c r="P106" s="61" t="s">
        <v>746</v>
      </c>
      <c r="Q106" s="61" t="str">
        <f t="shared" si="21"/>
        <v>CV7</v>
      </c>
      <c r="R106" s="61" t="s">
        <v>687</v>
      </c>
      <c r="S106" s="65"/>
      <c r="T106" s="255" t="s">
        <v>747</v>
      </c>
      <c r="U106" s="849" t="s">
        <v>700</v>
      </c>
      <c r="V106" s="992"/>
      <c r="W106" s="992"/>
      <c r="X106" s="992"/>
      <c r="Y106" s="992"/>
      <c r="Z106" s="992"/>
      <c r="AA106" s="992"/>
      <c r="AB106" s="992"/>
      <c r="AC106" s="166" t="str">
        <f t="shared" si="24"/>
        <v>CV7GAS</v>
      </c>
      <c r="AD106" s="67">
        <f>INDEX('Vehicle data '!$AD$20:$AD$110,MATCH($AC106,'Vehicle data '!$AC$20:$AC$110,0))/INDEX('Vehicle data '!$AD$20:$AD$110,MATCH($AC$103,'Vehicle data '!$AC$20:$AC$110,0))*AD$103</f>
        <v>16.354313144351519</v>
      </c>
      <c r="AE106" s="67">
        <f t="array" ref="AE106">IF($W$1,AD106*(1+INDEX(AE$1:AE$2,MATCH($O106,$AA$1:$AA$2,0)))^(AE$16-AD$16),INDEX('AEA2012 update'!$AC$6:$AG$104,MATCH($T106&amp;$U106,'AEA2012 update'!$A$6:$A$104&amp;'AEA2012 update'!$B$6:$B$104,0),MATCH(AE$16,'AEA2012 update'!$AC$4:$AG$4,0)))</f>
        <v>16.305299251503584</v>
      </c>
      <c r="AF106" s="67">
        <f t="array" ref="AF106">IF($W$1,AE106*(1+INDEX(AF$1:AF$2,MATCH($O106,$AA$1:$AA$2,0)))^(AF$16-AE$16),INDEX('AEA2012 update'!$AC$6:$AG$104,MATCH($T106&amp;$U106,'AEA2012 update'!$A$6:$A$104&amp;'AEA2012 update'!$B$6:$B$104,0),MATCH(AF$16,'AEA2012 update'!$AC$4:$AG$4,0)))</f>
        <v>15.430380958669563</v>
      </c>
      <c r="AG106" s="67">
        <f t="array" ref="AG106">IF($W$1,AF106*(1+INDEX(AG$1:AG$2,MATCH($O106,$AA$1:$AA$2,0)))^(AG$16-AF$16),INDEX('AEA2012 update'!$AC$6:$AG$104,MATCH($T106&amp;$U106,'AEA2012 update'!$A$6:$A$104&amp;'AEA2012 update'!$B$6:$B$104,0),MATCH(AG$16,'AEA2012 update'!$AC$4:$AG$4,0)))</f>
        <v>13.954959949577923</v>
      </c>
      <c r="AH106" s="67">
        <f t="array" ref="AH106">IF($W$1,AG106*(1+INDEX(AH$1:AH$2,MATCH($O106,$AA$1:$AA$2,0)))^(AH$16-AG$16),INDEX('AEA2012 update'!$AC$6:$AG$104,MATCH($T106&amp;$U106,'AEA2012 update'!$A$6:$A$104&amp;'AEA2012 update'!$B$6:$B$104,0),MATCH(AH$16,'AEA2012 update'!$AC$4:$AG$4,0)))</f>
        <v>12.620615635864041</v>
      </c>
      <c r="AI106" s="67"/>
      <c r="AJ106" s="989">
        <f t="shared" si="22"/>
        <v>-9.9900033333333391E-4</v>
      </c>
      <c r="AK106" s="989">
        <f t="shared" si="23"/>
        <v>-7.5326913841620366E-3</v>
      </c>
      <c r="AQ106" s="61" t="str">
        <f t="shared" si="15"/>
        <v>HCV7-GAS</v>
      </c>
      <c r="AR106" s="80"/>
      <c r="AS106" s="80"/>
      <c r="AT106" s="80"/>
      <c r="AU106" s="80"/>
      <c r="AV106" s="80"/>
    </row>
    <row r="107" spans="1:51" x14ac:dyDescent="0.25">
      <c r="A107" t="s">
        <v>748</v>
      </c>
      <c r="B107"/>
      <c r="C107"/>
      <c r="D107"/>
      <c r="E107"/>
      <c r="F107"/>
      <c r="G107"/>
      <c r="H107"/>
      <c r="I107"/>
      <c r="J107"/>
      <c r="O107" s="61" t="s">
        <v>653</v>
      </c>
      <c r="Q107" s="61" t="str">
        <f t="shared" si="21"/>
        <v/>
      </c>
      <c r="S107" s="65"/>
      <c r="T107" s="255"/>
      <c r="V107" s="992"/>
      <c r="W107" s="992"/>
      <c r="X107" s="992"/>
      <c r="Y107" s="992"/>
      <c r="Z107" s="992"/>
      <c r="AA107" s="992"/>
      <c r="AB107" s="992"/>
      <c r="AC107" s="166" t="str">
        <f t="shared" si="24"/>
        <v/>
      </c>
      <c r="AD107" s="67" t="e">
        <f>INDEX('Vehicle data '!$AD$20:$AD$110,MATCH($AC107,'Vehicle data '!$AC$20:$AC$110,0))/INDEX('Vehicle data '!$AD$20:$AD$110,MATCH($AC$103,'Vehicle data '!$AC$20:$AC$110,0))*AD$103</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989" t="e">
        <f t="shared" si="22"/>
        <v>#N/A</v>
      </c>
      <c r="AK107" s="989" t="e">
        <f t="shared" si="23"/>
        <v>#N/A</v>
      </c>
      <c r="AQ107" s="61" t="str">
        <f t="shared" si="15"/>
        <v>-</v>
      </c>
      <c r="AR107" s="80"/>
      <c r="AS107" s="80"/>
      <c r="AT107" s="80"/>
      <c r="AU107" s="80"/>
      <c r="AV107" s="80"/>
    </row>
    <row r="108" spans="1:51" x14ac:dyDescent="0.25">
      <c r="A108" t="s">
        <v>749</v>
      </c>
      <c r="B108"/>
      <c r="C108"/>
      <c r="D108"/>
      <c r="E108"/>
      <c r="F108"/>
      <c r="G108"/>
      <c r="H108"/>
      <c r="I108"/>
      <c r="J108"/>
      <c r="N108" s="61" t="s">
        <v>511</v>
      </c>
      <c r="O108" s="61" t="s">
        <v>653</v>
      </c>
      <c r="P108" s="61" t="s">
        <v>750</v>
      </c>
      <c r="Q108" s="61" t="str">
        <f t="shared" si="21"/>
        <v>CV8</v>
      </c>
      <c r="R108" s="61" t="s">
        <v>687</v>
      </c>
      <c r="S108" s="65"/>
      <c r="T108" s="255" t="s">
        <v>747</v>
      </c>
      <c r="U108" s="849" t="s">
        <v>687</v>
      </c>
      <c r="V108" s="992"/>
      <c r="W108" s="992"/>
      <c r="X108" s="992"/>
      <c r="Y108" s="992"/>
      <c r="Z108" s="992"/>
      <c r="AA108" s="992"/>
      <c r="AB108" s="992"/>
      <c r="AC108" s="166" t="str">
        <f t="shared" si="24"/>
        <v>CV8ODS</v>
      </c>
      <c r="AD108" s="67">
        <f>1/INDEX(Analytica!$AA$17:$AE$48,MATCH($AC108,Analytica!$A$17:$A$48,0),MATCH(AD$16,Analytica!$AA$16:$AE$16,0))</f>
        <v>14.452202013338351</v>
      </c>
      <c r="AE108" s="67">
        <f t="array" ref="AE108">IF($W$1,AD108*(1+INDEX(AE$1:AE$2,MATCH($O108,$AA$1:$AA$2,0)))^(AE$16-AD$16),INDEX('AEA2012 update'!$AC$6:$AG$104,MATCH($T108&amp;$U108,'AEA2012 update'!$A$6:$A$104&amp;'AEA2012 update'!$B$6:$B$104,0),MATCH(AE$16,'AEA2012 update'!$AC$4:$AG$4,0)))</f>
        <v>14.408888749452174</v>
      </c>
      <c r="AF108" s="67">
        <f t="array" ref="AF108">IF($W$1,AE108*(1+INDEX(AF$1:AF$2,MATCH($O108,$AA$1:$AA$2,0)))^(AF$16-AE$16),INDEX('AEA2012 update'!$AC$6:$AG$104,MATCH($T108&amp;$U108,'AEA2012 update'!$A$6:$A$104&amp;'AEA2012 update'!$B$6:$B$104,0),MATCH(AF$16,'AEA2012 update'!$AC$4:$AG$4,0)))</f>
        <v>13.63572904524475</v>
      </c>
      <c r="AG108" s="67">
        <f t="array" ref="AG108">IF($W$1,AF108*(1+INDEX(AG$1:AG$2,MATCH($O108,$AA$1:$AA$2,0)))^(AG$16-AF$16),INDEX('AEA2012 update'!$AC$6:$AG$104,MATCH($T108&amp;$U108,'AEA2012 update'!$A$6:$A$104&amp;'AEA2012 update'!$B$6:$B$104,0),MATCH(AG$16,'AEA2012 update'!$AC$4:$AG$4,0)))</f>
        <v>12.331908928196269</v>
      </c>
      <c r="AH108" s="67">
        <f t="array" ref="AH108">IF($W$1,AG108*(1+INDEX(AH$1:AH$2,MATCH($O108,$AA$1:$AA$2,0)))^(AH$16-AG$16),INDEX('AEA2012 update'!$AC$6:$AG$104,MATCH($T108&amp;$U108,'AEA2012 update'!$A$6:$A$104&amp;'AEA2012 update'!$B$6:$B$104,0),MATCH(AH$16,'AEA2012 update'!$AC$4:$AG$4,0)))</f>
        <v>11.152757385301742</v>
      </c>
      <c r="AI108" s="67"/>
      <c r="AJ108" s="989">
        <f t="shared" si="22"/>
        <v>-9.990003333333183E-4</v>
      </c>
      <c r="AK108" s="989">
        <f t="shared" si="23"/>
        <v>-7.5326913841620401E-3</v>
      </c>
      <c r="AQ108" s="61" t="str">
        <f t="shared" si="15"/>
        <v>HCV8-ODS</v>
      </c>
      <c r="AR108" s="80"/>
      <c r="AS108" s="80"/>
      <c r="AT108" s="80"/>
      <c r="AU108" s="80"/>
      <c r="AV108" s="80"/>
    </row>
    <row r="109" spans="1:51" x14ac:dyDescent="0.25">
      <c r="A109" s="61" t="s">
        <v>251</v>
      </c>
      <c r="C109" s="206">
        <f>C93/$C$82</f>
        <v>0</v>
      </c>
      <c r="D109" s="7">
        <f t="shared" ref="D109" si="33">C109*$D$58</f>
        <v>0</v>
      </c>
      <c r="N109" s="61" t="s">
        <v>501</v>
      </c>
      <c r="O109" s="61" t="s">
        <v>653</v>
      </c>
      <c r="P109" s="61" t="s">
        <v>750</v>
      </c>
      <c r="Q109" s="61" t="str">
        <f t="shared" ref="Q109" si="34">RIGHT(P109,3)</f>
        <v>CV8</v>
      </c>
      <c r="R109" s="61" t="s">
        <v>687</v>
      </c>
      <c r="S109" s="65"/>
      <c r="T109" s="255" t="s">
        <v>747</v>
      </c>
      <c r="U109" s="849" t="s">
        <v>692</v>
      </c>
      <c r="V109" s="992"/>
      <c r="W109" s="992"/>
      <c r="X109" s="992"/>
      <c r="Y109" s="992"/>
      <c r="Z109" s="992"/>
      <c r="AA109" s="992"/>
      <c r="AB109" s="992"/>
      <c r="AC109" s="166" t="str">
        <f t="shared" ref="AC109" si="35">Q109&amp;N109</f>
        <v>CV8ELC</v>
      </c>
      <c r="AD109" s="990">
        <f>$AD$84/$AD$83*AD108</f>
        <v>4.4138834570714414</v>
      </c>
      <c r="AE109" s="990">
        <f t="array" ref="AE109">IF($W$1,AD109*(1+INDEX(AE$1:AE$2,MATCH($O109,$AA$1:$AA$2,0)))^(AE$16-AD$16),INDEX('AEA2012 update'!$AC$6:$AG$104,MATCH($T109&amp;$U109,'AEA2012 update'!$A$6:$A$104&amp;'AEA2012 update'!$B$6:$B$104,0),MATCH(AE$16,'AEA2012 update'!$AC$4:$AG$4,0)))</f>
        <v>4.4006550439367151</v>
      </c>
      <c r="AF109" s="990">
        <f t="array" ref="AF109">IF($W$1,AE109*(1+INDEX(AF$1:AF$2,MATCH($O109,$AA$1:$AA$2,0)))^(AF$16-AE$16),INDEX('AEA2012 update'!$AC$6:$AG$104,MATCH($T109&amp;$U109,'AEA2012 update'!$A$6:$A$104&amp;'AEA2012 update'!$B$6:$B$104,0),MATCH(AF$16,'AEA2012 update'!$AC$4:$AG$4,0)))</f>
        <v>4.1645223892086829</v>
      </c>
      <c r="AG109" s="990">
        <f t="array" ref="AG109">IF($W$1,AF109*(1+INDEX(AG$1:AG$2,MATCH($O109,$AA$1:$AA$2,0)))^(AG$16-AF$16),INDEX('AEA2012 update'!$AC$6:$AG$104,MATCH($T109&amp;$U109,'AEA2012 update'!$A$6:$A$104&amp;'AEA2012 update'!$B$6:$B$104,0),MATCH(AG$16,'AEA2012 update'!$AC$4:$AG$4,0)))</f>
        <v>3.7663193997731721</v>
      </c>
      <c r="AH109" s="990">
        <f t="array" ref="AH109">IF($W$1,AG109*(1+INDEX(AH$1:AH$2,MATCH($O109,$AA$1:$AA$2,0)))^(AH$16-AG$16),INDEX('AEA2012 update'!$AC$6:$AG$104,MATCH($T109&amp;$U109,'AEA2012 update'!$A$6:$A$104&amp;'AEA2012 update'!$B$6:$B$104,0),MATCH(AH$16,'AEA2012 update'!$AC$4:$AG$4,0)))</f>
        <v>3.4061917539127755</v>
      </c>
      <c r="AI109" s="67"/>
      <c r="AJ109" s="989">
        <f t="shared" ref="AJ109" si="36">-((AD109-AE109)/($AE$16-$AD$16))/AD109</f>
        <v>-9.9900033333330746E-4</v>
      </c>
      <c r="AK109" s="989">
        <f t="shared" ref="AK109" si="37">-((AE109-AH109)/($AH$16-$AE$16))/AE109</f>
        <v>-7.5326913841620401E-3</v>
      </c>
      <c r="AQ109" s="61" t="str">
        <f t="shared" si="15"/>
        <v>HCV8-ELC</v>
      </c>
      <c r="AR109" s="80"/>
      <c r="AS109" s="80"/>
      <c r="AT109" s="80"/>
      <c r="AU109" s="80"/>
      <c r="AV109" s="80"/>
    </row>
    <row r="110" spans="1:51" ht="15.75" thickBot="1" x14ac:dyDescent="0.3">
      <c r="N110" s="61" t="s">
        <v>504</v>
      </c>
      <c r="O110" s="61" t="s">
        <v>653</v>
      </c>
      <c r="P110" s="61" t="s">
        <v>750</v>
      </c>
      <c r="Q110" s="61" t="str">
        <f t="shared" si="21"/>
        <v>CV8</v>
      </c>
      <c r="R110" s="61" t="s">
        <v>687</v>
      </c>
      <c r="S110" s="65"/>
      <c r="T110" s="255" t="s">
        <v>747</v>
      </c>
      <c r="U110" s="849" t="s">
        <v>699</v>
      </c>
      <c r="V110" s="992"/>
      <c r="W110" s="992"/>
      <c r="X110" s="992"/>
      <c r="Y110" s="992"/>
      <c r="Z110" s="992"/>
      <c r="AA110" s="992"/>
      <c r="AB110" s="992"/>
      <c r="AC110" s="166" t="str">
        <f t="shared" si="24"/>
        <v>CV8HGN</v>
      </c>
      <c r="AD110" s="67">
        <f>INDEX('Vehicle data '!$AD$20:$AD$110,MATCH($AC110,'Vehicle data '!$AC$20:$AC$110,0))/INDEX('Vehicle data '!$AD$20:$AD$110,MATCH($AC$108,'Vehicle data '!$AC$20:$AC$110,0))*AD$108</f>
        <v>6.8643395710089807</v>
      </c>
      <c r="AE110" s="67">
        <f t="array" ref="AE110">IF($W$1,AD110*(1+INDEX(AE$1:AE$2,MATCH($O110,$AA$1:$AA$2,0)))^(AE$16-AD$16),INDEX('AEA2012 update'!$AC$6:$AG$104,MATCH($T110&amp;$U110,'AEA2012 update'!$A$6:$A$104&amp;'AEA2012 update'!$B$6:$B$104,0),MATCH(AE$16,'AEA2012 update'!$AC$4:$AG$4,0)))</f>
        <v>6.8437671384503274</v>
      </c>
      <c r="AF110" s="67">
        <f t="array" ref="AF110">IF($W$1,AE110*(1+INDEX(AF$1:AF$2,MATCH($O110,$AA$1:$AA$2,0)))^(AF$16-AE$16),INDEX('AEA2012 update'!$AC$6:$AG$104,MATCH($T110&amp;$U110,'AEA2012 update'!$A$6:$A$104&amp;'AEA2012 update'!$B$6:$B$104,0),MATCH(AF$16,'AEA2012 update'!$AC$4:$AG$4,0)))</f>
        <v>6.4765406945214075</v>
      </c>
      <c r="AG110" s="67">
        <f t="array" ref="AG110">IF($W$1,AF110*(1+INDEX(AG$1:AG$2,MATCH($O110,$AA$1:$AA$2,0)))^(AG$16-AF$16),INDEX('AEA2012 update'!$AC$6:$AG$104,MATCH($T110&amp;$U110,'AEA2012 update'!$A$6:$A$104&amp;'AEA2012 update'!$B$6:$B$104,0),MATCH(AG$16,'AEA2012 update'!$AC$4:$AG$4,0)))</f>
        <v>5.857267312190233</v>
      </c>
      <c r="AH110" s="67">
        <f t="array" ref="AH110">IF($W$1,AG110*(1+INDEX(AH$1:AH$2,MATCH($O110,$AA$1:$AA$2,0)))^(AH$16-AG$16),INDEX('AEA2012 update'!$AC$6:$AG$104,MATCH($T110&amp;$U110,'AEA2012 update'!$A$6:$A$104&amp;'AEA2012 update'!$B$6:$B$104,0),MATCH(AH$16,'AEA2012 update'!$AC$4:$AG$4,0)))</f>
        <v>5.2972075656798445</v>
      </c>
      <c r="AI110" s="67"/>
      <c r="AJ110" s="989">
        <f t="shared" si="22"/>
        <v>-9.9900033333332784E-4</v>
      </c>
      <c r="AK110" s="989">
        <f t="shared" si="23"/>
        <v>-7.5326913841620418E-3</v>
      </c>
      <c r="AQ110" s="61" t="str">
        <f t="shared" si="15"/>
        <v>HCV8-HGN</v>
      </c>
      <c r="AR110" s="80"/>
      <c r="AS110" s="80"/>
      <c r="AT110" s="80"/>
      <c r="AU110" s="80"/>
      <c r="AV110" s="80"/>
    </row>
    <row r="111" spans="1:51" ht="31.5" x14ac:dyDescent="0.25">
      <c r="A111" s="279"/>
      <c r="B111" s="280" t="s">
        <v>751</v>
      </c>
      <c r="C111" s="281" t="s">
        <v>752</v>
      </c>
      <c r="D111" s="280" t="s">
        <v>751</v>
      </c>
      <c r="E111" s="280" t="s">
        <v>752</v>
      </c>
      <c r="N111" s="61" t="s">
        <v>509</v>
      </c>
      <c r="O111" s="61" t="s">
        <v>653</v>
      </c>
      <c r="P111" s="61" t="s">
        <v>750</v>
      </c>
      <c r="Q111" s="61" t="str">
        <f t="shared" si="21"/>
        <v>CV8</v>
      </c>
      <c r="R111" s="61" t="s">
        <v>687</v>
      </c>
      <c r="S111" s="65"/>
      <c r="T111" s="255" t="s">
        <v>747</v>
      </c>
      <c r="U111" s="849" t="s">
        <v>700</v>
      </c>
      <c r="V111" s="992"/>
      <c r="W111" s="992"/>
      <c r="X111" s="992"/>
      <c r="Y111" s="992"/>
      <c r="Z111" s="992"/>
      <c r="AA111" s="992"/>
      <c r="AB111" s="992"/>
      <c r="AC111" s="166" t="str">
        <f t="shared" si="24"/>
        <v>CV8GAS</v>
      </c>
      <c r="AD111" s="67">
        <f>INDEX('Vehicle data '!$AD$20:$AD$110,MATCH($AC111,'Vehicle data '!$AC$20:$AC$110,0))/INDEX('Vehicle data '!$AD$20:$AD$110,MATCH($AC$108,'Vehicle data '!$AC$20:$AC$110,0))*AD$108</f>
        <v>16.620032315339103</v>
      </c>
      <c r="AE111" s="67">
        <f t="array" ref="AE111">IF($W$1,AD111*(1+INDEX(AE$1:AE$2,MATCH($O111,$AA$1:$AA$2,0)))^(AE$16-AD$16),INDEX('AEA2012 update'!$AC$6:$AG$104,MATCH($T111&amp;$U111,'AEA2012 update'!$A$6:$A$104&amp;'AEA2012 update'!$B$6:$B$104,0),MATCH(AE$16,'AEA2012 update'!$AC$4:$AG$4,0)))</f>
        <v>16.570222061869998</v>
      </c>
      <c r="AF111" s="67">
        <f t="array" ref="AF111">IF($W$1,AE111*(1+INDEX(AF$1:AF$2,MATCH($O111,$AA$1:$AA$2,0)))^(AF$16-AE$16),INDEX('AEA2012 update'!$AC$6:$AG$104,MATCH($T111&amp;$U111,'AEA2012 update'!$A$6:$A$104&amp;'AEA2012 update'!$B$6:$B$104,0),MATCH(AF$16,'AEA2012 update'!$AC$4:$AG$4,0)))</f>
        <v>15.681088402031461</v>
      </c>
      <c r="AG111" s="67">
        <f t="array" ref="AG111">IF($W$1,AF111*(1+INDEX(AG$1:AG$2,MATCH($O111,$AA$1:$AA$2,0)))^(AG$16-AF$16),INDEX('AEA2012 update'!$AC$6:$AG$104,MATCH($T111&amp;$U111,'AEA2012 update'!$A$6:$A$104&amp;'AEA2012 update'!$B$6:$B$104,0),MATCH(AG$16,'AEA2012 update'!$AC$4:$AG$4,0)))</f>
        <v>14.181695267425708</v>
      </c>
      <c r="AH111" s="67">
        <f t="array" ref="AH111">IF($W$1,AG111*(1+INDEX(AH$1:AH$2,MATCH($O111,$AA$1:$AA$2,0)))^(AH$16-AG$16),INDEX('AEA2012 update'!$AC$6:$AG$104,MATCH($T111&amp;$U111,'AEA2012 update'!$A$6:$A$104&amp;'AEA2012 update'!$B$6:$B$104,0),MATCH(AH$16,'AEA2012 update'!$AC$4:$AG$4,0)))</f>
        <v>12.825670993097001</v>
      </c>
      <c r="AI111" s="67"/>
      <c r="AJ111" s="989">
        <f t="shared" si="22"/>
        <v>-9.9900033333334692E-4</v>
      </c>
      <c r="AK111" s="989">
        <f t="shared" si="23"/>
        <v>-7.5326913841620409E-3</v>
      </c>
      <c r="AQ111" s="61" t="str">
        <f t="shared" si="15"/>
        <v>HCV8-GAS</v>
      </c>
      <c r="AR111" s="80"/>
      <c r="AS111" s="80"/>
      <c r="AT111" s="80"/>
      <c r="AU111" s="80"/>
      <c r="AV111" s="80"/>
    </row>
    <row r="112" spans="1:51" ht="32.25" thickBot="1" x14ac:dyDescent="0.3">
      <c r="A112" s="282" t="s">
        <v>753</v>
      </c>
      <c r="B112" s="283" t="s">
        <v>754</v>
      </c>
      <c r="C112" s="284" t="s">
        <v>754</v>
      </c>
      <c r="D112" s="283" t="s">
        <v>755</v>
      </c>
      <c r="E112" s="283" t="s">
        <v>755</v>
      </c>
      <c r="O112" s="61" t="s">
        <v>653</v>
      </c>
      <c r="P112"/>
      <c r="Q112" s="61" t="str">
        <f t="shared" si="21"/>
        <v/>
      </c>
      <c r="R112"/>
      <c r="S112" s="65"/>
      <c r="T112"/>
      <c r="U112"/>
      <c r="V112" s="992"/>
      <c r="W112" s="992"/>
      <c r="X112" s="992"/>
      <c r="Y112" s="992"/>
      <c r="Z112" s="992"/>
      <c r="AA112" s="992"/>
      <c r="AB112" s="992"/>
      <c r="AC112" s="166" t="str">
        <f t="shared" si="24"/>
        <v/>
      </c>
      <c r="AD112" s="67" t="e">
        <f>1/INDEX(Analytica!$AA$17:$AE$48,MATCH($AC112,Analytica!$A$17:$A$48,0),MATCH(AD$16,Analytica!$AA$16:$AE$16,0))</f>
        <v>#N/A</v>
      </c>
      <c r="AE112" s="67" t="e">
        <f t="array" ref="AE112">IF($W$1,AD112*(1+INDEX(AE$1:AE$2,MATCH($O112,$AA$1:$AA$2,0)))^(AE$16-AD$16),INDEX('AEA2012 update'!$AC$6:$AG$104,MATCH($T112&amp;$U112,'AEA2012 update'!$A$6:$A$104&amp;'AEA2012 update'!$B$6:$B$104,0),MATCH(AE$16,'AEA2012 update'!$AC$4:$AG$4,0)))</f>
        <v>#N/A</v>
      </c>
      <c r="AF112" s="67" t="e">
        <f t="array" ref="AF112">IF($W$1,AE112*(1+INDEX(AF$1:AF$2,MATCH($O112,$AA$1:$AA$2,0)))^(AF$16-AE$16),INDEX('AEA2012 update'!$AC$6:$AG$104,MATCH($T112&amp;$U112,'AEA2012 update'!$A$6:$A$104&amp;'AEA2012 update'!$B$6:$B$104,0),MATCH(AF$16,'AEA2012 update'!$AC$4:$AG$4,0)))</f>
        <v>#N/A</v>
      </c>
      <c r="AG112" s="67" t="e">
        <f t="array" ref="AG112">IF($W$1,AF112*(1+INDEX(AG$1:AG$2,MATCH($O112,$AA$1:$AA$2,0)))^(AG$16-AF$16),INDEX('AEA2012 update'!$AC$6:$AG$104,MATCH($T112&amp;$U112,'AEA2012 update'!$A$6:$A$104&amp;'AEA2012 update'!$B$6:$B$104,0),MATCH(AG$16,'AEA2012 update'!$AC$4:$AG$4,0)))</f>
        <v>#N/A</v>
      </c>
      <c r="AH112" s="67" t="e">
        <f t="array" ref="AH112">IF($W$1,AG112*(1+INDEX(AH$1:AH$2,MATCH($O112,$AA$1:$AA$2,0)))^(AH$16-AG$16),INDEX('AEA2012 update'!$AC$6:$AG$104,MATCH($T112&amp;$U112,'AEA2012 update'!$A$6:$A$104&amp;'AEA2012 update'!$B$6:$B$104,0),MATCH(AH$16,'AEA2012 update'!$AC$4:$AG$4,0)))</f>
        <v>#N/A</v>
      </c>
      <c r="AI112" s="67"/>
      <c r="AJ112" s="989" t="e">
        <f t="shared" si="22"/>
        <v>#N/A</v>
      </c>
      <c r="AK112" s="989" t="e">
        <f t="shared" si="23"/>
        <v>#N/A</v>
      </c>
      <c r="AL112"/>
      <c r="AO112"/>
      <c r="AP112"/>
      <c r="AQ112" s="61" t="str">
        <f t="shared" si="15"/>
        <v>-</v>
      </c>
      <c r="AR112" s="80"/>
      <c r="AS112" s="80"/>
      <c r="AT112" s="80"/>
      <c r="AU112" s="80"/>
      <c r="AV112" s="80"/>
      <c r="AY112"/>
    </row>
    <row r="113" spans="1:51" ht="16.5" thickBot="1" x14ac:dyDescent="0.3">
      <c r="A113" s="285" t="s">
        <v>756</v>
      </c>
      <c r="B113" s="286"/>
      <c r="C113" s="287"/>
      <c r="D113" s="287"/>
      <c r="E113" s="287"/>
      <c r="N113" s="61" t="s">
        <v>511</v>
      </c>
      <c r="O113" s="61" t="s">
        <v>653</v>
      </c>
      <c r="P113" s="61" t="s">
        <v>757</v>
      </c>
      <c r="Q113" s="61" t="str">
        <f t="shared" si="21"/>
        <v>CV9</v>
      </c>
      <c r="R113" s="61" t="s">
        <v>687</v>
      </c>
      <c r="S113" s="65"/>
      <c r="T113" s="255" t="s">
        <v>747</v>
      </c>
      <c r="U113" s="849" t="s">
        <v>687</v>
      </c>
      <c r="V113" s="992"/>
      <c r="W113" s="992"/>
      <c r="X113" s="992"/>
      <c r="Y113" s="992"/>
      <c r="Z113" s="992"/>
      <c r="AA113" s="992"/>
      <c r="AB113" s="992"/>
      <c r="AC113" s="166" t="str">
        <f t="shared" si="24"/>
        <v>CV9ODS</v>
      </c>
      <c r="AD113" s="67">
        <f>1/INDEX(Analytica!$AA$17:$AE$48,MATCH($AC113,Analytica!$A$17:$A$48,0),MATCH(AD$16,Analytica!$AA$16:$AE$16,0))</f>
        <v>18.392034419546842</v>
      </c>
      <c r="AE113" s="67">
        <f t="array" ref="AE113">IF($W$1,AD113*(1+INDEX(AE$1:AE$2,MATCH($O113,$AA$1:$AA$2,0)))^(AE$16-AD$16),INDEX('AEA2012 update'!$AC$6:$AG$104,MATCH($T113&amp;$U113,'AEA2012 update'!$A$6:$A$104&amp;'AEA2012 update'!$B$6:$B$104,0),MATCH(AE$16,'AEA2012 update'!$AC$4:$AG$4,0)))</f>
        <v>18.336913473999427</v>
      </c>
      <c r="AF113" s="67">
        <f t="array" ref="AF113">IF($W$1,AE113*(1+INDEX(AF$1:AF$2,MATCH($O113,$AA$1:$AA$2,0)))^(AF$16-AE$16),INDEX('AEA2012 update'!$AC$6:$AG$104,MATCH($T113&amp;$U113,'AEA2012 update'!$A$6:$A$104&amp;'AEA2012 update'!$B$6:$B$104,0),MATCH(AF$16,'AEA2012 update'!$AC$4:$AG$4,0)))</f>
        <v>17.352981760447015</v>
      </c>
      <c r="AG113" s="67">
        <f t="array" ref="AG113">IF($W$1,AF113*(1+INDEX(AG$1:AG$2,MATCH($O113,$AA$1:$AA$2,0)))^(AG$16-AF$16),INDEX('AEA2012 update'!$AC$6:$AG$104,MATCH($T113&amp;$U113,'AEA2012 update'!$A$6:$A$104&amp;'AEA2012 update'!$B$6:$B$104,0),MATCH(AG$16,'AEA2012 update'!$AC$4:$AG$4,0)))</f>
        <v>15.693725652103005</v>
      </c>
      <c r="AH113" s="67">
        <f t="array" ref="AH113">IF($W$1,AG113*(1+INDEX(AH$1:AH$2,MATCH($O113,$AA$1:$AA$2,0)))^(AH$16-AG$16),INDEX('AEA2012 update'!$AC$6:$AG$104,MATCH($T113&amp;$U113,'AEA2012 update'!$A$6:$A$104&amp;'AEA2012 update'!$B$6:$B$104,0),MATCH(AH$16,'AEA2012 update'!$AC$4:$AG$4,0)))</f>
        <v>14.193124169867817</v>
      </c>
      <c r="AI113" s="67"/>
      <c r="AJ113" s="989">
        <f t="shared" si="22"/>
        <v>-9.9900033333331136E-4</v>
      </c>
      <c r="AK113" s="989">
        <f t="shared" si="23"/>
        <v>-7.5326913841620418E-3</v>
      </c>
      <c r="AL113"/>
      <c r="AO113"/>
      <c r="AP113"/>
      <c r="AQ113" s="61" t="str">
        <f t="shared" si="15"/>
        <v>HCV9-ODS</v>
      </c>
      <c r="AR113" s="80"/>
      <c r="AS113" s="80"/>
      <c r="AT113" s="80"/>
      <c r="AU113" s="80"/>
      <c r="AV113" s="80"/>
      <c r="AY113"/>
    </row>
    <row r="114" spans="1:51" x14ac:dyDescent="0.25">
      <c r="A114" s="61" t="s">
        <v>251</v>
      </c>
      <c r="C114" s="206" t="e">
        <f>C98/$C$82</f>
        <v>#VALUE!</v>
      </c>
      <c r="D114" s="7" t="e">
        <f t="shared" ref="D114" si="38">C114*$D$58</f>
        <v>#VALUE!</v>
      </c>
      <c r="N114" s="61" t="s">
        <v>501</v>
      </c>
      <c r="O114" s="61" t="s">
        <v>653</v>
      </c>
      <c r="P114" s="61" t="s">
        <v>757</v>
      </c>
      <c r="Q114" s="61" t="str">
        <f t="shared" si="21"/>
        <v>CV9</v>
      </c>
      <c r="R114" s="61" t="s">
        <v>687</v>
      </c>
      <c r="S114" s="65"/>
      <c r="T114" s="255" t="s">
        <v>747</v>
      </c>
      <c r="U114" s="849" t="s">
        <v>692</v>
      </c>
      <c r="V114" s="992"/>
      <c r="W114" s="992"/>
      <c r="X114" s="992"/>
      <c r="Y114" s="992"/>
      <c r="Z114" s="992"/>
      <c r="AA114" s="992"/>
      <c r="AB114" s="992"/>
      <c r="AC114" s="166" t="str">
        <f t="shared" si="24"/>
        <v>CV9ELC</v>
      </c>
      <c r="AD114" s="990">
        <f>$AD$84/$AD$83*AD113</f>
        <v>5.6171576062528557</v>
      </c>
      <c r="AE114" s="990">
        <f t="array" ref="AE114">IF($W$1,AD114*(1+INDEX(AE$1:AE$2,MATCH($O114,$AA$1:$AA$2,0)))^(AE$16-AD$16),INDEX('AEA2012 update'!$AC$6:$AG$104,MATCH($T114&amp;$U114,'AEA2012 update'!$A$6:$A$104&amp;'AEA2012 update'!$B$6:$B$104,0),MATCH(AE$16,'AEA2012 update'!$AC$4:$AG$4,0)))</f>
        <v>5.600322979289758</v>
      </c>
      <c r="AF114" s="990">
        <f t="array" ref="AF114">IF($W$1,AE114*(1+INDEX(AF$1:AF$2,MATCH($O114,$AA$1:$AA$2,0)))^(AF$16-AE$16),INDEX('AEA2012 update'!$AC$6:$AG$104,MATCH($T114&amp;$U114,'AEA2012 update'!$A$6:$A$104&amp;'AEA2012 update'!$B$6:$B$104,0),MATCH(AF$16,'AEA2012 update'!$AC$4:$AG$4,0)))</f>
        <v>5.299817913741359</v>
      </c>
      <c r="AG114" s="990">
        <f t="array" ref="AG114">IF($W$1,AF114*(1+INDEX(AG$1:AG$2,MATCH($O114,$AA$1:$AA$2,0)))^(AG$16-AF$16),INDEX('AEA2012 update'!$AC$6:$AG$104,MATCH($T114&amp;$U114,'AEA2012 update'!$A$6:$A$104&amp;'AEA2012 update'!$B$6:$B$104,0),MATCH(AG$16,'AEA2012 update'!$AC$4:$AG$4,0)))</f>
        <v>4.7930603219982428</v>
      </c>
      <c r="AH114" s="990">
        <f t="array" ref="AH114">IF($W$1,AG114*(1+INDEX(AH$1:AH$2,MATCH($O114,$AA$1:$AA$2,0)))^(AH$16-AG$16),INDEX('AEA2012 update'!$AC$6:$AG$104,MATCH($T114&amp;$U114,'AEA2012 update'!$A$6:$A$104&amp;'AEA2012 update'!$B$6:$B$104,0),MATCH(AH$16,'AEA2012 update'!$AC$4:$AG$4,0)))</f>
        <v>4.3347578396511386</v>
      </c>
      <c r="AI114" s="67"/>
      <c r="AJ114" s="989">
        <f t="shared" si="22"/>
        <v>-9.9900033333334888E-4</v>
      </c>
      <c r="AK114" s="989">
        <f t="shared" si="23"/>
        <v>-7.5326913841620401E-3</v>
      </c>
      <c r="AQ114" s="61" t="str">
        <f t="shared" si="15"/>
        <v>HCV9-ELC</v>
      </c>
      <c r="AR114" s="80"/>
      <c r="AS114" s="80"/>
      <c r="AT114" s="80"/>
      <c r="AU114" s="80"/>
      <c r="AV114" s="80"/>
    </row>
    <row r="115" spans="1:51" ht="16.5" thickBot="1" x14ac:dyDescent="0.3">
      <c r="A115" s="288" t="s">
        <v>758</v>
      </c>
      <c r="B115" s="289">
        <v>25</v>
      </c>
      <c r="C115" s="290">
        <v>29522</v>
      </c>
      <c r="D115" s="289">
        <v>34</v>
      </c>
      <c r="E115" s="291">
        <v>31213</v>
      </c>
      <c r="G115" s="61">
        <f>B115/D115</f>
        <v>0.73529411764705888</v>
      </c>
      <c r="H115" s="61">
        <f>C115/E115</f>
        <v>0.94582385544484671</v>
      </c>
      <c r="N115" s="61" t="s">
        <v>504</v>
      </c>
      <c r="O115" s="61" t="s">
        <v>653</v>
      </c>
      <c r="P115" s="61" t="s">
        <v>757</v>
      </c>
      <c r="Q115" s="61" t="str">
        <f t="shared" si="21"/>
        <v>CV9</v>
      </c>
      <c r="R115" s="61" t="s">
        <v>687</v>
      </c>
      <c r="S115" s="65"/>
      <c r="T115" s="255" t="s">
        <v>747</v>
      </c>
      <c r="U115" s="849" t="s">
        <v>699</v>
      </c>
      <c r="V115" s="992"/>
      <c r="W115" s="992"/>
      <c r="X115" s="992"/>
      <c r="Y115" s="992"/>
      <c r="Z115" s="992"/>
      <c r="AA115" s="992"/>
      <c r="AB115" s="992"/>
      <c r="AC115" s="166" t="str">
        <f t="shared" si="24"/>
        <v>CV9HGN</v>
      </c>
      <c r="AD115" s="67">
        <f>INDEX('Vehicle data '!$AD$20:$AD$110,MATCH($AC115,'Vehicle data '!$AC$20:$AC$110,0))/INDEX('Vehicle data '!$AD$20:$AD$110,MATCH($AC$113,'Vehicle data '!$AC$20:$AC$110,0))*AD$113</f>
        <v>8.7356355481978181</v>
      </c>
      <c r="AE115" s="67">
        <f t="array" ref="AE115">IF($W$1,AD115*(1+INDEX(AE$1:AE$2,MATCH($O115,$AA$1:$AA$2,0)))^(AE$16-AD$16),INDEX('AEA2012 update'!$AC$6:$AG$104,MATCH($T115&amp;$U115,'AEA2012 update'!$A$6:$A$104&amp;'AEA2012 update'!$B$6:$B$104,0),MATCH(AE$16,'AEA2012 update'!$AC$4:$AG$4,0)))</f>
        <v>8.7094548397242342</v>
      </c>
      <c r="AF115" s="67">
        <f t="array" ref="AF115">IF($W$1,AE115*(1+INDEX(AF$1:AF$2,MATCH($O115,$AA$1:$AA$2,0)))^(AF$16-AE$16),INDEX('AEA2012 update'!$AC$6:$AG$104,MATCH($T115&amp;$U115,'AEA2012 update'!$A$6:$A$104&amp;'AEA2012 update'!$B$6:$B$104,0),MATCH(AF$16,'AEA2012 update'!$AC$4:$AG$4,0)))</f>
        <v>8.2421183473146353</v>
      </c>
      <c r="AG115" s="67">
        <f t="array" ref="AG115">IF($W$1,AF115*(1+INDEX(AG$1:AG$2,MATCH($O115,$AA$1:$AA$2,0)))^(AG$16-AF$16),INDEX('AEA2012 update'!$AC$6:$AG$104,MATCH($T115&amp;$U115,'AEA2012 update'!$A$6:$A$104&amp;'AEA2012 update'!$B$6:$B$104,0),MATCH(AG$16,'AEA2012 update'!$AC$4:$AG$4,0)))</f>
        <v>7.4540240934125466</v>
      </c>
      <c r="AH115" s="67">
        <f t="array" ref="AH115">IF($W$1,AG115*(1+INDEX(AH$1:AH$2,MATCH($O115,$AA$1:$AA$2,0)))^(AH$16-AG$16),INDEX('AEA2012 update'!$AC$6:$AG$104,MATCH($T115&amp;$U115,'AEA2012 update'!$A$6:$A$104&amp;'AEA2012 update'!$B$6:$B$104,0),MATCH(AH$16,'AEA2012 update'!$AC$4:$AG$4,0)))</f>
        <v>6.7412857767660599</v>
      </c>
      <c r="AI115" s="67"/>
      <c r="AJ115" s="989">
        <f t="shared" si="22"/>
        <v>-9.9900033333331353E-4</v>
      </c>
      <c r="AK115" s="989">
        <f t="shared" si="23"/>
        <v>-7.5326913841620427E-3</v>
      </c>
      <c r="AL115"/>
      <c r="AO115"/>
      <c r="AP115"/>
      <c r="AQ115" s="61" t="str">
        <f t="shared" si="15"/>
        <v>HCV9-HGN</v>
      </c>
      <c r="AR115" s="80"/>
      <c r="AS115" s="80"/>
      <c r="AT115" s="80"/>
      <c r="AU115" s="80"/>
      <c r="AV115" s="80"/>
      <c r="AY115"/>
    </row>
    <row r="116" spans="1:51" ht="16.5" thickBot="1" x14ac:dyDescent="0.3">
      <c r="A116" s="288" t="s">
        <v>759</v>
      </c>
      <c r="B116" s="289">
        <v>21</v>
      </c>
      <c r="C116" s="290" t="s">
        <v>760</v>
      </c>
      <c r="D116" s="289">
        <v>27</v>
      </c>
      <c r="E116" s="291" t="s">
        <v>761</v>
      </c>
      <c r="G116" s="61">
        <f>B116/D116</f>
        <v>0.77777777777777779</v>
      </c>
      <c r="H116" s="61" t="e">
        <f>C116/E116</f>
        <v>#VALUE!</v>
      </c>
      <c r="N116" s="61" t="s">
        <v>509</v>
      </c>
      <c r="O116" s="61" t="s">
        <v>653</v>
      </c>
      <c r="P116" s="61" t="s">
        <v>757</v>
      </c>
      <c r="Q116" s="61" t="str">
        <f t="shared" si="21"/>
        <v>CV9</v>
      </c>
      <c r="R116" s="61" t="s">
        <v>687</v>
      </c>
      <c r="S116" s="65"/>
      <c r="T116" s="255" t="s">
        <v>747</v>
      </c>
      <c r="U116" s="849" t="s">
        <v>700</v>
      </c>
      <c r="V116" s="992"/>
      <c r="W116" s="992"/>
      <c r="X116" s="992"/>
      <c r="Y116" s="992"/>
      <c r="Z116" s="992"/>
      <c r="AA116" s="992"/>
      <c r="AB116" s="992"/>
      <c r="AC116" s="166" t="str">
        <f t="shared" si="24"/>
        <v>CV9GAS</v>
      </c>
      <c r="AD116" s="67">
        <f>INDEX('Vehicle data '!$AD$20:$AD$110,MATCH($AC116,'Vehicle data '!$AC$20:$AC$110,0))/INDEX('Vehicle data '!$AD$20:$AD$110,MATCH($AC$113,'Vehicle data '!$AC$20:$AC$110,0))*AD$113</f>
        <v>21.150839582478866</v>
      </c>
      <c r="AE116" s="67">
        <f t="array" ref="AE116">IF($W$1,AD116*(1+INDEX(AE$1:AE$2,MATCH($O116,$AA$1:$AA$2,0)))^(AE$16-AD$16),INDEX('AEA2012 update'!$AC$6:$AG$104,MATCH($T116&amp;$U116,'AEA2012 update'!$A$6:$A$104&amp;'AEA2012 update'!$B$6:$B$104,0),MATCH(AE$16,'AEA2012 update'!$AC$4:$AG$4,0)))</f>
        <v>21.087450495099336</v>
      </c>
      <c r="AF116" s="67">
        <f t="array" ref="AF116">IF($W$1,AE116*(1+INDEX(AF$1:AF$2,MATCH($O116,$AA$1:$AA$2,0)))^(AF$16-AE$16),INDEX('AEA2012 update'!$AC$6:$AG$104,MATCH($T116&amp;$U116,'AEA2012 update'!$A$6:$A$104&amp;'AEA2012 update'!$B$6:$B$104,0),MATCH(AF$16,'AEA2012 update'!$AC$4:$AG$4,0)))</f>
        <v>19.955929024514063</v>
      </c>
      <c r="AG116" s="67">
        <f t="array" ref="AG116">IF($W$1,AF116*(1+INDEX(AG$1:AG$2,MATCH($O116,$AA$1:$AA$2,0)))^(AG$16-AF$16),INDEX('AEA2012 update'!$AC$6:$AG$104,MATCH($T116&amp;$U116,'AEA2012 update'!$A$6:$A$104&amp;'AEA2012 update'!$B$6:$B$104,0),MATCH(AG$16,'AEA2012 update'!$AC$4:$AG$4,0)))</f>
        <v>18.047784499918453</v>
      </c>
      <c r="AH116" s="67">
        <f t="array" ref="AH116">IF($W$1,AG116*(1+INDEX(AH$1:AH$2,MATCH($O116,$AA$1:$AA$2,0)))^(AH$16-AG$16),INDEX('AEA2012 update'!$AC$6:$AG$104,MATCH($T116&amp;$U116,'AEA2012 update'!$A$6:$A$104&amp;'AEA2012 update'!$B$6:$B$104,0),MATCH(AH$16,'AEA2012 update'!$AC$4:$AG$4,0)))</f>
        <v>16.322092795347988</v>
      </c>
      <c r="AI116" s="67"/>
      <c r="AJ116" s="989">
        <f t="shared" si="22"/>
        <v>-9.9900033333335625E-4</v>
      </c>
      <c r="AK116" s="989">
        <f t="shared" si="23"/>
        <v>-7.5326913841620383E-3</v>
      </c>
      <c r="AQ116" s="61" t="str">
        <f t="shared" si="15"/>
        <v>HCV9-GAS</v>
      </c>
      <c r="AR116" s="80"/>
      <c r="AS116" s="80"/>
      <c r="AT116" s="80"/>
      <c r="AU116" s="80"/>
      <c r="AV116" s="80"/>
    </row>
    <row r="117" spans="1:51" ht="16.5" thickBot="1" x14ac:dyDescent="0.3">
      <c r="A117" s="288" t="s">
        <v>762</v>
      </c>
      <c r="B117" s="289">
        <v>20</v>
      </c>
      <c r="C117" s="290" t="s">
        <v>763</v>
      </c>
      <c r="D117" s="289">
        <v>26</v>
      </c>
      <c r="E117" s="291" t="s">
        <v>764</v>
      </c>
      <c r="G117" s="61">
        <f t="shared" ref="G117:H132" si="39">B117/D117</f>
        <v>0.76923076923076927</v>
      </c>
      <c r="H117" s="61" t="e">
        <f t="shared" si="39"/>
        <v>#VALUE!</v>
      </c>
      <c r="N117"/>
      <c r="O117"/>
      <c r="P117"/>
      <c r="Q117"/>
      <c r="R117"/>
      <c r="S117"/>
      <c r="T117"/>
      <c r="U117"/>
      <c r="V117"/>
      <c r="W117"/>
      <c r="X117"/>
      <c r="Y117"/>
      <c r="Z117"/>
      <c r="AA117"/>
      <c r="AB117"/>
      <c r="AC117"/>
      <c r="AD117"/>
      <c r="AJ117" s="256" t="e">
        <f t="shared" si="22"/>
        <v>#DIV/0!</v>
      </c>
      <c r="AK117" s="256"/>
    </row>
    <row r="118" spans="1:51" ht="16.5" thickBot="1" x14ac:dyDescent="0.3">
      <c r="A118" s="288" t="s">
        <v>765</v>
      </c>
      <c r="B118" s="289">
        <v>26</v>
      </c>
      <c r="C118" s="290" t="s">
        <v>766</v>
      </c>
      <c r="D118" s="289">
        <v>34</v>
      </c>
      <c r="E118" s="291" t="s">
        <v>767</v>
      </c>
      <c r="G118" s="61">
        <f t="shared" si="39"/>
        <v>0.76470588235294112</v>
      </c>
      <c r="H118" s="61" t="e">
        <f t="shared" si="39"/>
        <v>#VALUE!</v>
      </c>
      <c r="N118"/>
      <c r="O118"/>
      <c r="P118"/>
      <c r="Q118"/>
      <c r="R118"/>
      <c r="S118"/>
      <c r="T118"/>
      <c r="U118"/>
      <c r="V118"/>
      <c r="W118"/>
      <c r="X118"/>
      <c r="Y118"/>
      <c r="Z118"/>
      <c r="AA118"/>
      <c r="AB118"/>
      <c r="AC118"/>
      <c r="AD118"/>
      <c r="AJ118" s="256"/>
      <c r="AK118" s="256"/>
    </row>
    <row r="119" spans="1:51" ht="16.5" thickBot="1" x14ac:dyDescent="0.3">
      <c r="A119" s="288" t="s">
        <v>768</v>
      </c>
      <c r="B119" s="289">
        <v>24</v>
      </c>
      <c r="C119" s="290" t="s">
        <v>769</v>
      </c>
      <c r="D119" s="289">
        <v>33</v>
      </c>
      <c r="E119" s="291" t="s">
        <v>770</v>
      </c>
      <c r="G119" s="61">
        <f t="shared" si="39"/>
        <v>0.72727272727272729</v>
      </c>
      <c r="H119" s="61" t="e">
        <f t="shared" si="39"/>
        <v>#VALUE!</v>
      </c>
      <c r="N119"/>
      <c r="O119"/>
      <c r="P119"/>
      <c r="Q119"/>
      <c r="R119"/>
      <c r="S119"/>
      <c r="T119"/>
      <c r="U119"/>
      <c r="AJ119" s="256"/>
      <c r="AK119" s="256"/>
    </row>
    <row r="120" spans="1:51" ht="32.25" thickBot="1" x14ac:dyDescent="0.3">
      <c r="A120" s="279" t="s">
        <v>771</v>
      </c>
      <c r="B120" s="292">
        <v>25</v>
      </c>
      <c r="C120" s="290" t="s">
        <v>772</v>
      </c>
      <c r="D120" s="292">
        <v>33</v>
      </c>
      <c r="E120" s="291" t="s">
        <v>773</v>
      </c>
      <c r="G120" s="61">
        <f t="shared" si="39"/>
        <v>0.75757575757575757</v>
      </c>
      <c r="H120" s="61" t="e">
        <f t="shared" si="39"/>
        <v>#VALUE!</v>
      </c>
      <c r="N120"/>
      <c r="O120"/>
      <c r="P120"/>
      <c r="Q120"/>
      <c r="R120"/>
      <c r="S120"/>
      <c r="T120"/>
      <c r="U120"/>
      <c r="V120"/>
      <c r="W120"/>
      <c r="X120"/>
      <c r="Y120"/>
      <c r="AB120"/>
      <c r="AC120"/>
      <c r="AJ120" s="256"/>
      <c r="AK120" s="256"/>
    </row>
    <row r="121" spans="1:51" ht="16.5" thickBot="1" x14ac:dyDescent="0.3">
      <c r="A121" s="288" t="s">
        <v>774</v>
      </c>
      <c r="B121" s="289">
        <v>23</v>
      </c>
      <c r="C121" s="290" t="s">
        <v>775</v>
      </c>
      <c r="D121" s="289">
        <v>34</v>
      </c>
      <c r="E121" s="291" t="s">
        <v>776</v>
      </c>
      <c r="G121" s="61">
        <f t="shared" si="39"/>
        <v>0.67647058823529416</v>
      </c>
      <c r="H121" s="61" t="e">
        <f t="shared" si="39"/>
        <v>#VALUE!</v>
      </c>
      <c r="N121"/>
      <c r="O121"/>
      <c r="P121"/>
      <c r="Q121"/>
      <c r="R121"/>
      <c r="S121"/>
      <c r="T121"/>
      <c r="U121"/>
      <c r="V121" s="293">
        <v>2010</v>
      </c>
      <c r="W121" s="293">
        <v>2018</v>
      </c>
      <c r="X121" s="293">
        <v>2020</v>
      </c>
      <c r="Y121" s="293">
        <v>2030</v>
      </c>
      <c r="Z121" s="293">
        <v>2040</v>
      </c>
      <c r="AA121" s="293">
        <v>2050</v>
      </c>
      <c r="AJ121" s="256"/>
      <c r="AK121" s="256"/>
    </row>
    <row r="122" spans="1:51" ht="16.5" thickBot="1" x14ac:dyDescent="0.3">
      <c r="A122" s="294" t="s">
        <v>777</v>
      </c>
      <c r="B122" s="295"/>
      <c r="C122" s="290"/>
      <c r="D122" s="295"/>
      <c r="E122" s="291"/>
      <c r="G122" s="61" t="e">
        <f t="shared" si="39"/>
        <v>#DIV/0!</v>
      </c>
      <c r="H122" s="61" t="e">
        <f t="shared" si="39"/>
        <v>#DIV/0!</v>
      </c>
      <c r="N122"/>
      <c r="O122"/>
      <c r="P122"/>
      <c r="Q122"/>
      <c r="R122"/>
      <c r="S122"/>
      <c r="T122"/>
      <c r="U122"/>
      <c r="V122" s="194" t="e">
        <f>V27/V20</f>
        <v>#DIV/0!</v>
      </c>
      <c r="W122" s="194">
        <f>(H26/H27)</f>
        <v>2.0232263513513513</v>
      </c>
      <c r="X122" s="194" t="e">
        <f>W27/W20</f>
        <v>#DIV/0!</v>
      </c>
      <c r="Y122" s="194" t="e">
        <f>Y27/Y20</f>
        <v>#DIV/0!</v>
      </c>
      <c r="Z122" s="194" t="e">
        <f>AA27/AA20</f>
        <v>#DIV/0!</v>
      </c>
      <c r="AA122" s="194" t="e">
        <f>AB27/AB20</f>
        <v>#DIV/0!</v>
      </c>
      <c r="AJ122" s="256"/>
      <c r="AK122" s="256"/>
    </row>
    <row r="123" spans="1:51" ht="16.5" thickBot="1" x14ac:dyDescent="0.3">
      <c r="A123" s="288" t="s">
        <v>778</v>
      </c>
      <c r="B123" s="289">
        <v>16</v>
      </c>
      <c r="C123" s="290" t="s">
        <v>779</v>
      </c>
      <c r="D123" s="289">
        <v>20</v>
      </c>
      <c r="E123" s="291" t="s">
        <v>780</v>
      </c>
      <c r="G123" s="61">
        <f t="shared" si="39"/>
        <v>0.8</v>
      </c>
      <c r="H123" s="61" t="e">
        <f t="shared" si="39"/>
        <v>#VALUE!</v>
      </c>
      <c r="N123"/>
      <c r="O123"/>
      <c r="P123"/>
      <c r="Q123"/>
      <c r="R123"/>
      <c r="S123"/>
      <c r="T123"/>
      <c r="U123"/>
      <c r="AJ123" s="256"/>
      <c r="AK123" s="256"/>
    </row>
    <row r="124" spans="1:51" ht="16.5" thickBot="1" x14ac:dyDescent="0.3">
      <c r="A124" s="288" t="s">
        <v>781</v>
      </c>
      <c r="B124" s="289">
        <v>16</v>
      </c>
      <c r="C124" s="290" t="s">
        <v>782</v>
      </c>
      <c r="D124" s="289">
        <v>22</v>
      </c>
      <c r="E124" s="291" t="s">
        <v>783</v>
      </c>
      <c r="G124" s="61">
        <f t="shared" si="39"/>
        <v>0.72727272727272729</v>
      </c>
      <c r="H124" s="61" t="e">
        <f t="shared" si="39"/>
        <v>#VALUE!</v>
      </c>
      <c r="N124"/>
      <c r="O124"/>
      <c r="P124"/>
      <c r="Q124"/>
      <c r="R124"/>
      <c r="S124"/>
      <c r="T124"/>
      <c r="U124"/>
      <c r="V124"/>
      <c r="W124"/>
      <c r="X124"/>
      <c r="Y124"/>
      <c r="Z124"/>
      <c r="AA124"/>
      <c r="AB124"/>
      <c r="AC124"/>
      <c r="AJ124" s="256"/>
      <c r="AK124" s="256"/>
    </row>
    <row r="125" spans="1:51" ht="16.5" thickBot="1" x14ac:dyDescent="0.3">
      <c r="A125" s="288" t="s">
        <v>784</v>
      </c>
      <c r="B125" s="289">
        <v>15</v>
      </c>
      <c r="C125" s="290" t="s">
        <v>785</v>
      </c>
      <c r="D125" s="289">
        <v>19</v>
      </c>
      <c r="E125" s="291" t="s">
        <v>786</v>
      </c>
      <c r="G125" s="61">
        <f t="shared" si="39"/>
        <v>0.78947368421052633</v>
      </c>
      <c r="H125" s="61" t="e">
        <f t="shared" si="39"/>
        <v>#VALUE!</v>
      </c>
      <c r="N125"/>
      <c r="O125"/>
      <c r="P125"/>
      <c r="Q125"/>
      <c r="R125"/>
      <c r="S125"/>
      <c r="U125" s="296" t="s">
        <v>787</v>
      </c>
      <c r="V125" s="297"/>
      <c r="W125" s="298"/>
      <c r="X125" s="298"/>
      <c r="Y125" s="298"/>
      <c r="Z125" s="298"/>
      <c r="AA125" s="297"/>
      <c r="AB125" s="299"/>
      <c r="AC125"/>
      <c r="AJ125" s="256"/>
      <c r="AK125" s="256"/>
    </row>
    <row r="126" spans="1:51" ht="16.5" thickBot="1" x14ac:dyDescent="0.3">
      <c r="A126" s="288" t="s">
        <v>788</v>
      </c>
      <c r="B126" s="289">
        <v>17</v>
      </c>
      <c r="C126" s="290" t="s">
        <v>789</v>
      </c>
      <c r="D126" s="289">
        <v>21</v>
      </c>
      <c r="E126" s="291" t="s">
        <v>790</v>
      </c>
      <c r="G126" s="61">
        <f t="shared" si="39"/>
        <v>0.80952380952380953</v>
      </c>
      <c r="H126" s="61" t="e">
        <f t="shared" si="39"/>
        <v>#VALUE!</v>
      </c>
      <c r="N126"/>
      <c r="O126"/>
      <c r="P126"/>
      <c r="Q126"/>
      <c r="R126"/>
      <c r="S126"/>
      <c r="U126" s="300" t="s">
        <v>791</v>
      </c>
      <c r="V126" s="293">
        <v>2010</v>
      </c>
      <c r="W126" s="293">
        <v>2020</v>
      </c>
      <c r="X126" s="293"/>
      <c r="Y126" s="293">
        <v>2030</v>
      </c>
      <c r="Z126" s="293"/>
      <c r="AA126" s="293">
        <v>2040</v>
      </c>
      <c r="AB126" s="293">
        <v>2050</v>
      </c>
      <c r="AC126"/>
      <c r="AJ126" s="256"/>
      <c r="AK126" s="256"/>
    </row>
    <row r="127" spans="1:51" ht="16.5" thickBot="1" x14ac:dyDescent="0.3">
      <c r="A127" s="288" t="s">
        <v>792</v>
      </c>
      <c r="B127" s="289">
        <v>16</v>
      </c>
      <c r="C127" s="290" t="s">
        <v>793</v>
      </c>
      <c r="D127" s="289">
        <v>22</v>
      </c>
      <c r="E127" s="291" t="s">
        <v>794</v>
      </c>
      <c r="G127" s="61">
        <f t="shared" si="39"/>
        <v>0.72727272727272729</v>
      </c>
      <c r="H127" s="61" t="e">
        <f t="shared" si="39"/>
        <v>#VALUE!</v>
      </c>
      <c r="N127"/>
      <c r="O127"/>
      <c r="P127"/>
      <c r="Q127"/>
      <c r="R127"/>
      <c r="S127"/>
      <c r="U127" s="301" t="s">
        <v>795</v>
      </c>
      <c r="V127" s="302">
        <v>11397.369670152857</v>
      </c>
      <c r="W127" s="302">
        <v>11397.369670152857</v>
      </c>
      <c r="X127" s="302"/>
      <c r="Y127" s="302">
        <v>11397.369670152857</v>
      </c>
      <c r="Z127" s="302"/>
      <c r="AA127" s="302">
        <v>11397.369670152857</v>
      </c>
      <c r="AB127" s="302">
        <v>11397.369670152857</v>
      </c>
      <c r="AC127"/>
      <c r="AJ127" s="256"/>
      <c r="AK127" s="256"/>
    </row>
    <row r="128" spans="1:51" ht="16.5" thickBot="1" x14ac:dyDescent="0.3">
      <c r="A128" s="303" t="s">
        <v>745</v>
      </c>
      <c r="B128" s="295"/>
      <c r="C128" s="290"/>
      <c r="D128" s="295"/>
      <c r="E128" s="291"/>
      <c r="G128" s="61" t="e">
        <f t="shared" si="39"/>
        <v>#DIV/0!</v>
      </c>
      <c r="H128" s="61" t="e">
        <f t="shared" si="39"/>
        <v>#DIV/0!</v>
      </c>
      <c r="N128"/>
      <c r="O128"/>
      <c r="P128"/>
      <c r="Q128"/>
      <c r="R128"/>
      <c r="S128"/>
      <c r="U128" s="301" t="s">
        <v>796</v>
      </c>
      <c r="V128" s="302">
        <v>4325.1030927835054</v>
      </c>
      <c r="W128" s="302">
        <v>2671.4241637609025</v>
      </c>
      <c r="X128" s="302"/>
      <c r="Y128" s="302">
        <v>1895.6429596763671</v>
      </c>
      <c r="Z128" s="302"/>
      <c r="AA128" s="302">
        <v>1722.8429596763672</v>
      </c>
      <c r="AB128" s="302">
        <v>1584.6029596763672</v>
      </c>
      <c r="AC128"/>
      <c r="AJ128" s="256"/>
      <c r="AK128" s="256"/>
    </row>
    <row r="129" spans="1:37" ht="32.25" thickBot="1" x14ac:dyDescent="0.3">
      <c r="A129" s="288" t="s">
        <v>797</v>
      </c>
      <c r="B129" s="289">
        <v>13</v>
      </c>
      <c r="C129" s="290" t="s">
        <v>798</v>
      </c>
      <c r="D129" s="289">
        <v>15</v>
      </c>
      <c r="E129" s="291" t="s">
        <v>799</v>
      </c>
      <c r="G129" s="61">
        <f t="shared" si="39"/>
        <v>0.8666666666666667</v>
      </c>
      <c r="H129" s="61" t="e">
        <f t="shared" si="39"/>
        <v>#VALUE!</v>
      </c>
      <c r="N129"/>
      <c r="O129"/>
      <c r="P129"/>
      <c r="Q129"/>
      <c r="R129"/>
      <c r="S129"/>
      <c r="U129" s="301" t="s">
        <v>800</v>
      </c>
      <c r="V129" s="302">
        <v>20516.123958396958</v>
      </c>
      <c r="W129" s="302">
        <v>10321.343218432934</v>
      </c>
      <c r="X129" s="302"/>
      <c r="Y129" s="302">
        <v>6664.450612276908</v>
      </c>
      <c r="Z129" s="302"/>
      <c r="AA129" s="302">
        <v>6947.4020113231627</v>
      </c>
      <c r="AB129" s="302">
        <v>7085.5672178836048</v>
      </c>
      <c r="AC129"/>
      <c r="AJ129" s="256"/>
      <c r="AK129" s="256"/>
    </row>
    <row r="130" spans="1:37" ht="16.5" thickBot="1" x14ac:dyDescent="0.3">
      <c r="A130" s="288" t="s">
        <v>801</v>
      </c>
      <c r="B130" s="289">
        <v>13</v>
      </c>
      <c r="C130" s="290" t="s">
        <v>802</v>
      </c>
      <c r="D130" s="289">
        <v>15</v>
      </c>
      <c r="E130" s="291" t="s">
        <v>803</v>
      </c>
      <c r="G130" s="61">
        <f t="shared" si="39"/>
        <v>0.8666666666666667</v>
      </c>
      <c r="H130" s="61" t="e">
        <f t="shared" si="39"/>
        <v>#VALUE!</v>
      </c>
      <c r="N130"/>
      <c r="O130"/>
      <c r="P130"/>
      <c r="Q130"/>
      <c r="R130"/>
      <c r="S130"/>
      <c r="U130" s="301" t="s">
        <v>804</v>
      </c>
      <c r="V130" s="302">
        <v>0</v>
      </c>
      <c r="W130" s="302">
        <v>0</v>
      </c>
      <c r="X130" s="302"/>
      <c r="Y130" s="302">
        <v>0</v>
      </c>
      <c r="Z130" s="302"/>
      <c r="AA130" s="302">
        <v>0</v>
      </c>
      <c r="AB130" s="302">
        <v>0</v>
      </c>
      <c r="AC130"/>
      <c r="AJ130" s="256"/>
      <c r="AK130" s="256"/>
    </row>
    <row r="131" spans="1:37" ht="16.5" thickBot="1" x14ac:dyDescent="0.3">
      <c r="A131" s="288" t="s">
        <v>805</v>
      </c>
      <c r="B131" s="289">
        <v>12</v>
      </c>
      <c r="C131" s="290" t="s">
        <v>806</v>
      </c>
      <c r="D131" s="289">
        <v>14</v>
      </c>
      <c r="E131" s="291" t="s">
        <v>807</v>
      </c>
      <c r="G131" s="61">
        <f t="shared" si="39"/>
        <v>0.8571428571428571</v>
      </c>
      <c r="H131" s="61" t="e">
        <f t="shared" si="39"/>
        <v>#VALUE!</v>
      </c>
      <c r="N131"/>
      <c r="O131"/>
      <c r="P131"/>
      <c r="Q131"/>
      <c r="R131"/>
      <c r="S131"/>
      <c r="U131" s="301" t="s">
        <v>808</v>
      </c>
      <c r="V131" s="302">
        <v>0</v>
      </c>
      <c r="W131" s="302">
        <v>8.9453706281175727</v>
      </c>
      <c r="X131" s="302"/>
      <c r="Y131" s="302">
        <v>20.952492987800643</v>
      </c>
      <c r="Z131" s="302"/>
      <c r="AA131" s="302">
        <v>25.793675678662378</v>
      </c>
      <c r="AB131" s="302">
        <v>27.725005798971225</v>
      </c>
      <c r="AC131"/>
      <c r="AJ131" s="256"/>
      <c r="AK131" s="256"/>
    </row>
    <row r="132" spans="1:37" ht="16.5" thickBot="1" x14ac:dyDescent="0.3">
      <c r="A132" s="288" t="s">
        <v>809</v>
      </c>
      <c r="B132" s="289">
        <v>13</v>
      </c>
      <c r="C132" s="290" t="s">
        <v>810</v>
      </c>
      <c r="D132" s="289">
        <v>15</v>
      </c>
      <c r="E132" s="291" t="s">
        <v>811</v>
      </c>
      <c r="G132" s="61">
        <f t="shared" si="39"/>
        <v>0.8666666666666667</v>
      </c>
      <c r="H132" s="61" t="e">
        <f t="shared" si="39"/>
        <v>#VALUE!</v>
      </c>
      <c r="N132"/>
      <c r="O132"/>
      <c r="P132"/>
      <c r="Q132"/>
      <c r="R132"/>
      <c r="S132"/>
      <c r="U132" s="301" t="s">
        <v>812</v>
      </c>
      <c r="V132" s="302">
        <v>0</v>
      </c>
      <c r="W132" s="302">
        <v>18.764296648724834</v>
      </c>
      <c r="X132" s="302"/>
      <c r="Y132" s="302">
        <v>17.385645895502968</v>
      </c>
      <c r="Z132" s="302"/>
      <c r="AA132" s="302">
        <v>16.734089353993042</v>
      </c>
      <c r="AB132" s="302">
        <v>16.302594462013452</v>
      </c>
      <c r="AC132"/>
      <c r="AJ132" s="256"/>
      <c r="AK132" s="256"/>
    </row>
    <row r="133" spans="1:37" ht="15.75" x14ac:dyDescent="0.25">
      <c r="A133" s="304"/>
      <c r="B133" s="305"/>
      <c r="C133" s="306"/>
      <c r="D133" s="305"/>
      <c r="E133" s="304"/>
      <c r="N133"/>
      <c r="O133"/>
      <c r="P133"/>
      <c r="Q133"/>
      <c r="R133"/>
      <c r="S133"/>
      <c r="U133" s="301" t="s">
        <v>813</v>
      </c>
      <c r="V133" s="302">
        <v>0</v>
      </c>
      <c r="W133" s="302">
        <v>96.680326472614169</v>
      </c>
      <c r="X133" s="302"/>
      <c r="Y133" s="302">
        <v>158.46373746443086</v>
      </c>
      <c r="Z133" s="302"/>
      <c r="AA133" s="302">
        <v>280.2703552373747</v>
      </c>
      <c r="AB133" s="302">
        <v>410.49323104529975</v>
      </c>
      <c r="AC133"/>
      <c r="AJ133" s="256"/>
      <c r="AK133" s="256"/>
    </row>
    <row r="134" spans="1:37" x14ac:dyDescent="0.25">
      <c r="N134"/>
      <c r="O134"/>
      <c r="P134"/>
      <c r="Q134"/>
      <c r="R134"/>
      <c r="S134"/>
      <c r="U134" s="301" t="s">
        <v>814</v>
      </c>
      <c r="V134" s="302">
        <v>0</v>
      </c>
      <c r="W134" s="302">
        <v>88.489721534076395</v>
      </c>
      <c r="X134" s="302"/>
      <c r="Y134" s="302">
        <v>219.26930496828516</v>
      </c>
      <c r="Z134" s="302"/>
      <c r="AA134" s="302">
        <v>257.49171484357635</v>
      </c>
      <c r="AB134" s="302">
        <v>266.18798500621233</v>
      </c>
      <c r="AC134"/>
      <c r="AJ134" s="256"/>
      <c r="AK134" s="256"/>
    </row>
    <row r="135" spans="1:37" x14ac:dyDescent="0.25">
      <c r="N135"/>
      <c r="O135"/>
      <c r="P135"/>
      <c r="Q135"/>
      <c r="R135"/>
      <c r="S135"/>
      <c r="U135" s="301" t="s">
        <v>815</v>
      </c>
      <c r="V135" s="302" t="s">
        <v>815</v>
      </c>
      <c r="W135" s="302" t="s">
        <v>815</v>
      </c>
      <c r="X135" s="302"/>
      <c r="Y135" s="302" t="s">
        <v>815</v>
      </c>
      <c r="Z135" s="302"/>
      <c r="AA135" s="302" t="s">
        <v>815</v>
      </c>
      <c r="AB135" s="302" t="s">
        <v>815</v>
      </c>
      <c r="AC135"/>
      <c r="AJ135" s="256"/>
      <c r="AK135" s="256"/>
    </row>
    <row r="136" spans="1:37" x14ac:dyDescent="0.25">
      <c r="N136"/>
      <c r="O136"/>
      <c r="P136"/>
      <c r="Q136"/>
      <c r="R136"/>
      <c r="S136"/>
      <c r="U136" s="307" t="s">
        <v>193</v>
      </c>
      <c r="V136" s="308">
        <v>36238.596721333321</v>
      </c>
      <c r="W136" s="308">
        <v>24603.016767630226</v>
      </c>
      <c r="X136" s="308"/>
      <c r="Y136" s="308">
        <v>20373.534423422148</v>
      </c>
      <c r="Z136" s="308"/>
      <c r="AA136" s="308">
        <v>20647.904476265994</v>
      </c>
      <c r="AB136" s="308">
        <v>20788.248664025326</v>
      </c>
      <c r="AC136"/>
      <c r="AJ136" s="256"/>
      <c r="AK136" s="256"/>
    </row>
    <row r="137" spans="1:37" x14ac:dyDescent="0.25">
      <c r="N137"/>
      <c r="O137"/>
      <c r="P137"/>
      <c r="Q137"/>
      <c r="R137"/>
      <c r="S137"/>
      <c r="U137" s="309" t="s">
        <v>816</v>
      </c>
      <c r="V137" s="310" t="s">
        <v>817</v>
      </c>
      <c r="W137" s="311"/>
      <c r="X137" s="311"/>
      <c r="Y137" s="311"/>
      <c r="Z137" s="311"/>
      <c r="AA137" s="311"/>
      <c r="AB137" s="311"/>
      <c r="AC137"/>
      <c r="AJ137" s="256"/>
      <c r="AK137" s="256"/>
    </row>
    <row r="138" spans="1:37" x14ac:dyDescent="0.25">
      <c r="N138"/>
      <c r="O138"/>
      <c r="P138"/>
      <c r="Q138"/>
      <c r="R138"/>
      <c r="S138"/>
      <c r="U138" s="300" t="s">
        <v>659</v>
      </c>
      <c r="V138" s="300">
        <v>2010</v>
      </c>
      <c r="W138" s="300">
        <v>2020</v>
      </c>
      <c r="X138" s="300"/>
      <c r="Y138" s="300">
        <v>2030</v>
      </c>
      <c r="Z138" s="300"/>
      <c r="AA138" s="300">
        <v>2040</v>
      </c>
      <c r="AB138" s="300">
        <v>2050</v>
      </c>
      <c r="AC138"/>
      <c r="AJ138" s="256"/>
      <c r="AK138" s="256"/>
    </row>
    <row r="139" spans="1:37" x14ac:dyDescent="0.25">
      <c r="N139"/>
      <c r="O139"/>
      <c r="P139"/>
      <c r="Q139"/>
      <c r="R139"/>
      <c r="S139"/>
      <c r="U139" s="301" t="s">
        <v>663</v>
      </c>
      <c r="V139" s="312">
        <v>0.693962607442839</v>
      </c>
      <c r="W139" s="312">
        <v>0.62851040218398957</v>
      </c>
      <c r="X139" s="312"/>
      <c r="Y139" s="312">
        <v>0.57642485729714654</v>
      </c>
      <c r="Z139" s="312"/>
      <c r="AA139" s="312">
        <v>0.54803234670758638</v>
      </c>
      <c r="AB139" s="312">
        <v>0.51817442685442938</v>
      </c>
      <c r="AC139"/>
      <c r="AJ139" s="256"/>
      <c r="AK139" s="256"/>
    </row>
    <row r="140" spans="1:37" x14ac:dyDescent="0.25">
      <c r="N140"/>
      <c r="O140"/>
      <c r="P140"/>
      <c r="Q140"/>
      <c r="R140"/>
      <c r="S140"/>
      <c r="U140" s="301" t="s">
        <v>818</v>
      </c>
      <c r="V140" s="312">
        <v>0</v>
      </c>
      <c r="W140" s="312">
        <v>1.3575641257771031E-2</v>
      </c>
      <c r="X140" s="312"/>
      <c r="Y140" s="312">
        <v>2.6931390587293953E-2</v>
      </c>
      <c r="Z140" s="312"/>
      <c r="AA140" s="312">
        <v>4.0071060917710608E-2</v>
      </c>
      <c r="AB140" s="312">
        <v>5.3113118258794126E-2</v>
      </c>
      <c r="AC140"/>
      <c r="AJ140" s="256"/>
      <c r="AK140" s="256"/>
    </row>
    <row r="141" spans="1:37" x14ac:dyDescent="0.25">
      <c r="N141"/>
      <c r="O141"/>
      <c r="P141"/>
      <c r="Q141"/>
      <c r="R141"/>
      <c r="S141"/>
      <c r="U141" s="301" t="s">
        <v>804</v>
      </c>
      <c r="V141" s="312">
        <v>0</v>
      </c>
      <c r="W141" s="312">
        <v>0</v>
      </c>
      <c r="X141" s="312"/>
      <c r="Y141" s="312">
        <v>0</v>
      </c>
      <c r="Z141" s="312"/>
      <c r="AA141" s="312">
        <v>0</v>
      </c>
      <c r="AB141" s="312">
        <v>0</v>
      </c>
      <c r="AC141"/>
      <c r="AJ141" s="256"/>
      <c r="AK141" s="256"/>
    </row>
    <row r="142" spans="1:37" x14ac:dyDescent="0.25">
      <c r="N142"/>
      <c r="O142"/>
      <c r="P142"/>
      <c r="Q142"/>
      <c r="R142"/>
      <c r="S142"/>
      <c r="U142" s="301" t="s">
        <v>808</v>
      </c>
      <c r="V142" s="312">
        <v>0</v>
      </c>
      <c r="W142" s="312">
        <v>2.9883677083482134E-3</v>
      </c>
      <c r="X142" s="312"/>
      <c r="Y142" s="312">
        <v>7.6702475362843978E-3</v>
      </c>
      <c r="Z142" s="312"/>
      <c r="AA142" s="312">
        <v>9.9023689878556705E-3</v>
      </c>
      <c r="AB142" s="312">
        <v>1.0950376546092409E-2</v>
      </c>
      <c r="AC142"/>
      <c r="AJ142" s="256"/>
      <c r="AK142" s="256"/>
    </row>
    <row r="143" spans="1:37" x14ac:dyDescent="0.25">
      <c r="N143"/>
      <c r="O143"/>
      <c r="P143"/>
      <c r="Q143"/>
      <c r="R143"/>
      <c r="S143"/>
      <c r="U143" s="301" t="s">
        <v>812</v>
      </c>
      <c r="V143" s="312">
        <v>0</v>
      </c>
      <c r="W143" s="312">
        <v>1.6321610603652417E-2</v>
      </c>
      <c r="X143" s="312"/>
      <c r="Y143" s="312">
        <v>1.5999293476344708E-2</v>
      </c>
      <c r="Z143" s="312"/>
      <c r="AA143" s="312">
        <v>1.5739274620495722E-2</v>
      </c>
      <c r="AB143" s="312">
        <v>1.5545253345222798E-2</v>
      </c>
      <c r="AC143"/>
      <c r="AJ143" s="256"/>
      <c r="AK143" s="256"/>
    </row>
    <row r="144" spans="1:37" x14ac:dyDescent="0.25">
      <c r="N144"/>
      <c r="O144"/>
      <c r="P144"/>
      <c r="Q144"/>
      <c r="R144"/>
      <c r="S144"/>
      <c r="U144" s="301" t="s">
        <v>813</v>
      </c>
      <c r="V144" s="312">
        <v>0</v>
      </c>
      <c r="W144" s="312">
        <v>1.1763752877724343E-2</v>
      </c>
      <c r="X144" s="312"/>
      <c r="Y144" s="312">
        <v>2.0723241302606065E-2</v>
      </c>
      <c r="Z144" s="312"/>
      <c r="AA144" s="312">
        <v>3.9372481044012829E-2</v>
      </c>
      <c r="AB144" s="312">
        <v>6.3066386807392419E-2</v>
      </c>
      <c r="AC144"/>
      <c r="AJ144" s="256"/>
      <c r="AK144" s="256"/>
    </row>
    <row r="145" spans="1:37" x14ac:dyDescent="0.25">
      <c r="N145"/>
      <c r="O145"/>
      <c r="P145"/>
      <c r="Q145"/>
      <c r="R145"/>
      <c r="S145"/>
      <c r="U145" s="301" t="s">
        <v>814</v>
      </c>
      <c r="V145" s="312">
        <v>0</v>
      </c>
      <c r="W145" s="312">
        <v>2.3471342820149014E-2</v>
      </c>
      <c r="X145" s="312"/>
      <c r="Y145" s="312">
        <v>5.3489836104930751E-2</v>
      </c>
      <c r="Z145" s="312"/>
      <c r="AA145" s="312">
        <v>5.2659006815223564E-2</v>
      </c>
      <c r="AB145" s="312">
        <v>5.0932822377237223E-2</v>
      </c>
      <c r="AC145"/>
      <c r="AJ145" s="256"/>
      <c r="AK145" s="256"/>
    </row>
    <row r="146" spans="1:37" x14ac:dyDescent="0.25">
      <c r="N146"/>
      <c r="O146"/>
      <c r="P146"/>
      <c r="Q146"/>
      <c r="R146"/>
      <c r="S146"/>
      <c r="U146" s="307" t="s">
        <v>193</v>
      </c>
      <c r="V146" s="313">
        <v>0.693962607442839</v>
      </c>
      <c r="W146" s="313">
        <v>0.69663111745163464</v>
      </c>
      <c r="X146" s="313"/>
      <c r="Y146" s="313">
        <v>0.70123886630460641</v>
      </c>
      <c r="Z146" s="313"/>
      <c r="AA146" s="313">
        <v>0.70577653909288474</v>
      </c>
      <c r="AB146" s="313">
        <v>0.71178238418916839</v>
      </c>
      <c r="AC146"/>
      <c r="AJ146" s="256"/>
      <c r="AK146" s="256"/>
    </row>
    <row r="147" spans="1:37" x14ac:dyDescent="0.25">
      <c r="N147"/>
      <c r="O147"/>
      <c r="P147"/>
      <c r="Q147"/>
      <c r="R147"/>
      <c r="S147"/>
      <c r="U147" s="314" t="s">
        <v>819</v>
      </c>
      <c r="V147" s="315">
        <v>0.24600000000000002</v>
      </c>
      <c r="W147" s="315">
        <v>0.25079127179951577</v>
      </c>
      <c r="X147" s="315"/>
      <c r="Y147" s="315">
        <v>0.25906441938589464</v>
      </c>
      <c r="Z147" s="315"/>
      <c r="AA147" s="315">
        <v>0.26721174639394329</v>
      </c>
      <c r="AB147" s="315">
        <v>0.2779951559173241</v>
      </c>
      <c r="AC147"/>
      <c r="AJ147" s="256"/>
      <c r="AK147" s="256"/>
    </row>
    <row r="148" spans="1:37" x14ac:dyDescent="0.25">
      <c r="N148"/>
      <c r="O148"/>
      <c r="P148"/>
      <c r="Q148"/>
      <c r="R148"/>
      <c r="S148"/>
      <c r="U148" s="314"/>
      <c r="V148" s="315"/>
      <c r="W148" s="315"/>
      <c r="X148" s="315"/>
      <c r="Y148" s="315"/>
      <c r="Z148" s="315"/>
      <c r="AA148" s="315"/>
      <c r="AB148" s="315"/>
      <c r="AC148"/>
      <c r="AJ148" s="256"/>
      <c r="AK148" s="256"/>
    </row>
    <row r="149" spans="1:37" x14ac:dyDescent="0.25">
      <c r="N149"/>
      <c r="O149"/>
      <c r="P149"/>
      <c r="Q149"/>
      <c r="R149"/>
      <c r="S149"/>
      <c r="U149" t="s">
        <v>820</v>
      </c>
      <c r="V149" s="316">
        <f>V129/V136</f>
        <v>0.56614013274745012</v>
      </c>
      <c r="W149" s="316">
        <f t="shared" ref="W149:AB149" si="40">W129/W136</f>
        <v>0.41951535114232619</v>
      </c>
      <c r="X149" s="316"/>
      <c r="Y149" s="316">
        <f t="shared" si="40"/>
        <v>0.32711312989538111</v>
      </c>
      <c r="Z149" s="316"/>
      <c r="AA149" s="316">
        <f t="shared" si="40"/>
        <v>0.33647007711164806</v>
      </c>
      <c r="AB149" s="316">
        <f t="shared" si="40"/>
        <v>0.34084483654197317</v>
      </c>
      <c r="AC149"/>
      <c r="AJ149" s="256"/>
      <c r="AK149" s="256"/>
    </row>
    <row r="150" spans="1:37" x14ac:dyDescent="0.25">
      <c r="N150"/>
      <c r="O150"/>
      <c r="P150"/>
      <c r="Q150"/>
      <c r="R150"/>
      <c r="S150"/>
      <c r="T150"/>
      <c r="U150"/>
      <c r="V150"/>
      <c r="W150"/>
      <c r="X150"/>
      <c r="Y150"/>
      <c r="Z150"/>
      <c r="AA150"/>
      <c r="AB150"/>
      <c r="AC150"/>
      <c r="AD150"/>
      <c r="AJ150" s="256"/>
      <c r="AK150" s="256"/>
    </row>
    <row r="151" spans="1:37" x14ac:dyDescent="0.25">
      <c r="N151"/>
      <c r="O151"/>
      <c r="P151"/>
      <c r="Q151"/>
      <c r="R151"/>
      <c r="S151"/>
      <c r="T151"/>
      <c r="U151"/>
      <c r="V151"/>
      <c r="W151"/>
      <c r="X151"/>
      <c r="Y151"/>
      <c r="Z151"/>
      <c r="AA151"/>
      <c r="AB151"/>
      <c r="AC151"/>
      <c r="AD151"/>
      <c r="AJ151" s="256"/>
      <c r="AK151" s="256"/>
    </row>
    <row r="152" spans="1:37" ht="15.75" x14ac:dyDescent="0.25">
      <c r="A152" s="304"/>
      <c r="B152" s="305"/>
      <c r="C152" s="306"/>
      <c r="D152" s="305"/>
      <c r="E152" s="304"/>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S240"/>
      <c r="AD240"/>
    </row>
    <row r="241" spans="14:30" x14ac:dyDescent="0.25">
      <c r="N241"/>
      <c r="O241"/>
      <c r="P241"/>
      <c r="Q241"/>
      <c r="R241"/>
      <c r="S241"/>
      <c r="AD241"/>
    </row>
    <row r="242" spans="14:30" x14ac:dyDescent="0.25">
      <c r="N242"/>
      <c r="O242"/>
      <c r="P242"/>
      <c r="Q242"/>
      <c r="R242"/>
      <c r="S242"/>
      <c r="AD242"/>
    </row>
    <row r="243" spans="14:30" x14ac:dyDescent="0.25">
      <c r="N243"/>
      <c r="O243"/>
      <c r="P243"/>
      <c r="Q243"/>
      <c r="R243"/>
      <c r="S243"/>
      <c r="AD243"/>
    </row>
    <row r="244" spans="14:30" x14ac:dyDescent="0.25">
      <c r="N244"/>
      <c r="O244"/>
      <c r="P244"/>
      <c r="Q244"/>
      <c r="R244"/>
      <c r="S244"/>
      <c r="AD244"/>
    </row>
    <row r="245" spans="14:30" x14ac:dyDescent="0.25">
      <c r="N245"/>
      <c r="O245"/>
      <c r="P245"/>
      <c r="Q245"/>
      <c r="R245"/>
      <c r="S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0" x14ac:dyDescent="0.25">
      <c r="N257"/>
      <c r="O257"/>
      <c r="P257"/>
      <c r="Q257"/>
      <c r="R257"/>
      <c r="AD257"/>
    </row>
    <row r="258" spans="1:30" x14ac:dyDescent="0.25">
      <c r="N258"/>
      <c r="O258"/>
      <c r="P258"/>
      <c r="Q258"/>
      <c r="R258"/>
      <c r="AD258"/>
    </row>
    <row r="259" spans="1:30" x14ac:dyDescent="0.25">
      <c r="N259"/>
      <c r="O259"/>
      <c r="P259"/>
      <c r="Q259"/>
      <c r="R259"/>
      <c r="AD259"/>
    </row>
    <row r="260" spans="1:30" x14ac:dyDescent="0.25">
      <c r="N260"/>
      <c r="O260"/>
      <c r="P260"/>
      <c r="Q260"/>
      <c r="R260"/>
      <c r="AD260"/>
    </row>
    <row r="261" spans="1:30" x14ac:dyDescent="0.25">
      <c r="N261"/>
      <c r="O261"/>
      <c r="P261"/>
      <c r="Q261"/>
      <c r="R261"/>
      <c r="AD261"/>
    </row>
    <row r="262" spans="1:30" x14ac:dyDescent="0.25">
      <c r="N262"/>
      <c r="O262"/>
      <c r="P262"/>
      <c r="Q262"/>
      <c r="R262"/>
      <c r="AD262"/>
    </row>
    <row r="263" spans="1:30" x14ac:dyDescent="0.25">
      <c r="N263"/>
      <c r="O263"/>
      <c r="P263"/>
      <c r="Q263"/>
      <c r="R263"/>
      <c r="AD263"/>
    </row>
    <row r="264" spans="1:30" x14ac:dyDescent="0.25">
      <c r="N264"/>
      <c r="O264"/>
      <c r="P264"/>
      <c r="Q264"/>
      <c r="R264"/>
      <c r="AD264"/>
    </row>
    <row r="265" spans="1:30" x14ac:dyDescent="0.25">
      <c r="N265"/>
      <c r="O265"/>
      <c r="P265"/>
      <c r="Q265"/>
      <c r="R265"/>
      <c r="AD265"/>
    </row>
    <row r="266" spans="1:30" x14ac:dyDescent="0.25">
      <c r="N266"/>
      <c r="O266"/>
      <c r="P266"/>
      <c r="Q266"/>
      <c r="R266"/>
      <c r="AD266"/>
    </row>
    <row r="267" spans="1:30" x14ac:dyDescent="0.25">
      <c r="N267"/>
      <c r="O267"/>
      <c r="P267"/>
      <c r="Q267"/>
      <c r="R267"/>
      <c r="AD267"/>
    </row>
    <row r="268" spans="1:30" x14ac:dyDescent="0.25">
      <c r="N268"/>
      <c r="O268"/>
      <c r="P268"/>
      <c r="Q268"/>
      <c r="R268"/>
      <c r="AD268"/>
    </row>
    <row r="269" spans="1:30" x14ac:dyDescent="0.25">
      <c r="N269"/>
      <c r="O269"/>
      <c r="P269"/>
      <c r="Q269"/>
      <c r="R269"/>
      <c r="AD269"/>
    </row>
    <row r="270" spans="1:30" x14ac:dyDescent="0.25">
      <c r="N270"/>
      <c r="O270"/>
      <c r="P270"/>
      <c r="Q270"/>
      <c r="AD270"/>
    </row>
    <row r="271" spans="1:30" x14ac:dyDescent="0.25">
      <c r="A271" s="61" t="s">
        <v>821</v>
      </c>
      <c r="N271"/>
      <c r="O271"/>
      <c r="P271"/>
      <c r="Q271"/>
      <c r="R271"/>
      <c r="S271"/>
      <c r="AD271"/>
    </row>
    <row r="272" spans="1:30" x14ac:dyDescent="0.25">
      <c r="B272" s="317" t="s">
        <v>822</v>
      </c>
      <c r="C272" s="318">
        <v>13.6</v>
      </c>
      <c r="H272" s="319">
        <f>2.266E+61</f>
        <v>2.2660000000000001E+61</v>
      </c>
      <c r="I272" s="61">
        <v>-7.0440000000000003E-2</v>
      </c>
      <c r="N272"/>
      <c r="O272"/>
      <c r="P272"/>
      <c r="Q272"/>
      <c r="R272"/>
      <c r="S272"/>
      <c r="T272"/>
      <c r="U272"/>
      <c r="V272"/>
      <c r="W272"/>
      <c r="X272"/>
      <c r="Y272"/>
      <c r="Z272"/>
      <c r="AA272"/>
      <c r="AB272"/>
      <c r="AC272"/>
      <c r="AD272"/>
    </row>
    <row r="273" spans="1:33" x14ac:dyDescent="0.25">
      <c r="B273" s="317" t="s">
        <v>823</v>
      </c>
      <c r="C273" s="318">
        <v>0.9</v>
      </c>
      <c r="N273"/>
      <c r="O273"/>
      <c r="P273"/>
      <c r="Q273"/>
      <c r="R273"/>
      <c r="S273"/>
      <c r="T273"/>
      <c r="U273"/>
      <c r="V273"/>
      <c r="W273"/>
      <c r="X273"/>
      <c r="Y273"/>
      <c r="Z273"/>
      <c r="AA273"/>
      <c r="AB273"/>
      <c r="AC273"/>
      <c r="AD273"/>
    </row>
    <row r="274" spans="1:33" x14ac:dyDescent="0.25">
      <c r="N274" t="s">
        <v>660</v>
      </c>
      <c r="O274"/>
      <c r="P274"/>
      <c r="Q274"/>
      <c r="R274"/>
      <c r="S274"/>
      <c r="T274"/>
      <c r="U274"/>
      <c r="V274"/>
      <c r="W274"/>
      <c r="X274"/>
      <c r="Y274"/>
      <c r="Z274"/>
      <c r="AA274"/>
      <c r="AB274"/>
      <c r="AC274"/>
      <c r="AD274"/>
    </row>
    <row r="275" spans="1:33"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V275" s="61">
        <v>2040</v>
      </c>
      <c r="W275" s="61">
        <v>2050</v>
      </c>
      <c r="Y275"/>
      <c r="Z275"/>
      <c r="AA275"/>
      <c r="AB275"/>
      <c r="AC275"/>
      <c r="AD275"/>
    </row>
    <row r="276" spans="1:33" x14ac:dyDescent="0.25">
      <c r="A276" s="61" t="s">
        <v>824</v>
      </c>
      <c r="B276" s="61" t="s">
        <v>825</v>
      </c>
      <c r="D276" s="320">
        <v>0.52</v>
      </c>
      <c r="E276" s="321">
        <v>0.48</v>
      </c>
      <c r="F276" s="321">
        <v>0.36</v>
      </c>
      <c r="G276" s="321">
        <f>AVERAGE(0.27,0.24)</f>
        <v>0.255</v>
      </c>
      <c r="H276" s="321">
        <v>0.18</v>
      </c>
      <c r="N276"/>
      <c r="O276"/>
      <c r="P276"/>
      <c r="Q276"/>
      <c r="R276"/>
      <c r="S276"/>
      <c r="T276"/>
      <c r="U276"/>
      <c r="V276"/>
      <c r="W276"/>
      <c r="X276"/>
      <c r="Y276"/>
      <c r="Z276"/>
      <c r="AA276"/>
      <c r="AB276"/>
      <c r="AC276"/>
      <c r="AD276"/>
    </row>
    <row r="277" spans="1:33" x14ac:dyDescent="0.25">
      <c r="A277" s="61" t="s">
        <v>824</v>
      </c>
      <c r="C277" s="76">
        <f>$H$272*EXP($I$272*C275)</f>
        <v>0.63790037188102888</v>
      </c>
      <c r="D277" s="76">
        <f>D276</f>
        <v>0.52</v>
      </c>
      <c r="E277" s="76">
        <f t="shared" ref="E277:H277" si="41">E276</f>
        <v>0.48</v>
      </c>
      <c r="F277" s="76">
        <f t="shared" si="41"/>
        <v>0.36</v>
      </c>
      <c r="G277" s="76">
        <f t="shared" si="41"/>
        <v>0.255</v>
      </c>
      <c r="H277" s="76">
        <f t="shared" si="41"/>
        <v>0.18</v>
      </c>
      <c r="I277" s="76">
        <f>$H$272*EXP($I$272*I275)</f>
        <v>0.12622450589064815</v>
      </c>
      <c r="J277" s="76">
        <f t="shared" ref="J277:K277" si="42">$H$272*EXP($I$272*J275)</f>
        <v>8.8753433437305504E-2</v>
      </c>
      <c r="K277" s="76">
        <f t="shared" si="42"/>
        <v>4.3880152650785924E-2</v>
      </c>
      <c r="N277" s="67">
        <f t="shared" ref="N277:N278" si="43">IF(EV.Battery,1-C277,1)</f>
        <v>1</v>
      </c>
      <c r="O277" s="67"/>
      <c r="P277" s="67">
        <f t="shared" ref="P277" si="44">IF(EV.Battery,1-D277,1)</f>
        <v>1</v>
      </c>
      <c r="Q277" s="67">
        <f t="shared" ref="Q277" si="45">IF(EV.Battery,1-E277,1)</f>
        <v>1</v>
      </c>
      <c r="R277" s="67">
        <f>IF(EV.Battery,1-F277,1)</f>
        <v>1</v>
      </c>
      <c r="S277" s="67">
        <f t="shared" ref="S277" si="46">IF(EV.Battery,1-G277,1)</f>
        <v>1</v>
      </c>
      <c r="T277" s="67">
        <f t="shared" ref="T277" si="47">IF(EV.Battery,1-H277,1)</f>
        <v>1</v>
      </c>
      <c r="U277" s="67">
        <f t="shared" ref="U277" si="48">IF(EV.Battery,1-I277,1)</f>
        <v>1</v>
      </c>
      <c r="V277" s="67">
        <f t="shared" ref="V277" si="49">IF(EV.Battery,1-J277,1)</f>
        <v>1</v>
      </c>
      <c r="W277" s="67">
        <f t="shared" ref="W277" si="50">IF(EV.Battery,1-K277,1)</f>
        <v>1</v>
      </c>
      <c r="X277" s="67"/>
      <c r="Y277"/>
      <c r="Z277"/>
      <c r="AA277"/>
      <c r="AB277"/>
      <c r="AC277"/>
      <c r="AD277"/>
    </row>
    <row r="278" spans="1:33" x14ac:dyDescent="0.25">
      <c r="A278" s="61" t="s">
        <v>826</v>
      </c>
      <c r="C278" s="63">
        <f>V149</f>
        <v>0.56614013274745012</v>
      </c>
      <c r="D278" s="63"/>
      <c r="E278" s="63"/>
      <c r="F278" s="63">
        <f>W149</f>
        <v>0.41951535114232619</v>
      </c>
      <c r="G278" s="63"/>
      <c r="H278" s="63">
        <f>Y149</f>
        <v>0.32711312989538111</v>
      </c>
      <c r="I278" s="63"/>
      <c r="J278" s="63">
        <f>AA149</f>
        <v>0.33647007711164806</v>
      </c>
      <c r="K278" s="63">
        <f>AB149</f>
        <v>0.34084483654197317</v>
      </c>
      <c r="N278" s="67">
        <f t="shared" si="43"/>
        <v>1</v>
      </c>
      <c r="O278" s="67"/>
      <c r="P278" s="67">
        <f>IF(EV.Battery,1-D278,1)</f>
        <v>1</v>
      </c>
      <c r="Q278" s="67">
        <f>IF(EV.Battery,1-E278,1)</f>
        <v>1</v>
      </c>
      <c r="R278" s="67">
        <f>IF(EV.Battery,1-F278,1)</f>
        <v>1</v>
      </c>
      <c r="S278" s="67">
        <f>IF(EV.Battery,1-G278,1)</f>
        <v>1</v>
      </c>
      <c r="T278" s="67">
        <f>IF(EV.Battery,1-H278,1)</f>
        <v>1</v>
      </c>
      <c r="U278" s="67">
        <f>IF(EV.Battery,1-I278,1)</f>
        <v>1</v>
      </c>
      <c r="V278" s="67">
        <f>IF(EV.Battery,1-J278,1)</f>
        <v>1</v>
      </c>
      <c r="W278" s="67">
        <f>IF(EV.Battery,1-K278,1)</f>
        <v>1</v>
      </c>
      <c r="X278" s="67"/>
      <c r="Y278"/>
      <c r="Z278"/>
      <c r="AA278"/>
      <c r="AB278"/>
      <c r="AC278"/>
      <c r="AD278"/>
      <c r="AG278" s="67"/>
    </row>
    <row r="279" spans="1:33" x14ac:dyDescent="0.25">
      <c r="N279" s="67"/>
      <c r="O279" s="67"/>
      <c r="P279" s="67"/>
      <c r="Q279" s="67"/>
      <c r="R279" s="67"/>
      <c r="S279" s="67"/>
      <c r="T279" s="67"/>
      <c r="U279" s="67"/>
      <c r="V279" s="67"/>
      <c r="W279" s="67"/>
      <c r="X279" s="67"/>
      <c r="Y279"/>
      <c r="Z279"/>
      <c r="AA279"/>
      <c r="AB279"/>
      <c r="AC279"/>
      <c r="AD279"/>
    </row>
    <row r="280" spans="1:33" x14ac:dyDescent="0.25">
      <c r="N280"/>
      <c r="O280"/>
      <c r="P280"/>
      <c r="Q280"/>
      <c r="R280"/>
      <c r="S280"/>
      <c r="T280"/>
      <c r="U280"/>
      <c r="V280"/>
      <c r="W280"/>
      <c r="X280"/>
      <c r="Y280"/>
      <c r="Z280"/>
      <c r="AA280"/>
      <c r="AB280"/>
      <c r="AC280"/>
      <c r="AD280"/>
    </row>
    <row r="281" spans="1:33" x14ac:dyDescent="0.25">
      <c r="N281"/>
      <c r="O281"/>
      <c r="P281"/>
      <c r="Q281"/>
      <c r="R281"/>
      <c r="S281"/>
      <c r="T281"/>
      <c r="U281"/>
      <c r="V281"/>
      <c r="W281"/>
      <c r="X281"/>
      <c r="Y281"/>
      <c r="Z281"/>
      <c r="AA281"/>
      <c r="AB281"/>
      <c r="AC281"/>
      <c r="AD281"/>
    </row>
    <row r="282" spans="1:33" x14ac:dyDescent="0.25">
      <c r="N282"/>
      <c r="O282"/>
      <c r="P282"/>
      <c r="Q282"/>
      <c r="R282"/>
      <c r="S282"/>
      <c r="T282"/>
      <c r="U282"/>
      <c r="V282"/>
      <c r="W282"/>
      <c r="X282"/>
      <c r="Y282"/>
      <c r="Z282"/>
      <c r="AA282"/>
      <c r="AB282"/>
      <c r="AC282"/>
      <c r="AD282"/>
    </row>
    <row r="283" spans="1:33" x14ac:dyDescent="0.25">
      <c r="N283"/>
      <c r="O283"/>
      <c r="P283"/>
      <c r="Q283"/>
      <c r="R283"/>
      <c r="S283"/>
      <c r="T283"/>
      <c r="U283"/>
      <c r="V283"/>
      <c r="W283"/>
      <c r="X283"/>
      <c r="Y283"/>
      <c r="Z283"/>
      <c r="AA283"/>
      <c r="AB283"/>
      <c r="AC283"/>
      <c r="AD283"/>
    </row>
    <row r="284" spans="1:33" x14ac:dyDescent="0.25">
      <c r="N284"/>
      <c r="O284"/>
      <c r="P284"/>
      <c r="Q284"/>
      <c r="R284"/>
      <c r="S284"/>
      <c r="T284"/>
      <c r="U284"/>
      <c r="V284"/>
      <c r="W284"/>
      <c r="X284"/>
      <c r="Y284"/>
      <c r="Z284"/>
      <c r="AA284"/>
      <c r="AB284"/>
      <c r="AC284"/>
      <c r="AD284"/>
    </row>
    <row r="285" spans="1:33" x14ac:dyDescent="0.25">
      <c r="N285"/>
      <c r="O285"/>
      <c r="P285"/>
      <c r="Q285"/>
      <c r="R285"/>
      <c r="S285"/>
      <c r="T285"/>
      <c r="U285"/>
      <c r="V285"/>
      <c r="W285"/>
      <c r="X285"/>
      <c r="Y285"/>
      <c r="Z285"/>
      <c r="AA285"/>
      <c r="AB285"/>
      <c r="AC285"/>
      <c r="AD285"/>
    </row>
    <row r="286" spans="1:33" x14ac:dyDescent="0.25">
      <c r="N286"/>
      <c r="O286"/>
      <c r="P286"/>
      <c r="Q286"/>
      <c r="R286"/>
      <c r="S286"/>
      <c r="T286"/>
      <c r="U286"/>
      <c r="V286"/>
      <c r="W286"/>
      <c r="X286"/>
      <c r="Y286"/>
      <c r="Z286"/>
      <c r="AA286"/>
      <c r="AB286"/>
      <c r="AC286"/>
      <c r="AD286"/>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workbookViewId="0"/>
  </sheetViews>
  <sheetFormatPr defaultColWidth="8.42578125" defaultRowHeight="12.75" outlineLevelCol="1" x14ac:dyDescent="0.25"/>
  <cols>
    <col min="1" max="1" width="25" style="322" customWidth="1"/>
    <col min="2" max="2" width="22.85546875" style="322" customWidth="1"/>
    <col min="3" max="3" width="9.42578125" style="322" customWidth="1" outlineLevel="1"/>
    <col min="4" max="4" width="10.28515625" style="322" customWidth="1" outlineLevel="1"/>
    <col min="5" max="5" width="10.28515625" style="323" customWidth="1" outlineLevel="1"/>
    <col min="6" max="7" width="10" style="322" customWidth="1" outlineLevel="1"/>
    <col min="8" max="9" width="9.85546875" style="322" customWidth="1" outlineLevel="1"/>
    <col min="10" max="10" width="10" style="322" customWidth="1" outlineLevel="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6.5" thickTop="1" x14ac:dyDescent="0.25">
      <c r="B1" s="781" t="s">
        <v>1313</v>
      </c>
      <c r="C1" s="782"/>
      <c r="D1" s="782"/>
      <c r="E1" s="782"/>
      <c r="F1" s="782"/>
      <c r="G1" s="782"/>
      <c r="H1" s="782"/>
      <c r="I1" s="782"/>
      <c r="J1" s="783"/>
      <c r="K1" s="829"/>
      <c r="L1" s="848" t="s">
        <v>1316</v>
      </c>
      <c r="M1" s="830"/>
      <c r="N1" s="830"/>
      <c r="O1" s="830"/>
      <c r="P1" s="830"/>
      <c r="Q1" s="830"/>
      <c r="R1" s="831"/>
    </row>
    <row r="2" spans="1:52" x14ac:dyDescent="0.2">
      <c r="B2" s="784">
        <v>13.7674</v>
      </c>
      <c r="C2" s="322" t="s">
        <v>846</v>
      </c>
      <c r="E2" s="322"/>
      <c r="J2" s="785"/>
      <c r="K2" s="802"/>
      <c r="R2" s="832"/>
    </row>
    <row r="3" spans="1:52" x14ac:dyDescent="0.2">
      <c r="B3" s="786" t="s">
        <v>832</v>
      </c>
      <c r="C3" s="456" t="s">
        <v>831</v>
      </c>
      <c r="D3" s="455">
        <v>0.08</v>
      </c>
      <c r="E3" s="513"/>
      <c r="F3" s="453"/>
      <c r="G3" s="453"/>
      <c r="H3" s="453"/>
      <c r="I3" s="453"/>
      <c r="J3" s="787"/>
      <c r="K3" s="833" t="s">
        <v>1315</v>
      </c>
      <c r="L3" s="834"/>
      <c r="M3" s="511"/>
      <c r="P3" s="453"/>
      <c r="Q3" s="453"/>
      <c r="R3" s="835"/>
      <c r="T3" s="453"/>
      <c r="U3" s="453"/>
      <c r="AB3" s="452" t="s">
        <v>816</v>
      </c>
      <c r="AC3" s="322" t="s">
        <v>834</v>
      </c>
      <c r="AI3" s="322" t="s">
        <v>845</v>
      </c>
      <c r="AO3" s="322" t="s">
        <v>844</v>
      </c>
    </row>
    <row r="4" spans="1:52" x14ac:dyDescent="0.2">
      <c r="B4" s="788" t="s">
        <v>681</v>
      </c>
      <c r="C4" s="351">
        <v>2010</v>
      </c>
      <c r="D4" s="351">
        <v>2020</v>
      </c>
      <c r="E4" s="510">
        <v>2025</v>
      </c>
      <c r="F4" s="351">
        <v>2030</v>
      </c>
      <c r="G4" s="509">
        <v>2035</v>
      </c>
      <c r="H4" s="351">
        <v>2040</v>
      </c>
      <c r="I4" s="509">
        <v>2045</v>
      </c>
      <c r="J4" s="789">
        <v>2050</v>
      </c>
      <c r="K4" s="836">
        <f t="shared" ref="K4:R4" si="0">C4</f>
        <v>2010</v>
      </c>
      <c r="L4" s="353">
        <f t="shared" si="0"/>
        <v>2020</v>
      </c>
      <c r="M4" s="353">
        <f t="shared" si="0"/>
        <v>2025</v>
      </c>
      <c r="N4" s="353">
        <f t="shared" si="0"/>
        <v>2030</v>
      </c>
      <c r="O4" s="353">
        <f t="shared" si="0"/>
        <v>2035</v>
      </c>
      <c r="P4" s="353">
        <f t="shared" si="0"/>
        <v>2040</v>
      </c>
      <c r="Q4" s="353">
        <f t="shared" si="0"/>
        <v>2045</v>
      </c>
      <c r="R4" s="837">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90" t="s">
        <v>791</v>
      </c>
      <c r="C5" s="448" t="s">
        <v>193</v>
      </c>
      <c r="D5" s="448" t="s">
        <v>193</v>
      </c>
      <c r="E5" s="508" t="s">
        <v>843</v>
      </c>
      <c r="F5" s="448" t="s">
        <v>193</v>
      </c>
      <c r="G5" s="507" t="s">
        <v>843</v>
      </c>
      <c r="H5" s="448" t="s">
        <v>193</v>
      </c>
      <c r="I5" s="507" t="s">
        <v>843</v>
      </c>
      <c r="J5" s="791" t="s">
        <v>193</v>
      </c>
      <c r="K5" s="802" t="s">
        <v>1314</v>
      </c>
      <c r="L5" s="322" t="s">
        <v>1314</v>
      </c>
      <c r="M5" s="322" t="s">
        <v>1314</v>
      </c>
      <c r="N5" s="322" t="s">
        <v>1314</v>
      </c>
      <c r="O5" s="322" t="s">
        <v>1314</v>
      </c>
      <c r="P5" s="322" t="s">
        <v>1314</v>
      </c>
      <c r="Q5" s="322" t="s">
        <v>1314</v>
      </c>
      <c r="R5" s="832" t="s">
        <v>1314</v>
      </c>
      <c r="S5" s="322" t="s">
        <v>841</v>
      </c>
      <c r="T5" s="322" t="s">
        <v>841</v>
      </c>
      <c r="AB5" s="447" t="s">
        <v>659</v>
      </c>
      <c r="AC5" s="446" t="s">
        <v>663</v>
      </c>
      <c r="AD5" s="446" t="s">
        <v>663</v>
      </c>
      <c r="AE5" s="446" t="s">
        <v>663</v>
      </c>
      <c r="AF5" s="446" t="s">
        <v>663</v>
      </c>
      <c r="AG5" s="446" t="s">
        <v>663</v>
      </c>
    </row>
    <row r="6" spans="1:52" ht="15" x14ac:dyDescent="0.2">
      <c r="A6" s="322" t="str">
        <f>B4</f>
        <v>Passenger Car</v>
      </c>
      <c r="B6" s="792"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93">
        <v>16343.977105662956</v>
      </c>
      <c r="K6" s="838">
        <f>VehicleCostData2023!AE3</f>
        <v>247944.96977098632</v>
      </c>
      <c r="L6" s="728">
        <f>VehicleCostData2023!AF3</f>
        <v>268486.68958349986</v>
      </c>
      <c r="M6" s="728">
        <f>VehicleCostData2023!AG3</f>
        <v>273058.85559014819</v>
      </c>
      <c r="N6" s="728">
        <f>VehicleCostData2023!AH3</f>
        <v>277631.02159679646</v>
      </c>
      <c r="O6" s="728">
        <f>VehicleCostData2023!AI3</f>
        <v>280673.26534900116</v>
      </c>
      <c r="P6" s="728">
        <f>VehicleCostData2023!AJ3</f>
        <v>283715.50910120585</v>
      </c>
      <c r="Q6" s="728">
        <f>VehicleCostData2023!AK3</f>
        <v>285489.12982658675</v>
      </c>
      <c r="R6" s="839">
        <f>VehicleCostData2023!AL3</f>
        <v>287262.75055196777</v>
      </c>
      <c r="S6" s="330">
        <f t="shared" ref="S6:S18" si="5">C6/C$6</f>
        <v>1</v>
      </c>
      <c r="T6" s="330">
        <f t="shared" ref="T6:T18" si="6">D6/D$6</f>
        <v>1</v>
      </c>
      <c r="U6" s="330">
        <f t="shared" ref="U6:U18" si="7">E6/E$6</f>
        <v>1</v>
      </c>
      <c r="V6" s="330">
        <f t="shared" ref="V6:V18" si="8">F6/F$6</f>
        <v>1</v>
      </c>
      <c r="W6" s="330">
        <f t="shared" ref="W6:W18" si="9">G6/G$6</f>
        <v>1</v>
      </c>
      <c r="X6" s="330">
        <f t="shared" ref="X6:X18" si="10">H6/H$6</f>
        <v>1</v>
      </c>
      <c r="Y6" s="330">
        <f t="shared" ref="Y6:Y18" si="11">I6/I$6</f>
        <v>1</v>
      </c>
      <c r="Z6" s="330">
        <f t="shared" ref="Z6:Z18" si="12">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13">AC6/AI6</f>
        <v>2.7731584934931535</v>
      </c>
      <c r="AP6" s="504">
        <f t="shared" ref="AP6:AP18" si="14">AD6/AJ6</f>
        <v>2.0718600724531742</v>
      </c>
      <c r="AQ6" s="504">
        <f t="shared" ref="AQ6:AQ18" si="15">AE6/AK6</f>
        <v>1.6924435330873051</v>
      </c>
      <c r="AR6" s="504">
        <f t="shared" ref="AR6:AR18" si="16">AF6/AL6</f>
        <v>1.5062933039675674</v>
      </c>
      <c r="AS6" s="504">
        <f t="shared" ref="AS6:AS18" si="17">AG6/AM6</f>
        <v>1.3837225479656539</v>
      </c>
    </row>
    <row r="7" spans="1:52" ht="15" x14ac:dyDescent="0.2">
      <c r="A7" s="322" t="str">
        <f t="shared" ref="A7:A20" si="18">A6</f>
        <v>Passenger Car</v>
      </c>
      <c r="B7" s="792"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93">
        <v>17050.306384026513</v>
      </c>
      <c r="K7" s="840">
        <f>VehicleCostData2023!AE4</f>
        <v>366872.36771087733</v>
      </c>
      <c r="L7" s="731">
        <f>VehicleCostData2023!AF4</f>
        <v>402730.03437524982</v>
      </c>
      <c r="M7" s="731">
        <f>VehicleCostData2023!AG4</f>
        <v>408991.83210867527</v>
      </c>
      <c r="N7" s="731">
        <f>VehicleCostData2023!AH4</f>
        <v>415253.62984210066</v>
      </c>
      <c r="O7" s="731">
        <f>VehicleCostData2023!AI4</f>
        <v>419822.49997051439</v>
      </c>
      <c r="P7" s="731">
        <f>VehicleCostData2023!AJ4</f>
        <v>424391.37009892816</v>
      </c>
      <c r="Q7" s="731">
        <f>VehicleCostData2023!AK4</f>
        <v>426994.98532704433</v>
      </c>
      <c r="R7" s="841">
        <f>VehicleCostData2023!AL4</f>
        <v>429598.60055516061</v>
      </c>
      <c r="S7" s="330">
        <f t="shared" si="5"/>
        <v>1.03216849618385</v>
      </c>
      <c r="T7" s="330">
        <f t="shared" si="6"/>
        <v>1.0463624782442891</v>
      </c>
      <c r="U7" s="330">
        <f t="shared" si="7"/>
        <v>1.0448387426756798</v>
      </c>
      <c r="V7" s="330">
        <f t="shared" si="8"/>
        <v>1.0433651943803071</v>
      </c>
      <c r="W7" s="330">
        <f t="shared" si="9"/>
        <v>1.0434113629018251</v>
      </c>
      <c r="X7" s="330">
        <f t="shared" si="10"/>
        <v>1.0434565413054853</v>
      </c>
      <c r="Y7" s="330">
        <f t="shared" si="11"/>
        <v>1.0433357686066302</v>
      </c>
      <c r="Z7" s="330">
        <f t="shared" si="12"/>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13"/>
        <v>2.2264912113239048</v>
      </c>
      <c r="AP7" s="504">
        <f t="shared" si="14"/>
        <v>1.7539919646296771</v>
      </c>
      <c r="AQ7" s="504">
        <f t="shared" si="15"/>
        <v>1.4571673890360914</v>
      </c>
      <c r="AR7" s="504">
        <f t="shared" si="16"/>
        <v>1.3029113464752489</v>
      </c>
      <c r="AS7" s="504">
        <f t="shared" si="17"/>
        <v>1.195582159057512</v>
      </c>
    </row>
    <row r="8" spans="1:52" ht="15" x14ac:dyDescent="0.2">
      <c r="A8" s="322" t="str">
        <f t="shared" si="18"/>
        <v>Passenger Car</v>
      </c>
      <c r="B8" s="792"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93">
        <v>16272.83632294774</v>
      </c>
      <c r="K8" s="840">
        <f>VehicleCostData2023!AE5</f>
        <v>485472.66830435471</v>
      </c>
      <c r="L8" s="731">
        <f>VehicleCostData2023!AF5</f>
        <v>460902.15045167482</v>
      </c>
      <c r="M8" s="731">
        <f>VehicleCostData2023!AG5</f>
        <v>456925.32105162693</v>
      </c>
      <c r="N8" s="731">
        <f>VehicleCostData2023!AH5</f>
        <v>452948.4916515791</v>
      </c>
      <c r="O8" s="731">
        <f>VehicleCostData2023!AI5</f>
        <v>453581.82733372774</v>
      </c>
      <c r="P8" s="731">
        <f>VehicleCostData2023!AJ5</f>
        <v>454215.16301587631</v>
      </c>
      <c r="Q8" s="731">
        <f>VehicleCostData2023!AK5</f>
        <v>454414.0745720276</v>
      </c>
      <c r="R8" s="841">
        <f>VehicleCostData2023!AL5</f>
        <v>454612.98612817895</v>
      </c>
      <c r="S8" s="330">
        <f t="shared" si="5"/>
        <v>1.2318348052009125</v>
      </c>
      <c r="T8" s="330">
        <f t="shared" si="6"/>
        <v>1.0800129488351085</v>
      </c>
      <c r="U8" s="330">
        <f t="shared" si="7"/>
        <v>1.0527662364179429</v>
      </c>
      <c r="V8" s="330">
        <f t="shared" si="8"/>
        <v>1.0264169488749155</v>
      </c>
      <c r="W8" s="330">
        <f t="shared" si="9"/>
        <v>1.0167111520310887</v>
      </c>
      <c r="X8" s="330">
        <f t="shared" si="10"/>
        <v>1.007213503130262</v>
      </c>
      <c r="Y8" s="330">
        <f t="shared" si="11"/>
        <v>1.0013944627678804</v>
      </c>
      <c r="Z8" s="330">
        <f t="shared" si="12"/>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13"/>
        <v>2.118957461890536</v>
      </c>
      <c r="AP8" s="504">
        <f t="shared" si="14"/>
        <v>1.6900840244838968</v>
      </c>
      <c r="AQ8" s="504">
        <f t="shared" si="15"/>
        <v>1.4497532132450688</v>
      </c>
      <c r="AR8" s="504">
        <f t="shared" si="16"/>
        <v>1.3237068989033129</v>
      </c>
      <c r="AS8" s="504">
        <f t="shared" si="17"/>
        <v>1.2074894913527994</v>
      </c>
    </row>
    <row r="9" spans="1:52" ht="15" x14ac:dyDescent="0.2">
      <c r="A9" s="322" t="str">
        <f t="shared" si="18"/>
        <v>Passenger Car</v>
      </c>
      <c r="B9" s="792"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93">
        <v>16823.104713489789</v>
      </c>
      <c r="K9" s="840">
        <f>VehicleCostData2023!AE6</f>
        <v>708310.0288050283</v>
      </c>
      <c r="L9" s="731">
        <f>VehicleCostData2023!AF6</f>
        <v>691353.22567751224</v>
      </c>
      <c r="M9" s="731">
        <f>VehicleCostData2023!AG6</f>
        <v>685881.01096414251</v>
      </c>
      <c r="N9" s="731">
        <f>VehicleCostData2023!AH6</f>
        <v>680408.79625077278</v>
      </c>
      <c r="O9" s="731">
        <f>VehicleCostData2023!AI6</f>
        <v>681771.36749045854</v>
      </c>
      <c r="P9" s="731">
        <f>VehicleCostData2023!AJ6</f>
        <v>683133.93873014406</v>
      </c>
      <c r="Q9" s="731">
        <f>VehicleCostData2023!AK6</f>
        <v>683582.65911695024</v>
      </c>
      <c r="R9" s="841">
        <f>VehicleCostData2023!AL6</f>
        <v>684031.37950375653</v>
      </c>
      <c r="S9" s="330">
        <f t="shared" si="5"/>
        <v>1.2348658523958762</v>
      </c>
      <c r="T9" s="330">
        <f t="shared" si="6"/>
        <v>1.1130865260684899</v>
      </c>
      <c r="U9" s="330">
        <f t="shared" si="7"/>
        <v>1.08578592058005</v>
      </c>
      <c r="V9" s="330">
        <f t="shared" si="8"/>
        <v>1.0593845150416537</v>
      </c>
      <c r="W9" s="330">
        <f t="shared" si="9"/>
        <v>1.050000251580308</v>
      </c>
      <c r="X9" s="330">
        <f t="shared" si="10"/>
        <v>1.040817240542383</v>
      </c>
      <c r="Y9" s="330">
        <f t="shared" si="11"/>
        <v>1.0350305116788574</v>
      </c>
      <c r="Z9" s="330">
        <f t="shared" si="12"/>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13"/>
        <v>1.7693016047311396</v>
      </c>
      <c r="AP9" s="504">
        <f t="shared" si="14"/>
        <v>1.4910156121909575</v>
      </c>
      <c r="AQ9" s="504">
        <f t="shared" si="15"/>
        <v>1.3037709765268612</v>
      </c>
      <c r="AR9" s="504">
        <f t="shared" si="16"/>
        <v>1.1983619127235638</v>
      </c>
      <c r="AS9" s="504">
        <f t="shared" si="17"/>
        <v>1.0928745831009152</v>
      </c>
    </row>
    <row r="10" spans="1:52" ht="15" x14ac:dyDescent="0.2">
      <c r="A10" s="322" t="str">
        <f t="shared" si="18"/>
        <v>Passenger Car</v>
      </c>
      <c r="B10" s="792"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93">
        <v>17404.89408721682</v>
      </c>
      <c r="K10" s="840">
        <f>VehicleCostData2023!AE7</f>
        <v>754781.04305413144</v>
      </c>
      <c r="L10" s="731">
        <f>VehicleCostData2023!AF7</f>
        <v>612999.86010072753</v>
      </c>
      <c r="M10" s="731">
        <f>VehicleCostData2023!AG7</f>
        <v>594007.49324474961</v>
      </c>
      <c r="N10" s="731">
        <f>VehicleCostData2023!AH7</f>
        <v>575015.12638877169</v>
      </c>
      <c r="O10" s="731">
        <f>VehicleCostData2023!AI7</f>
        <v>573112.8335524553</v>
      </c>
      <c r="P10" s="731">
        <f>VehicleCostData2023!AJ7</f>
        <v>571210.54071613878</v>
      </c>
      <c r="Q10" s="731">
        <f>VehicleCostData2023!AK7</f>
        <v>569010.1797562195</v>
      </c>
      <c r="R10" s="841">
        <f>VehicleCostData2023!AL7</f>
        <v>566809.81879630033</v>
      </c>
      <c r="S10" s="330">
        <f t="shared" si="5"/>
        <v>1.6429383656586143</v>
      </c>
      <c r="T10" s="330">
        <f t="shared" si="6"/>
        <v>1.2322340475980915</v>
      </c>
      <c r="U10" s="330">
        <f t="shared" si="7"/>
        <v>1.1740625818589094</v>
      </c>
      <c r="V10" s="330">
        <f t="shared" si="8"/>
        <v>1.1178071094887672</v>
      </c>
      <c r="W10" s="330">
        <f t="shared" si="9"/>
        <v>1.1020331930457394</v>
      </c>
      <c r="X10" s="330">
        <f t="shared" si="10"/>
        <v>1.0865975598280357</v>
      </c>
      <c r="Y10" s="330">
        <f t="shared" si="11"/>
        <v>1.0756873180423199</v>
      </c>
      <c r="Z10" s="330">
        <f t="shared" si="12"/>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13"/>
        <v>1.6844344849453972</v>
      </c>
      <c r="AP10" s="504">
        <f t="shared" si="14"/>
        <v>1.2673506147472593</v>
      </c>
      <c r="AQ10" s="504">
        <f t="shared" si="15"/>
        <v>1.1322926068149861</v>
      </c>
      <c r="AR10" s="504">
        <f t="shared" si="16"/>
        <v>1.0607504057135009</v>
      </c>
      <c r="AS10" s="504">
        <f t="shared" si="17"/>
        <v>1.0016049035183423</v>
      </c>
    </row>
    <row r="11" spans="1:52" ht="15" x14ac:dyDescent="0.2">
      <c r="A11" s="322" t="str">
        <f t="shared" si="18"/>
        <v>Passenger Car</v>
      </c>
      <c r="B11" s="792"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93">
        <v>17974.05843394086</v>
      </c>
      <c r="K11" s="840">
        <f>VehicleCostData2023!AE8</f>
        <v>1112579.4222334607</v>
      </c>
      <c r="L11" s="731">
        <f>VehicleCostData2023!AF8</f>
        <v>919499.79015109118</v>
      </c>
      <c r="M11" s="731">
        <f>VehicleCostData2023!AG8</f>
        <v>891562.78630562383</v>
      </c>
      <c r="N11" s="731">
        <f>VehicleCostData2023!AH8</f>
        <v>863625.78246015636</v>
      </c>
      <c r="O11" s="731">
        <f>VehicleCostData2023!AI8</f>
        <v>861245.73470022937</v>
      </c>
      <c r="P11" s="731">
        <f>VehicleCostData2023!AJ8</f>
        <v>858865.68694030237</v>
      </c>
      <c r="Q11" s="731">
        <f>VehicleCostData2023!AK8</f>
        <v>855775.34579696856</v>
      </c>
      <c r="R11" s="841">
        <f>VehicleCostData2023!AL8</f>
        <v>852685.0046536345</v>
      </c>
      <c r="S11" s="330">
        <f t="shared" si="5"/>
        <v>1.6624738174911204</v>
      </c>
      <c r="T11" s="330">
        <f t="shared" si="6"/>
        <v>1.2688432315325302</v>
      </c>
      <c r="U11" s="330">
        <f t="shared" si="7"/>
        <v>1.2096918649167219</v>
      </c>
      <c r="V11" s="330">
        <f t="shared" si="8"/>
        <v>1.1524887666617909</v>
      </c>
      <c r="W11" s="330">
        <f t="shared" si="9"/>
        <v>1.136855140411553</v>
      </c>
      <c r="X11" s="330">
        <f t="shared" si="10"/>
        <v>1.1215567887604005</v>
      </c>
      <c r="Y11" s="330">
        <f t="shared" si="11"/>
        <v>1.1105785644095354</v>
      </c>
      <c r="Z11" s="330">
        <f t="shared" si="12"/>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13"/>
        <v>1.4414185748830934</v>
      </c>
      <c r="AP11" s="504">
        <f t="shared" si="14"/>
        <v>1.1518364154031082</v>
      </c>
      <c r="AQ11" s="504">
        <f t="shared" si="15"/>
        <v>1.0479227946099969</v>
      </c>
      <c r="AR11" s="504">
        <f t="shared" si="16"/>
        <v>0.98974342351285993</v>
      </c>
      <c r="AS11" s="504">
        <f t="shared" si="17"/>
        <v>0.93761813544156292</v>
      </c>
    </row>
    <row r="12" spans="1:52" ht="15" x14ac:dyDescent="0.2">
      <c r="A12" s="322" t="str">
        <f t="shared" si="18"/>
        <v>Passenger Car</v>
      </c>
      <c r="B12" s="792"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93">
        <v>18426.411995766433</v>
      </c>
      <c r="K12" s="840">
        <f>VehicleCostData2023!AE9</f>
        <v>1181120.7393946333</v>
      </c>
      <c r="L12" s="731">
        <f>VehicleCostData2023!AF9</f>
        <v>815289.8139339675</v>
      </c>
      <c r="M12" s="731">
        <f>VehicleCostData2023!AG9</f>
        <v>768036.70671372896</v>
      </c>
      <c r="N12" s="731">
        <f>VehicleCostData2023!AH9</f>
        <v>720783.59949349053</v>
      </c>
      <c r="O12" s="731">
        <f>VehicleCostData2023!AI9</f>
        <v>715368.33662966697</v>
      </c>
      <c r="P12" s="731">
        <f>VehicleCostData2023!AJ9</f>
        <v>709953.07376584364</v>
      </c>
      <c r="Q12" s="731">
        <f>VehicleCostData2023!AK9</f>
        <v>704477.35445635999</v>
      </c>
      <c r="R12" s="841">
        <f>VehicleCostData2023!AL9</f>
        <v>699001.63514687633</v>
      </c>
      <c r="S12" s="330">
        <f t="shared" si="5"/>
        <v>2.2071057816017641</v>
      </c>
      <c r="T12" s="330">
        <f t="shared" si="6"/>
        <v>1.406932983533836</v>
      </c>
      <c r="U12" s="330">
        <f t="shared" si="7"/>
        <v>1.3031963829485218</v>
      </c>
      <c r="V12" s="330">
        <f t="shared" si="8"/>
        <v>1.2028765544235738</v>
      </c>
      <c r="W12" s="330">
        <f t="shared" si="9"/>
        <v>1.1808991807825731</v>
      </c>
      <c r="X12" s="330">
        <f t="shared" si="10"/>
        <v>1.1593931280634426</v>
      </c>
      <c r="Y12" s="330">
        <f t="shared" si="11"/>
        <v>1.1433037165133588</v>
      </c>
      <c r="Z12" s="330">
        <f t="shared" si="12"/>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13"/>
        <v>1.2434190944946621</v>
      </c>
      <c r="AP12" s="504">
        <f t="shared" si="14"/>
        <v>1.055894846672224</v>
      </c>
      <c r="AQ12" s="504">
        <f t="shared" si="15"/>
        <v>0.94796987980160197</v>
      </c>
      <c r="AR12" s="504">
        <f t="shared" si="16"/>
        <v>0.89041135121688042</v>
      </c>
      <c r="AS12" s="504">
        <f t="shared" si="17"/>
        <v>0.8407508847914158</v>
      </c>
    </row>
    <row r="13" spans="1:52" ht="15" x14ac:dyDescent="0.2">
      <c r="A13" s="322" t="str">
        <f t="shared" si="18"/>
        <v>Passenger Car</v>
      </c>
      <c r="B13" s="792"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93">
        <v>18794.951675055818</v>
      </c>
      <c r="K13" s="840">
        <f>VehicleCostData2023!AE10</f>
        <v>1744526.3791088909</v>
      </c>
      <c r="L13" s="731">
        <f>VehicleCostData2023!AF10</f>
        <v>1222934.7209009514</v>
      </c>
      <c r="M13" s="731">
        <f>VehicleCostData2023!AG10</f>
        <v>1153391.9055990677</v>
      </c>
      <c r="N13" s="731">
        <f>VehicleCostData2023!AH10</f>
        <v>1083849.0902971842</v>
      </c>
      <c r="O13" s="731">
        <f>VehicleCostData2023!AI10</f>
        <v>1076314.024591774</v>
      </c>
      <c r="P13" s="731">
        <f>VehicleCostData2023!AJ10</f>
        <v>1068778.9588863642</v>
      </c>
      <c r="Q13" s="731">
        <f>VehicleCostData2023!AK10</f>
        <v>1060828.5936058897</v>
      </c>
      <c r="R13" s="841">
        <f>VehicleCostData2023!AL10</f>
        <v>1052878.2283254156</v>
      </c>
      <c r="S13" s="330">
        <f t="shared" si="5"/>
        <v>2.2075313317886938</v>
      </c>
      <c r="T13" s="330">
        <f t="shared" si="6"/>
        <v>1.4291083366119961</v>
      </c>
      <c r="U13" s="330">
        <f t="shared" si="7"/>
        <v>1.3252727581755961</v>
      </c>
      <c r="V13" s="330">
        <f t="shared" si="8"/>
        <v>1.2248572118327066</v>
      </c>
      <c r="W13" s="330">
        <f t="shared" si="9"/>
        <v>1.2031577957078528</v>
      </c>
      <c r="X13" s="330">
        <f t="shared" si="10"/>
        <v>1.1819237395017534</v>
      </c>
      <c r="Y13" s="330">
        <f t="shared" si="11"/>
        <v>1.1658435590218994</v>
      </c>
      <c r="Z13" s="330">
        <f t="shared" si="12"/>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13"/>
        <v>1.108618622175594</v>
      </c>
      <c r="AP13" s="504">
        <f t="shared" si="14"/>
        <v>0.97907828585860557</v>
      </c>
      <c r="AQ13" s="504">
        <f t="shared" si="15"/>
        <v>0.89250158441628213</v>
      </c>
      <c r="AR13" s="504">
        <f t="shared" si="16"/>
        <v>0.84434006239661141</v>
      </c>
      <c r="AS13" s="504">
        <f t="shared" si="17"/>
        <v>0.79982197855278259</v>
      </c>
    </row>
    <row r="14" spans="1:52" ht="15" x14ac:dyDescent="0.2">
      <c r="A14" s="322" t="str">
        <f t="shared" si="18"/>
        <v>Passenger Car</v>
      </c>
      <c r="B14" s="792"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93">
        <v>20788.248664025326</v>
      </c>
      <c r="K14" s="840">
        <f>VehicleCostData2023!AE11</f>
        <v>955702.0583489167</v>
      </c>
      <c r="L14" s="731">
        <f>VehicleCostData2023!AF11</f>
        <v>648842.83316012472</v>
      </c>
      <c r="M14" s="731">
        <f>VehicleCostData2023!AG11</f>
        <v>593071.84107131546</v>
      </c>
      <c r="N14" s="731">
        <f>VehicleCostData2023!AH11</f>
        <v>537300.8489825062</v>
      </c>
      <c r="O14" s="731">
        <f>VehicleCostData2023!AI11</f>
        <v>540918.75982862071</v>
      </c>
      <c r="P14" s="731">
        <f>VehicleCostData2023!AJ11</f>
        <v>544536.6706747351</v>
      </c>
      <c r="Q14" s="731">
        <f>VehicleCostData2023!AK11</f>
        <v>546387.28357443318</v>
      </c>
      <c r="R14" s="841">
        <f>VehicleCostData2023!AL11</f>
        <v>548237.89647413103</v>
      </c>
      <c r="S14" s="330">
        <f t="shared" si="5"/>
        <v>2.5688434560120985</v>
      </c>
      <c r="T14" s="330">
        <f t="shared" si="6"/>
        <v>1.6105980604355346</v>
      </c>
      <c r="U14" s="330">
        <f t="shared" si="7"/>
        <v>1.4475096193238455</v>
      </c>
      <c r="V14" s="330">
        <f t="shared" si="8"/>
        <v>1.2897928216419099</v>
      </c>
      <c r="W14" s="330">
        <f t="shared" si="9"/>
        <v>1.2844033106091091</v>
      </c>
      <c r="X14" s="330">
        <f t="shared" si="10"/>
        <v>1.2791293815994336</v>
      </c>
      <c r="Y14" s="330">
        <f t="shared" si="11"/>
        <v>1.2755028290634409</v>
      </c>
      <c r="Z14" s="330">
        <f t="shared" si="12"/>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13"/>
        <v>0.81642659699157527</v>
      </c>
      <c r="AP14" s="504">
        <f t="shared" si="14"/>
        <v>0.73942400256939955</v>
      </c>
      <c r="AQ14" s="504">
        <f t="shared" si="15"/>
        <v>0.67814689093781944</v>
      </c>
      <c r="AR14" s="504">
        <f t="shared" si="16"/>
        <v>0.6447439373030428</v>
      </c>
      <c r="AS14" s="504">
        <f t="shared" si="17"/>
        <v>0.60961697276991689</v>
      </c>
      <c r="AZ14" s="322">
        <f>AT14/3.6</f>
        <v>0</v>
      </c>
    </row>
    <row r="15" spans="1:52" ht="15" x14ac:dyDescent="0.2">
      <c r="A15" s="322" t="str">
        <f t="shared" si="18"/>
        <v>Passenger Car</v>
      </c>
      <c r="B15" s="792"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93">
        <v>19695.247728715745</v>
      </c>
      <c r="K15" s="840">
        <f>VehicleCostData2023!AE12</f>
        <v>6791156.48312381</v>
      </c>
      <c r="L15" s="731">
        <f>VehicleCostData2023!AF12</f>
        <v>2684866.8958349987</v>
      </c>
      <c r="M15" s="731">
        <f>VehicleCostData2023!AG12</f>
        <v>2048203.2707303744</v>
      </c>
      <c r="N15" s="731">
        <f>VehicleCostData2023!AH12</f>
        <v>1411539.6456257498</v>
      </c>
      <c r="O15" s="731">
        <f>VehicleCostData2023!AI12</f>
        <v>1336036.9411039043</v>
      </c>
      <c r="P15" s="731">
        <f>VehicleCostData2023!AJ12</f>
        <v>1260534.2365820589</v>
      </c>
      <c r="Q15" s="731">
        <f>VehicleCostData2023!AK12</f>
        <v>1241441.9315534504</v>
      </c>
      <c r="R15" s="841">
        <f>VehicleCostData2023!AL12</f>
        <v>1222349.6265248419</v>
      </c>
      <c r="S15" s="330">
        <f t="shared" si="5"/>
        <v>7.7566823857372587</v>
      </c>
      <c r="T15" s="330">
        <f t="shared" si="6"/>
        <v>2.8319629866194975</v>
      </c>
      <c r="U15" s="330">
        <f t="shared" si="7"/>
        <v>2.1242438152189673</v>
      </c>
      <c r="V15" s="330">
        <f t="shared" si="8"/>
        <v>1.4398347877578286</v>
      </c>
      <c r="W15" s="330">
        <f t="shared" si="9"/>
        <v>1.3480468691087808</v>
      </c>
      <c r="X15" s="330">
        <f t="shared" si="10"/>
        <v>1.2582274098007296</v>
      </c>
      <c r="Y15" s="330">
        <f t="shared" si="11"/>
        <v>1.2314716158658376</v>
      </c>
      <c r="Z15" s="330">
        <f t="shared" si="12"/>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13"/>
        <v>1.0752270792303171</v>
      </c>
      <c r="AP15" s="504">
        <f t="shared" si="14"/>
        <v>0.94154852321991489</v>
      </c>
      <c r="AQ15" s="504">
        <f t="shared" si="15"/>
        <v>0.83643614753341577</v>
      </c>
      <c r="AR15" s="504">
        <f t="shared" si="16"/>
        <v>0.77157920697300109</v>
      </c>
      <c r="AS15" s="504">
        <f t="shared" si="17"/>
        <v>0.70892116582680575</v>
      </c>
    </row>
    <row r="16" spans="1:52" ht="15" x14ac:dyDescent="0.2">
      <c r="A16" s="322" t="str">
        <f t="shared" si="18"/>
        <v>Passenger Car</v>
      </c>
      <c r="B16" s="792"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93">
        <v>21086.801953962866</v>
      </c>
      <c r="K16" s="840">
        <f>VehicleCostData2023!AE13</f>
        <v>6789112.5158554427</v>
      </c>
      <c r="L16" s="731">
        <f>VehicleCostData2023!AF13</f>
        <v>2684866.8958349987</v>
      </c>
      <c r="M16" s="731">
        <f>VehicleCostData2023!AG13</f>
        <v>2057527.7773207966</v>
      </c>
      <c r="N16" s="731">
        <f>VehicleCostData2023!AH13</f>
        <v>1430188.6588065948</v>
      </c>
      <c r="O16" s="731">
        <f>VehicleCostData2023!AI13</f>
        <v>1354596.728103532</v>
      </c>
      <c r="P16" s="731">
        <f>VehicleCostData2023!AJ13</f>
        <v>1279004.7974004692</v>
      </c>
      <c r="Q16" s="731">
        <f>VehicleCostData2023!AK13</f>
        <v>1257012.35498813</v>
      </c>
      <c r="R16" s="841">
        <f>VehicleCostData2023!AL13</f>
        <v>1235019.9125757911</v>
      </c>
      <c r="S16" s="330">
        <f t="shared" si="5"/>
        <v>8.2170519550868644</v>
      </c>
      <c r="T16" s="330">
        <f t="shared" si="6"/>
        <v>3.0009470219450662</v>
      </c>
      <c r="U16" s="330">
        <f t="shared" si="7"/>
        <v>2.2612457825531411</v>
      </c>
      <c r="V16" s="330">
        <f t="shared" si="8"/>
        <v>1.5459080803651746</v>
      </c>
      <c r="W16" s="330">
        <f t="shared" si="9"/>
        <v>1.4483292564698458</v>
      </c>
      <c r="X16" s="330">
        <f t="shared" si="10"/>
        <v>1.3528430821324031</v>
      </c>
      <c r="Y16" s="330">
        <f t="shared" si="11"/>
        <v>1.3213208802524739</v>
      </c>
      <c r="Z16" s="330">
        <f t="shared" si="12"/>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13"/>
        <v>0.95703509297619893</v>
      </c>
      <c r="AP16" s="504">
        <f t="shared" si="14"/>
        <v>0.80694213117446689</v>
      </c>
      <c r="AQ16" s="504">
        <f t="shared" si="15"/>
        <v>0.72463129273182003</v>
      </c>
      <c r="AR16" s="504">
        <f t="shared" si="16"/>
        <v>0.67545405705887274</v>
      </c>
      <c r="AS16" s="504">
        <f t="shared" si="17"/>
        <v>0.62690006806868404</v>
      </c>
    </row>
    <row r="17" spans="1:45" ht="15" x14ac:dyDescent="0.2">
      <c r="A17" s="322" t="str">
        <f t="shared" si="18"/>
        <v>Passenger Car</v>
      </c>
      <c r="B17" s="792"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93">
        <v>19824.232277531381</v>
      </c>
      <c r="K17" s="840">
        <f>VehicleCostData2023!AE14</f>
        <v>6100530.3395988122</v>
      </c>
      <c r="L17" s="731">
        <f>VehicleCostData2023!AF14</f>
        <v>2684866.8958349987</v>
      </c>
      <c r="M17" s="731">
        <f>VehicleCostData2023!AG14</f>
        <v>2184488.088679282</v>
      </c>
      <c r="N17" s="731">
        <f>VehicleCostData2023!AH14</f>
        <v>1684109.2815235658</v>
      </c>
      <c r="O17" s="731">
        <f>VehicleCostData2023!AI14</f>
        <v>1623612.7858633758</v>
      </c>
      <c r="P17" s="731">
        <f>VehicleCostData2023!AJ14</f>
        <v>1563116.2902031865</v>
      </c>
      <c r="Q17" s="731">
        <f>VehicleCostData2023!AK14</f>
        <v>1538690.0620968142</v>
      </c>
      <c r="R17" s="841">
        <f>VehicleCostData2023!AL14</f>
        <v>1514263.8339904421</v>
      </c>
      <c r="S17" s="330">
        <f t="shared" si="5"/>
        <v>5.6614631694525608</v>
      </c>
      <c r="T17" s="330">
        <f t="shared" si="6"/>
        <v>2.3009988251312934</v>
      </c>
      <c r="U17" s="330">
        <f t="shared" si="7"/>
        <v>1.8408135911581427</v>
      </c>
      <c r="V17" s="330">
        <f t="shared" si="8"/>
        <v>1.3957854766699263</v>
      </c>
      <c r="W17" s="330">
        <f t="shared" si="9"/>
        <v>1.3310605511694735</v>
      </c>
      <c r="X17" s="330">
        <f t="shared" si="10"/>
        <v>1.2677236992420131</v>
      </c>
      <c r="Y17" s="330">
        <f t="shared" si="11"/>
        <v>1.2401607119950833</v>
      </c>
      <c r="Z17" s="330">
        <f t="shared" si="12"/>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13"/>
        <v>0.83884310672208084</v>
      </c>
      <c r="AP17" s="504">
        <f t="shared" si="14"/>
        <v>0.74746488817764112</v>
      </c>
      <c r="AQ17" s="504">
        <f t="shared" si="15"/>
        <v>0.67522914758692887</v>
      </c>
      <c r="AR17" s="504">
        <f t="shared" si="16"/>
        <v>0.63298015360844395</v>
      </c>
      <c r="AS17" s="504">
        <f t="shared" si="17"/>
        <v>0.59065818766393241</v>
      </c>
    </row>
    <row r="18" spans="1:45" ht="15" x14ac:dyDescent="0.2">
      <c r="A18" s="322" t="str">
        <f t="shared" si="18"/>
        <v>Passenger Car</v>
      </c>
      <c r="B18" s="792"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94">
        <v>16814.682751576893</v>
      </c>
      <c r="K18" s="840">
        <f>VehicleCostData2023!AE15</f>
        <v>420752.54002197512</v>
      </c>
      <c r="L18" s="731">
        <f>VehicleCostData2023!AF15</f>
        <v>443003.03781277488</v>
      </c>
      <c r="M18" s="731">
        <f>VehicleCostData2023!AG15</f>
        <v>447480.62192535622</v>
      </c>
      <c r="N18" s="731">
        <f>VehicleCostData2023!AH15</f>
        <v>451958.20603793755</v>
      </c>
      <c r="O18" s="731">
        <f>VehicleCostData2023!AI15</f>
        <v>455405.93854516052</v>
      </c>
      <c r="P18" s="731">
        <f>VehicleCostData2023!AJ15</f>
        <v>458853.67105238343</v>
      </c>
      <c r="Q18" s="731">
        <f>VehicleCostData2023!AK15</f>
        <v>460764.46663900977</v>
      </c>
      <c r="R18" s="841">
        <f>VehicleCostData2023!AL15</f>
        <v>462675.26222563599</v>
      </c>
      <c r="S18" s="330">
        <f t="shared" si="5"/>
        <v>1.0839404210120596</v>
      </c>
      <c r="T18" s="330">
        <f t="shared" si="6"/>
        <v>1.0539449116507418</v>
      </c>
      <c r="U18" s="330">
        <f t="shared" si="7"/>
        <v>1.046771607826253</v>
      </c>
      <c r="V18" s="330">
        <f t="shared" si="8"/>
        <v>1.0398345710854142</v>
      </c>
      <c r="W18" s="330">
        <f t="shared" si="9"/>
        <v>1.0364100354420756</v>
      </c>
      <c r="X18" s="330">
        <f t="shared" si="10"/>
        <v>1.0330589414812039</v>
      </c>
      <c r="Y18" s="330">
        <f t="shared" si="11"/>
        <v>1.0309162137162475</v>
      </c>
      <c r="Z18" s="330">
        <f t="shared" si="12"/>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13"/>
        <v>2.7731584934931535</v>
      </c>
      <c r="AP18" s="504">
        <f t="shared" si="14"/>
        <v>2.0718600724531742</v>
      </c>
      <c r="AQ18" s="504">
        <f t="shared" si="15"/>
        <v>1.6924435330873051</v>
      </c>
      <c r="AR18" s="504">
        <f t="shared" si="16"/>
        <v>1.5062933039675674</v>
      </c>
      <c r="AS18" s="504">
        <f t="shared" si="17"/>
        <v>1.3837225479656539</v>
      </c>
    </row>
    <row r="19" spans="1:45" ht="15" x14ac:dyDescent="0.2">
      <c r="A19" s="322" t="str">
        <f t="shared" si="18"/>
        <v>Passenger Car</v>
      </c>
      <c r="B19" s="795"/>
      <c r="C19" s="457"/>
      <c r="D19" s="457"/>
      <c r="E19" s="458"/>
      <c r="F19" s="457"/>
      <c r="G19" s="457"/>
      <c r="H19" s="457"/>
      <c r="I19" s="457"/>
      <c r="J19" s="796"/>
      <c r="K19" s="842">
        <f>VehicleCostData2023!AE16</f>
        <v>0</v>
      </c>
      <c r="L19" s="457">
        <f>VehicleCostData2023!AF16</f>
        <v>0</v>
      </c>
      <c r="M19" s="457">
        <f>VehicleCostData2023!AG16</f>
        <v>0</v>
      </c>
      <c r="N19" s="457">
        <f>VehicleCostData2023!AH16</f>
        <v>0</v>
      </c>
      <c r="O19" s="457">
        <f>VehicleCostData2023!AI16</f>
        <v>0</v>
      </c>
      <c r="P19" s="457">
        <f>VehicleCostData2023!AJ16</f>
        <v>0</v>
      </c>
      <c r="Q19" s="457">
        <f>VehicleCostData2023!AK16</f>
        <v>0</v>
      </c>
      <c r="R19" s="843">
        <f>VehicleCostData2023!AL16</f>
        <v>0</v>
      </c>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18"/>
        <v>Passenger Car</v>
      </c>
      <c r="B20" s="795"/>
      <c r="C20" s="457"/>
      <c r="D20" s="457"/>
      <c r="E20" s="458"/>
      <c r="F20" s="457"/>
      <c r="G20" s="457"/>
      <c r="H20" s="457"/>
      <c r="I20" s="457"/>
      <c r="J20" s="796"/>
      <c r="K20" s="842">
        <f>VehicleCostData2023!AE17</f>
        <v>0</v>
      </c>
      <c r="L20" s="457">
        <f>VehicleCostData2023!AF17</f>
        <v>0</v>
      </c>
      <c r="M20" s="457">
        <f>VehicleCostData2023!AG17</f>
        <v>0</v>
      </c>
      <c r="N20" s="457">
        <f>VehicleCostData2023!AH17</f>
        <v>0</v>
      </c>
      <c r="O20" s="457">
        <f>VehicleCostData2023!AI17</f>
        <v>0</v>
      </c>
      <c r="P20" s="457">
        <f>VehicleCostData2023!AJ17</f>
        <v>0</v>
      </c>
      <c r="Q20" s="457">
        <f>VehicleCostData2023!AK17</f>
        <v>0</v>
      </c>
      <c r="R20" s="843">
        <f>VehicleCostData2023!AL17</f>
        <v>0</v>
      </c>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797" t="s">
        <v>715</v>
      </c>
      <c r="C21" s="351">
        <v>2010</v>
      </c>
      <c r="D21" s="351">
        <v>2020</v>
      </c>
      <c r="E21" s="354"/>
      <c r="F21" s="351">
        <v>2030</v>
      </c>
      <c r="G21" s="351"/>
      <c r="H21" s="351">
        <v>2040</v>
      </c>
      <c r="I21" s="351"/>
      <c r="J21" s="789">
        <v>2050</v>
      </c>
      <c r="K21" s="836">
        <f>VehicleCostData2023!AE18</f>
        <v>2010</v>
      </c>
      <c r="L21" s="353">
        <f>VehicleCostData2023!AF18</f>
        <v>2020</v>
      </c>
      <c r="M21" s="353">
        <f>VehicleCostData2023!AG18</f>
        <v>0</v>
      </c>
      <c r="N21" s="353">
        <f>VehicleCostData2023!AH18</f>
        <v>2030</v>
      </c>
      <c r="O21" s="353">
        <f>VehicleCostData2023!AI18</f>
        <v>0</v>
      </c>
      <c r="P21" s="353">
        <f>VehicleCostData2023!AJ18</f>
        <v>2040</v>
      </c>
      <c r="Q21" s="353">
        <f>VehicleCostData2023!AK18</f>
        <v>0</v>
      </c>
      <c r="R21" s="837">
        <f>VehicleCostData2023!AL18</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19">A21</f>
        <v>Motorcycle or Moped</v>
      </c>
      <c r="B22" s="798" t="s">
        <v>791</v>
      </c>
      <c r="C22" s="495" t="s">
        <v>193</v>
      </c>
      <c r="D22" s="494" t="s">
        <v>193</v>
      </c>
      <c r="E22" s="493"/>
      <c r="F22" s="492" t="s">
        <v>193</v>
      </c>
      <c r="G22" s="492"/>
      <c r="H22" s="491" t="s">
        <v>193</v>
      </c>
      <c r="I22" s="491"/>
      <c r="J22" s="799" t="s">
        <v>193</v>
      </c>
      <c r="K22" s="802" t="s">
        <v>1314</v>
      </c>
      <c r="L22" s="322" t="s">
        <v>1314</v>
      </c>
      <c r="M22" s="322" t="s">
        <v>1314</v>
      </c>
      <c r="N22" s="322" t="s">
        <v>1314</v>
      </c>
      <c r="O22" s="322" t="s">
        <v>1314</v>
      </c>
      <c r="P22" s="322" t="s">
        <v>1314</v>
      </c>
      <c r="Q22" s="322" t="s">
        <v>1314</v>
      </c>
      <c r="R22" s="832" t="s">
        <v>1314</v>
      </c>
      <c r="S22" s="330"/>
      <c r="AA22"/>
      <c r="AB22" s="489" t="s">
        <v>659</v>
      </c>
      <c r="AC22" s="488" t="s">
        <v>193</v>
      </c>
      <c r="AD22" s="487" t="s">
        <v>193</v>
      </c>
      <c r="AE22" s="486" t="s">
        <v>193</v>
      </c>
      <c r="AF22" s="485" t="s">
        <v>193</v>
      </c>
      <c r="AG22" s="484" t="s">
        <v>193</v>
      </c>
      <c r="AH22"/>
      <c r="AI22"/>
      <c r="AJ22"/>
    </row>
    <row r="23" spans="1:45" ht="15" x14ac:dyDescent="0.25">
      <c r="A23" s="322" t="str">
        <f t="shared" si="19"/>
        <v>Motorcycle or Moped</v>
      </c>
      <c r="B23" s="800"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801">
        <v>6982.9686511182554</v>
      </c>
      <c r="K23" s="840">
        <f>VehicleCostData2023!AE20</f>
        <v>111175.50319293482</v>
      </c>
      <c r="L23" s="731">
        <f>VehicleCostData2023!AF20</f>
        <v>116344.23215284995</v>
      </c>
      <c r="M23" s="731">
        <f>VehicleCostData2023!AG20</f>
        <v>117969.5027272259</v>
      </c>
      <c r="N23" s="731">
        <f>VehicleCostData2023!AH20</f>
        <v>119594.77330160186</v>
      </c>
      <c r="O23" s="731">
        <f>VehicleCostData2023!AI20</f>
        <v>121443.43441226649</v>
      </c>
      <c r="P23" s="731">
        <f>VehicleCostData2023!AJ20</f>
        <v>123292.09552293109</v>
      </c>
      <c r="Q23" s="731">
        <f>VehicleCostData2023!AK20</f>
        <v>124146.67485062155</v>
      </c>
      <c r="R23" s="841">
        <f>VehicleCostData2023!AL20</f>
        <v>125001.25417831203</v>
      </c>
      <c r="S23" s="330">
        <f t="shared" ref="S23:Z26" si="20">C23/C$23</f>
        <v>1</v>
      </c>
      <c r="T23" s="330">
        <f t="shared" si="20"/>
        <v>1</v>
      </c>
      <c r="U23" s="330">
        <f t="shared" si="20"/>
        <v>1</v>
      </c>
      <c r="V23" s="330">
        <f t="shared" si="20"/>
        <v>1</v>
      </c>
      <c r="W23" s="330">
        <f t="shared" si="20"/>
        <v>1</v>
      </c>
      <c r="X23" s="330">
        <f t="shared" si="20"/>
        <v>1</v>
      </c>
      <c r="Y23" s="330">
        <f t="shared" si="20"/>
        <v>1</v>
      </c>
      <c r="Z23" s="330">
        <f t="shared" si="20"/>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19"/>
        <v>Motorcycle or Moped</v>
      </c>
      <c r="B24" s="800"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801">
        <v>6868.8671622055499</v>
      </c>
      <c r="K24" s="840">
        <f>VehicleCostData2023!AE21</f>
        <v>146903.0406515818</v>
      </c>
      <c r="L24" s="731">
        <f>VehicleCostData2023!AF21</f>
        <v>134243.34479174993</v>
      </c>
      <c r="M24" s="731">
        <f>VehicleCostData2023!AG21</f>
        <v>132079.92051249574</v>
      </c>
      <c r="N24" s="731">
        <f>VehicleCostData2023!AH21</f>
        <v>129916.49623324156</v>
      </c>
      <c r="O24" s="731">
        <f>VehicleCostData2023!AI21</f>
        <v>130161.28266177786</v>
      </c>
      <c r="P24" s="731">
        <f>VehicleCostData2023!AJ21</f>
        <v>130406.06909031415</v>
      </c>
      <c r="Q24" s="731">
        <f>VehicleCostData2023!AK21</f>
        <v>130876.13436628037</v>
      </c>
      <c r="R24" s="841">
        <f>VehicleCostData2023!AL21</f>
        <v>131346.19964224659</v>
      </c>
      <c r="S24" s="330">
        <f t="shared" si="20"/>
        <v>1.2369825282591598</v>
      </c>
      <c r="T24" s="330">
        <f t="shared" si="20"/>
        <v>1.0801642289685731</v>
      </c>
      <c r="U24" s="330">
        <f t="shared" si="20"/>
        <v>1.0481149950663742</v>
      </c>
      <c r="V24" s="330">
        <f t="shared" si="20"/>
        <v>1.0169368473388392</v>
      </c>
      <c r="W24" s="330">
        <f t="shared" si="20"/>
        <v>1.003343550412825</v>
      </c>
      <c r="X24" s="330">
        <f t="shared" si="20"/>
        <v>0.99015789355953798</v>
      </c>
      <c r="Y24" s="330">
        <f t="shared" si="20"/>
        <v>0.98688659802185419</v>
      </c>
      <c r="Z24" s="330">
        <f t="shared" si="20"/>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19"/>
        <v>Motorcycle or Moped</v>
      </c>
      <c r="B25" s="800"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801">
        <v>7540.9608799540883</v>
      </c>
      <c r="K25" s="840">
        <f>VehicleCostData2023!AE22</f>
        <v>145759.9557943554</v>
      </c>
      <c r="L25" s="731">
        <f>VehicleCostData2023!AF22</f>
        <v>116344.23215284995</v>
      </c>
      <c r="M25" s="731">
        <f>VehicleCostData2023!AG22</f>
        <v>109919.45126862373</v>
      </c>
      <c r="N25" s="731">
        <f>VehicleCostData2023!AH22</f>
        <v>103494.67038439751</v>
      </c>
      <c r="O25" s="731">
        <f>VehicleCostData2023!AI22</f>
        <v>105076.7647579273</v>
      </c>
      <c r="P25" s="731">
        <f>VehicleCostData2023!AJ22</f>
        <v>106658.85913145712</v>
      </c>
      <c r="Q25" s="731">
        <f>VehicleCostData2023!AK22</f>
        <v>108222.2319120363</v>
      </c>
      <c r="R25" s="841">
        <f>VehicleCostData2023!AL22</f>
        <v>109785.60469261547</v>
      </c>
      <c r="S25" s="330">
        <f t="shared" si="20"/>
        <v>1.6120729537610547</v>
      </c>
      <c r="T25" s="330">
        <f t="shared" si="20"/>
        <v>1.2295765379550596</v>
      </c>
      <c r="U25" s="330">
        <f t="shared" si="20"/>
        <v>1.1456721883222982</v>
      </c>
      <c r="V25" s="330">
        <f t="shared" si="20"/>
        <v>1.0640483274894341</v>
      </c>
      <c r="W25" s="330">
        <f t="shared" si="20"/>
        <v>1.063869160616562</v>
      </c>
      <c r="X25" s="330">
        <f t="shared" si="20"/>
        <v>1.063695366656346</v>
      </c>
      <c r="Y25" s="330">
        <f t="shared" si="20"/>
        <v>1.0718572801428914</v>
      </c>
      <c r="Z25" s="330">
        <f t="shared" si="20"/>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19"/>
        <v>Motorcycle or Moped</v>
      </c>
      <c r="B26" s="800"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801">
        <v>9287.6163716223946</v>
      </c>
      <c r="K26" s="840">
        <f>VehicleCostData2023!AE23</f>
        <v>7248945.9292332893</v>
      </c>
      <c r="L26" s="731">
        <f>VehicleCostData2023!AF23</f>
        <v>2684866.8958349987</v>
      </c>
      <c r="M26" s="731">
        <f>VehicleCostData2023!AG23</f>
        <v>2550623.5510432483</v>
      </c>
      <c r="N26" s="731">
        <f>VehicleCostData2023!AH23</f>
        <v>2423092.3734910856</v>
      </c>
      <c r="O26" s="731">
        <f>VehicleCostData2023!AI23</f>
        <v>2301937.7548165312</v>
      </c>
      <c r="P26" s="731">
        <f>VehicleCostData2023!AJ23</f>
        <v>2186840.8670757045</v>
      </c>
      <c r="Q26" s="731">
        <f>VehicleCostData2023!AK23</f>
        <v>2077498.8237219192</v>
      </c>
      <c r="R26" s="841">
        <f>VehicleCostData2023!AL23</f>
        <v>1973623.8825358232</v>
      </c>
      <c r="S26" s="330">
        <f t="shared" si="20"/>
        <v>10.3012099791059</v>
      </c>
      <c r="T26" s="330">
        <f t="shared" si="20"/>
        <v>3.6458633405890888</v>
      </c>
      <c r="U26" s="330">
        <f t="shared" si="20"/>
        <v>2.6375074331421184</v>
      </c>
      <c r="V26" s="330">
        <f t="shared" si="20"/>
        <v>1.6565582616189463</v>
      </c>
      <c r="W26" s="330">
        <f t="shared" si="20"/>
        <v>1.5221718458509992</v>
      </c>
      <c r="X26" s="330">
        <f t="shared" si="20"/>
        <v>1.3918154522767392</v>
      </c>
      <c r="Y26" s="330">
        <f t="shared" si="20"/>
        <v>1.3607142952708948</v>
      </c>
      <c r="Z26" s="330">
        <f t="shared" si="20"/>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19"/>
        <v>Motorcycle or Moped</v>
      </c>
      <c r="B27" s="802"/>
      <c r="J27" s="785"/>
      <c r="K27" s="802">
        <f>VehicleCostData2023!AE24</f>
        <v>0</v>
      </c>
      <c r="L27" s="322">
        <f>VehicleCostData2023!AF24</f>
        <v>0</v>
      </c>
      <c r="M27" s="322">
        <f>VehicleCostData2023!AG24</f>
        <v>0</v>
      </c>
      <c r="N27" s="322">
        <f>VehicleCostData2023!AH24</f>
        <v>0</v>
      </c>
      <c r="O27" s="322">
        <f>VehicleCostData2023!AI24</f>
        <v>0</v>
      </c>
      <c r="P27" s="322">
        <f>VehicleCostData2023!AJ24</f>
        <v>0</v>
      </c>
      <c r="Q27" s="322">
        <f>VehicleCostData2023!AK24</f>
        <v>0</v>
      </c>
      <c r="R27" s="832">
        <f>VehicleCostData2023!AL24</f>
        <v>0</v>
      </c>
    </row>
    <row r="28" spans="1:45" x14ac:dyDescent="0.2">
      <c r="A28" s="322" t="str">
        <f t="shared" si="19"/>
        <v>Motorcycle or Moped</v>
      </c>
      <c r="B28" s="786" t="s">
        <v>832</v>
      </c>
      <c r="C28" s="456" t="s">
        <v>831</v>
      </c>
      <c r="D28" s="455">
        <v>0.08</v>
      </c>
      <c r="E28" s="454"/>
      <c r="J28" s="785"/>
      <c r="K28" s="802">
        <f>VehicleCostData2023!AE25</f>
        <v>0</v>
      </c>
      <c r="L28" s="322">
        <f>VehicleCostData2023!AF25</f>
        <v>0</v>
      </c>
      <c r="M28" s="322">
        <f>VehicleCostData2023!AG25</f>
        <v>0</v>
      </c>
      <c r="N28" s="322">
        <f>VehicleCostData2023!AH25</f>
        <v>0</v>
      </c>
      <c r="O28" s="322">
        <f>VehicleCostData2023!AI25</f>
        <v>0</v>
      </c>
      <c r="P28" s="322">
        <f>VehicleCostData2023!AJ25</f>
        <v>0</v>
      </c>
      <c r="Q28" s="322">
        <f>VehicleCostData2023!AK25</f>
        <v>0</v>
      </c>
      <c r="R28" s="832">
        <f>VehicleCostData2023!AL25</f>
        <v>0</v>
      </c>
      <c r="AB28" s="452" t="s">
        <v>816</v>
      </c>
      <c r="AC28" s="322" t="s">
        <v>834</v>
      </c>
    </row>
    <row r="29" spans="1:45" x14ac:dyDescent="0.2">
      <c r="A29" s="322" t="str">
        <f>B29</f>
        <v xml:space="preserve">Van / LCV </v>
      </c>
      <c r="B29" s="788" t="s">
        <v>701</v>
      </c>
      <c r="C29" s="351">
        <v>2010</v>
      </c>
      <c r="D29" s="351">
        <v>2020</v>
      </c>
      <c r="E29" s="354"/>
      <c r="F29" s="351">
        <v>2030</v>
      </c>
      <c r="G29" s="351"/>
      <c r="H29" s="351">
        <v>2040</v>
      </c>
      <c r="I29" s="351"/>
      <c r="J29" s="789">
        <v>2050</v>
      </c>
      <c r="K29" s="836">
        <f>VehicleCostData2023!AE26</f>
        <v>2010</v>
      </c>
      <c r="L29" s="353">
        <f>VehicleCostData2023!AF26</f>
        <v>2020</v>
      </c>
      <c r="M29" s="353">
        <f>VehicleCostData2023!AG26</f>
        <v>0</v>
      </c>
      <c r="N29" s="353">
        <f>VehicleCostData2023!AH26</f>
        <v>2030</v>
      </c>
      <c r="O29" s="353">
        <f>VehicleCostData2023!AI26</f>
        <v>0</v>
      </c>
      <c r="P29" s="353">
        <f>VehicleCostData2023!AJ26</f>
        <v>2040</v>
      </c>
      <c r="Q29" s="353">
        <f>VehicleCostData2023!AK26</f>
        <v>0</v>
      </c>
      <c r="R29" s="837">
        <f>VehicleCostData2023!AL26</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21">A29</f>
        <v xml:space="preserve">Van / LCV </v>
      </c>
      <c r="B30" s="790" t="s">
        <v>791</v>
      </c>
      <c r="C30" s="442"/>
      <c r="D30" s="448" t="s">
        <v>193</v>
      </c>
      <c r="E30" s="462"/>
      <c r="F30" s="448" t="s">
        <v>193</v>
      </c>
      <c r="G30" s="448"/>
      <c r="H30" s="448" t="s">
        <v>193</v>
      </c>
      <c r="I30" s="448"/>
      <c r="J30" s="791" t="s">
        <v>193</v>
      </c>
      <c r="K30" s="802" t="s">
        <v>1314</v>
      </c>
      <c r="L30" s="322" t="s">
        <v>1314</v>
      </c>
      <c r="M30" s="322" t="s">
        <v>1314</v>
      </c>
      <c r="N30" s="322" t="s">
        <v>1314</v>
      </c>
      <c r="O30" s="322" t="s">
        <v>1314</v>
      </c>
      <c r="P30" s="322" t="s">
        <v>1314</v>
      </c>
      <c r="Q30" s="322" t="s">
        <v>1314</v>
      </c>
      <c r="R30" s="832" t="s">
        <v>1314</v>
      </c>
      <c r="AB30" s="447" t="s">
        <v>659</v>
      </c>
      <c r="AC30" s="446" t="s">
        <v>663</v>
      </c>
      <c r="AD30" s="446" t="s">
        <v>663</v>
      </c>
      <c r="AE30" s="446" t="s">
        <v>663</v>
      </c>
      <c r="AF30" s="446" t="s">
        <v>663</v>
      </c>
      <c r="AG30" s="446" t="s">
        <v>663</v>
      </c>
    </row>
    <row r="31" spans="1:45" ht="15" x14ac:dyDescent="0.2">
      <c r="A31" s="322" t="str">
        <f t="shared" si="21"/>
        <v xml:space="preserve">Van / LCV </v>
      </c>
      <c r="B31" s="792" t="s">
        <v>680</v>
      </c>
      <c r="C31" s="442">
        <v>11305.478439259858</v>
      </c>
      <c r="D31" s="442">
        <v>12289.794448140692</v>
      </c>
      <c r="E31" s="332">
        <f t="shared" ref="E31:E43" si="22">AVERAGE(D31,F31)</f>
        <v>12516.277438952329</v>
      </c>
      <c r="F31" s="442">
        <v>12742.760429763966</v>
      </c>
      <c r="G31" s="332">
        <f t="shared" ref="G31:G43" si="23">AVERAGE(F31,H31)</f>
        <v>13021.038161305632</v>
      </c>
      <c r="H31" s="442">
        <v>13299.315892847299</v>
      </c>
      <c r="I31" s="332">
        <f t="shared" ref="I31:I43" si="24">AVERAGE(H31,J31)</f>
        <v>13438.741884494142</v>
      </c>
      <c r="J31" s="793">
        <v>13578.167876140986</v>
      </c>
      <c r="K31" s="840">
        <f>VehicleCostData2023!AE28</f>
        <v>349892.60386662662</v>
      </c>
      <c r="L31" s="731">
        <f>VehicleCostData2023!AF28</f>
        <v>380356.14357662486</v>
      </c>
      <c r="M31" s="731">
        <f>VehicleCostData2023!AG28</f>
        <v>387365.55267083854</v>
      </c>
      <c r="N31" s="731">
        <f>VehicleCostData2023!AH28</f>
        <v>394374.96176505223</v>
      </c>
      <c r="O31" s="731">
        <f>VehicleCostData2023!AI28</f>
        <v>402987.36331977899</v>
      </c>
      <c r="P31" s="731">
        <f>VehicleCostData2023!AJ28</f>
        <v>411599.76487450581</v>
      </c>
      <c r="Q31" s="731">
        <f>VehicleCostData2023!AK28</f>
        <v>415914.85189413966</v>
      </c>
      <c r="R31" s="841">
        <f>VehicleCostData2023!AL28</f>
        <v>420229.93891377357</v>
      </c>
      <c r="S31" s="330">
        <f t="shared" ref="S31:S43" si="25">C31/C$31</f>
        <v>1</v>
      </c>
      <c r="T31" s="330">
        <f t="shared" ref="T31:T43" si="26">D31/D$31</f>
        <v>1</v>
      </c>
      <c r="U31" s="330">
        <f t="shared" ref="U31:U43" si="27">E31/E$31</f>
        <v>1</v>
      </c>
      <c r="V31" s="330">
        <f t="shared" ref="V31:V43" si="28">F31/F$31</f>
        <v>1</v>
      </c>
      <c r="W31" s="330">
        <f t="shared" ref="W31:W43" si="29">G31/G$31</f>
        <v>1</v>
      </c>
      <c r="X31" s="330">
        <f t="shared" ref="X31:X43" si="30">H31/H$31</f>
        <v>1</v>
      </c>
      <c r="Y31" s="330">
        <f t="shared" ref="Y31:Y43" si="31">I31/I$31</f>
        <v>1</v>
      </c>
      <c r="Z31" s="330">
        <f t="shared" ref="Z31:Z43" si="32">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21"/>
        <v xml:space="preserve">Van / LCV </v>
      </c>
      <c r="B32" s="792" t="s">
        <v>687</v>
      </c>
      <c r="C32" s="442">
        <v>12067.578439259856</v>
      </c>
      <c r="D32" s="442">
        <v>13322.531671240238</v>
      </c>
      <c r="E32" s="332">
        <f t="shared" si="22"/>
        <v>13559.916920694781</v>
      </c>
      <c r="F32" s="442">
        <v>13797.302170149324</v>
      </c>
      <c r="G32" s="332">
        <f t="shared" si="23"/>
        <v>14084.66938951456</v>
      </c>
      <c r="H32" s="442">
        <v>14372.036608879796</v>
      </c>
      <c r="I32" s="332">
        <f t="shared" si="24"/>
        <v>14513.120679970814</v>
      </c>
      <c r="J32" s="793">
        <v>14654.204751061832</v>
      </c>
      <c r="K32" s="840">
        <f>VehicleCostData2023!AE29</f>
        <v>445859.02702767157</v>
      </c>
      <c r="L32" s="731">
        <f>VehicleCostData2023!AF29</f>
        <v>492225.59756974981</v>
      </c>
      <c r="M32" s="731">
        <f>VehicleCostData2023!AG29</f>
        <v>500996.23509949562</v>
      </c>
      <c r="N32" s="731">
        <f>VehicleCostData2023!AH29</f>
        <v>509766.87262924138</v>
      </c>
      <c r="O32" s="731">
        <f>VehicleCostData2023!AI29</f>
        <v>520384.1865726086</v>
      </c>
      <c r="P32" s="731">
        <f>VehicleCostData2023!AJ29</f>
        <v>531001.50051597587</v>
      </c>
      <c r="Q32" s="731">
        <f>VehicleCostData2023!AK29</f>
        <v>536214.11272167717</v>
      </c>
      <c r="R32" s="841">
        <f>VehicleCostData2023!AL29</f>
        <v>541426.72492737847</v>
      </c>
      <c r="S32" s="330">
        <f t="shared" si="25"/>
        <v>1.0674097964181242</v>
      </c>
      <c r="T32" s="330">
        <f t="shared" si="26"/>
        <v>1.084032098946601</v>
      </c>
      <c r="U32" s="330">
        <f t="shared" si="27"/>
        <v>1.0833825781533497</v>
      </c>
      <c r="V32" s="330">
        <f t="shared" si="28"/>
        <v>1.0827561458286703</v>
      </c>
      <c r="W32" s="330">
        <f t="shared" si="29"/>
        <v>1.0816855933476717</v>
      </c>
      <c r="X32" s="330">
        <f t="shared" si="30"/>
        <v>1.0806598418050535</v>
      </c>
      <c r="Y32" s="330">
        <f t="shared" si="31"/>
        <v>1.0799463822365925</v>
      </c>
      <c r="Z32" s="330">
        <f t="shared" si="32"/>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21"/>
        <v xml:space="preserve">Van / LCV </v>
      </c>
      <c r="B33" s="792" t="s">
        <v>688</v>
      </c>
      <c r="C33" s="442">
        <v>13782.736415022977</v>
      </c>
      <c r="D33" s="442">
        <v>13427.805704040664</v>
      </c>
      <c r="E33" s="332">
        <f t="shared" si="22"/>
        <v>13342.505844101395</v>
      </c>
      <c r="F33" s="442">
        <v>13257.205984162127</v>
      </c>
      <c r="G33" s="332">
        <f t="shared" si="23"/>
        <v>13379.130824979849</v>
      </c>
      <c r="H33" s="442">
        <v>13501.055665797574</v>
      </c>
      <c r="I33" s="332">
        <f t="shared" si="24"/>
        <v>13550.4912530031</v>
      </c>
      <c r="J33" s="793">
        <v>13599.926840208624</v>
      </c>
      <c r="K33" s="840">
        <f>VehicleCostData2023!AE30</f>
        <v>505236.35935464466</v>
      </c>
      <c r="L33" s="731">
        <f>VehicleCostData2023!AF30</f>
        <v>492225.59756974981</v>
      </c>
      <c r="M33" s="731">
        <f>VehicleCostData2023!AG30</f>
        <v>489098.7445710809</v>
      </c>
      <c r="N33" s="731">
        <f>VehicleCostData2023!AH30</f>
        <v>485971.8915724121</v>
      </c>
      <c r="O33" s="731">
        <f>VehicleCostData2023!AI30</f>
        <v>490441.31337913667</v>
      </c>
      <c r="P33" s="731">
        <f>VehicleCostData2023!AJ30</f>
        <v>494910.7351858613</v>
      </c>
      <c r="Q33" s="731">
        <f>VehicleCostData2023!AK30</f>
        <v>496722.90479791712</v>
      </c>
      <c r="R33" s="841">
        <f>VehicleCostData2023!AL30</f>
        <v>498535.07440997276</v>
      </c>
      <c r="S33" s="330">
        <f t="shared" si="25"/>
        <v>1.2191201362306343</v>
      </c>
      <c r="T33" s="330">
        <f t="shared" si="26"/>
        <v>1.0925980707571672</v>
      </c>
      <c r="U33" s="330">
        <f t="shared" si="27"/>
        <v>1.0660123115022788</v>
      </c>
      <c r="V33" s="330">
        <f t="shared" si="28"/>
        <v>1.0403715943051508</v>
      </c>
      <c r="W33" s="330">
        <f t="shared" si="29"/>
        <v>1.0275010839564509</v>
      </c>
      <c r="X33" s="330">
        <f t="shared" si="30"/>
        <v>1.0151691842329105</v>
      </c>
      <c r="Y33" s="330">
        <f t="shared" si="31"/>
        <v>1.0083154635656701</v>
      </c>
      <c r="Z33" s="330">
        <f t="shared" si="32"/>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21"/>
        <v xml:space="preserve">Van / LCV </v>
      </c>
      <c r="B34" s="792" t="s">
        <v>689</v>
      </c>
      <c r="C34" s="442">
        <v>14581.175917305238</v>
      </c>
      <c r="D34" s="442">
        <v>14391.269995327921</v>
      </c>
      <c r="E34" s="332">
        <f t="shared" si="22"/>
        <v>14294.563247962416</v>
      </c>
      <c r="F34" s="442">
        <v>14197.856500596912</v>
      </c>
      <c r="G34" s="332">
        <f t="shared" si="23"/>
        <v>14327.249958258559</v>
      </c>
      <c r="H34" s="442">
        <v>14456.643415920207</v>
      </c>
      <c r="I34" s="332">
        <f t="shared" si="24"/>
        <v>14506.008189654398</v>
      </c>
      <c r="J34" s="793">
        <v>14555.372963388589</v>
      </c>
      <c r="K34" s="840">
        <f>VehicleCostData2023!AE31</f>
        <v>748081.44432304555</v>
      </c>
      <c r="L34" s="731">
        <f>VehicleCostData2023!AF31</f>
        <v>738338.39635462465</v>
      </c>
      <c r="M34" s="731">
        <f>VehicleCostData2023!AG31</f>
        <v>733376.89505628892</v>
      </c>
      <c r="N34" s="731">
        <f>VehicleCostData2023!AH31</f>
        <v>728415.39375795331</v>
      </c>
      <c r="O34" s="731">
        <f>VehicleCostData2023!AI31</f>
        <v>735053.87375726516</v>
      </c>
      <c r="P34" s="731">
        <f>VehicleCostData2023!AJ31</f>
        <v>741692.35375657689</v>
      </c>
      <c r="Q34" s="731">
        <f>VehicleCostData2023!AK31</f>
        <v>744224.99388403923</v>
      </c>
      <c r="R34" s="841">
        <f>VehicleCostData2023!AL31</f>
        <v>746757.63401150145</v>
      </c>
      <c r="S34" s="330">
        <f t="shared" si="25"/>
        <v>1.2897442594441701</v>
      </c>
      <c r="T34" s="330">
        <f t="shared" si="26"/>
        <v>1.1709935472114554</v>
      </c>
      <c r="U34" s="330">
        <f t="shared" si="27"/>
        <v>1.1420778516362879</v>
      </c>
      <c r="V34" s="330">
        <f t="shared" si="28"/>
        <v>1.1141900201964245</v>
      </c>
      <c r="W34" s="330">
        <f t="shared" si="29"/>
        <v>1.1003154879642831</v>
      </c>
      <c r="X34" s="330">
        <f t="shared" si="30"/>
        <v>1.0870215830947627</v>
      </c>
      <c r="Y34" s="330">
        <f t="shared" si="31"/>
        <v>1.0794171295448189</v>
      </c>
      <c r="Z34" s="330">
        <f t="shared" si="32"/>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21"/>
        <v xml:space="preserve">Van / LCV </v>
      </c>
      <c r="B35" s="792" t="s">
        <v>691</v>
      </c>
      <c r="C35" s="442">
        <v>17244.006666903901</v>
      </c>
      <c r="D35" s="442">
        <v>14975.578208305285</v>
      </c>
      <c r="E35" s="332">
        <f t="shared" si="22"/>
        <v>14582.535049386763</v>
      </c>
      <c r="F35" s="442">
        <v>14189.491890468238</v>
      </c>
      <c r="G35" s="332">
        <f t="shared" si="23"/>
        <v>14227.836500369689</v>
      </c>
      <c r="H35" s="442">
        <v>14266.18111027114</v>
      </c>
      <c r="I35" s="332">
        <f t="shared" si="24"/>
        <v>14253.68100490546</v>
      </c>
      <c r="J35" s="793">
        <v>14241.180899539781</v>
      </c>
      <c r="K35" s="840">
        <f>VehicleCostData2023!AE32</f>
        <v>753824.79524364905</v>
      </c>
      <c r="L35" s="731">
        <f>VehicleCostData2023!AF32</f>
        <v>654660.04476776719</v>
      </c>
      <c r="M35" s="731">
        <f>VehicleCostData2023!AG32</f>
        <v>637478.09369822103</v>
      </c>
      <c r="N35" s="731">
        <f>VehicleCostData2023!AH32</f>
        <v>620296.14262867463</v>
      </c>
      <c r="O35" s="731">
        <f>VehicleCostData2023!AI32</f>
        <v>621972.38401885785</v>
      </c>
      <c r="P35" s="731">
        <f>VehicleCostData2023!AJ32</f>
        <v>623648.62540904095</v>
      </c>
      <c r="Q35" s="731">
        <f>VehicleCostData2023!AK32</f>
        <v>623102.18109654309</v>
      </c>
      <c r="R35" s="841">
        <f>VehicleCostData2023!AL32</f>
        <v>622555.736784045</v>
      </c>
      <c r="S35" s="330">
        <f t="shared" si="25"/>
        <v>1.5252788070447043</v>
      </c>
      <c r="T35" s="330">
        <f t="shared" si="26"/>
        <v>1.2185377283157834</v>
      </c>
      <c r="U35" s="330">
        <f t="shared" si="27"/>
        <v>1.1650856351269399</v>
      </c>
      <c r="V35" s="330">
        <f t="shared" si="28"/>
        <v>1.1135335996214024</v>
      </c>
      <c r="W35" s="330">
        <f t="shared" si="29"/>
        <v>1.0926806545003667</v>
      </c>
      <c r="X35" s="330">
        <f t="shared" si="30"/>
        <v>1.0727003723510204</v>
      </c>
      <c r="Y35" s="330">
        <f t="shared" si="31"/>
        <v>1.0606410278146357</v>
      </c>
      <c r="Z35" s="330">
        <f t="shared" si="32"/>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21"/>
        <v xml:space="preserve">Van / LCV </v>
      </c>
      <c r="B36" s="792" t="s">
        <v>695</v>
      </c>
      <c r="C36" s="442">
        <v>17948.50016215329</v>
      </c>
      <c r="D36" s="442">
        <v>15887.386898316114</v>
      </c>
      <c r="E36" s="332">
        <f t="shared" si="22"/>
        <v>15492.43721685409</v>
      </c>
      <c r="F36" s="442">
        <v>15097.487535392065</v>
      </c>
      <c r="G36" s="332">
        <f t="shared" si="23"/>
        <v>15144.921633117086</v>
      </c>
      <c r="H36" s="442">
        <v>15192.355730842108</v>
      </c>
      <c r="I36" s="332">
        <f t="shared" si="24"/>
        <v>15181.513704920602</v>
      </c>
      <c r="J36" s="793">
        <v>15170.671678999097</v>
      </c>
      <c r="K36" s="840">
        <f>VehicleCostData2023!AE33</f>
        <v>1109386.2692657409</v>
      </c>
      <c r="L36" s="731">
        <f>VehicleCostData2023!AF33</f>
        <v>981990.06715165067</v>
      </c>
      <c r="M36" s="731">
        <f>VehicleCostData2023!AG33</f>
        <v>957578.45895562181</v>
      </c>
      <c r="N36" s="731">
        <f>VehicleCostData2023!AH33</f>
        <v>933166.85075959284</v>
      </c>
      <c r="O36" s="731">
        <f>VehicleCostData2023!AI33</f>
        <v>936098.72452262242</v>
      </c>
      <c r="P36" s="731">
        <f>VehicleCostData2023!AJ33</f>
        <v>939030.59828565188</v>
      </c>
      <c r="Q36" s="731">
        <f>VehicleCostData2023!AK33</f>
        <v>938360.45902166457</v>
      </c>
      <c r="R36" s="841">
        <f>VehicleCostData2023!AL33</f>
        <v>937690.31975767738</v>
      </c>
      <c r="S36" s="330">
        <f t="shared" si="25"/>
        <v>1.5875931530526484</v>
      </c>
      <c r="T36" s="330">
        <f t="shared" si="26"/>
        <v>1.2927300749704318</v>
      </c>
      <c r="U36" s="330">
        <f t="shared" si="27"/>
        <v>1.2377831421856753</v>
      </c>
      <c r="V36" s="330">
        <f t="shared" si="28"/>
        <v>1.1847894040390208</v>
      </c>
      <c r="W36" s="330">
        <f t="shared" si="29"/>
        <v>1.163111684759742</v>
      </c>
      <c r="X36" s="330">
        <f t="shared" si="30"/>
        <v>1.1423411439540987</v>
      </c>
      <c r="Y36" s="330">
        <f t="shared" si="31"/>
        <v>1.129682661919216</v>
      </c>
      <c r="Z36" s="330">
        <f t="shared" si="32"/>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21"/>
        <v xml:space="preserve">Van / LCV </v>
      </c>
      <c r="B37" s="792" t="s">
        <v>839</v>
      </c>
      <c r="C37" s="442">
        <v>21872.524729385099</v>
      </c>
      <c r="D37" s="442">
        <v>16676.133179824523</v>
      </c>
      <c r="E37" s="332">
        <f t="shared" si="22"/>
        <v>15889.36787814397</v>
      </c>
      <c r="F37" s="442">
        <v>15102.602576463418</v>
      </c>
      <c r="G37" s="332">
        <f t="shared" si="23"/>
        <v>15085.19053170866</v>
      </c>
      <c r="H37" s="442">
        <v>15067.778486953905</v>
      </c>
      <c r="I37" s="332">
        <f t="shared" si="24"/>
        <v>15004.514134513698</v>
      </c>
      <c r="J37" s="793">
        <v>14941.24978207349</v>
      </c>
      <c r="K37" s="840">
        <f>VehicleCostData2023!AE34</f>
        <v>1142012.9750268909</v>
      </c>
      <c r="L37" s="731">
        <f>VehicleCostData2023!AF34</f>
        <v>870697.85954113049</v>
      </c>
      <c r="M37" s="731">
        <f>VehicleCostData2023!AG34</f>
        <v>829619.100050095</v>
      </c>
      <c r="N37" s="731">
        <f>VehicleCostData2023!AH34</f>
        <v>788540.3405590594</v>
      </c>
      <c r="O37" s="731">
        <f>VehicleCostData2023!AI34</f>
        <v>787631.21912576805</v>
      </c>
      <c r="P37" s="731">
        <f>VehicleCostData2023!AJ34</f>
        <v>786722.09769247659</v>
      </c>
      <c r="Q37" s="731">
        <f>VehicleCostData2023!AK34</f>
        <v>783418.92568845442</v>
      </c>
      <c r="R37" s="841">
        <f>VehicleCostData2023!AL34</f>
        <v>780115.75368443178</v>
      </c>
      <c r="S37" s="330">
        <f t="shared" si="25"/>
        <v>1.9346836886999574</v>
      </c>
      <c r="T37" s="330">
        <f t="shared" si="26"/>
        <v>1.3569090394630183</v>
      </c>
      <c r="U37" s="330">
        <f t="shared" si="27"/>
        <v>1.2694962983717613</v>
      </c>
      <c r="V37" s="330">
        <f t="shared" si="28"/>
        <v>1.1851908116539207</v>
      </c>
      <c r="W37" s="330">
        <f t="shared" si="29"/>
        <v>1.158524408333049</v>
      </c>
      <c r="X37" s="330">
        <f t="shared" si="30"/>
        <v>1.132973952070552</v>
      </c>
      <c r="Y37" s="330">
        <f t="shared" si="31"/>
        <v>1.1165118181059919</v>
      </c>
      <c r="Z37" s="330">
        <f t="shared" si="32"/>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21"/>
        <v xml:space="preserve">Van / LCV </v>
      </c>
      <c r="B38" s="792" t="s">
        <v>838</v>
      </c>
      <c r="C38" s="442">
        <v>22530.287595513764</v>
      </c>
      <c r="D38" s="442">
        <v>17434.836796625434</v>
      </c>
      <c r="E38" s="332">
        <f t="shared" si="22"/>
        <v>16624.647547676945</v>
      </c>
      <c r="F38" s="442">
        <v>15814.458298728454</v>
      </c>
      <c r="G38" s="332">
        <f t="shared" si="23"/>
        <v>15806.135741797267</v>
      </c>
      <c r="H38" s="442">
        <v>15797.81318486608</v>
      </c>
      <c r="I38" s="332">
        <f t="shared" si="24"/>
        <v>15736.206911870046</v>
      </c>
      <c r="J38" s="793">
        <v>15674.600638874013</v>
      </c>
      <c r="K38" s="840">
        <f>VehicleCostData2023!AE35</f>
        <v>1687747.9336133101</v>
      </c>
      <c r="L38" s="731">
        <f>VehicleCostData2023!AF35</f>
        <v>1306046.7893116956</v>
      </c>
      <c r="M38" s="731">
        <f>VehicleCostData2023!AG35</f>
        <v>1245355.3656025368</v>
      </c>
      <c r="N38" s="731">
        <f>VehicleCostData2023!AH35</f>
        <v>1184663.9418933778</v>
      </c>
      <c r="O38" s="731">
        <f>VehicleCostData2023!AI35</f>
        <v>1184040.497642902</v>
      </c>
      <c r="P38" s="731">
        <f>VehicleCostData2023!AJ35</f>
        <v>1183417.0533924261</v>
      </c>
      <c r="Q38" s="731">
        <f>VehicleCostData2023!AK35</f>
        <v>1178802.1162991519</v>
      </c>
      <c r="R38" s="841">
        <f>VehicleCostData2023!AL35</f>
        <v>1174187.1792058777</v>
      </c>
      <c r="S38" s="330">
        <f t="shared" si="25"/>
        <v>1.9928645847728288</v>
      </c>
      <c r="T38" s="330">
        <f t="shared" si="26"/>
        <v>1.4186434826225371</v>
      </c>
      <c r="U38" s="330">
        <f t="shared" si="27"/>
        <v>1.3282421733429157</v>
      </c>
      <c r="V38" s="330">
        <f t="shared" si="28"/>
        <v>1.2410543528535429</v>
      </c>
      <c r="W38" s="330">
        <f t="shared" si="29"/>
        <v>1.2138921294899554</v>
      </c>
      <c r="X38" s="330">
        <f t="shared" si="30"/>
        <v>1.1878666024740818</v>
      </c>
      <c r="Y38" s="330">
        <f t="shared" si="31"/>
        <v>1.170958341719976</v>
      </c>
      <c r="Z38" s="330">
        <f t="shared" si="32"/>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21"/>
        <v xml:space="preserve">Van / LCV </v>
      </c>
      <c r="B39" s="792" t="s">
        <v>692</v>
      </c>
      <c r="C39" s="442">
        <v>30266.705966079498</v>
      </c>
      <c r="D39" s="442">
        <v>20700.397697957917</v>
      </c>
      <c r="E39" s="332">
        <f t="shared" si="22"/>
        <v>19045.56947060291</v>
      </c>
      <c r="F39" s="442">
        <v>17390.7412432479</v>
      </c>
      <c r="G39" s="332">
        <f t="shared" si="23"/>
        <v>17563.206557000587</v>
      </c>
      <c r="H39" s="442">
        <v>17735.671870753275</v>
      </c>
      <c r="I39" s="332">
        <f t="shared" si="24"/>
        <v>17824.297653410675</v>
      </c>
      <c r="J39" s="793">
        <v>17912.923436068075</v>
      </c>
      <c r="K39" s="840">
        <f>VehicleCostData2023!AE36</f>
        <v>1243115.7793198535</v>
      </c>
      <c r="L39" s="731">
        <f>VehicleCostData2023!AF36</f>
        <v>850207.85034774966</v>
      </c>
      <c r="M39" s="731">
        <f>VehicleCostData2023!AG36</f>
        <v>782240.65617094061</v>
      </c>
      <c r="N39" s="731">
        <f>VehicleCostData2023!AH36</f>
        <v>714273.46199413133</v>
      </c>
      <c r="O39" s="731">
        <f>VehicleCostData2023!AI36</f>
        <v>721356.96665934299</v>
      </c>
      <c r="P39" s="731">
        <f>VehicleCostData2023!AJ36</f>
        <v>728440.47132455476</v>
      </c>
      <c r="Q39" s="731">
        <f>VehicleCostData2023!AK36</f>
        <v>732080.51424826961</v>
      </c>
      <c r="R39" s="841">
        <f>VehicleCostData2023!AL36</f>
        <v>735720.55717198446</v>
      </c>
      <c r="S39" s="330">
        <f t="shared" si="25"/>
        <v>2.6771716145133779</v>
      </c>
      <c r="T39" s="330">
        <f t="shared" si="26"/>
        <v>1.6843567063149421</v>
      </c>
      <c r="U39" s="330">
        <f t="shared" si="27"/>
        <v>1.5216640541484443</v>
      </c>
      <c r="V39" s="330">
        <f t="shared" si="28"/>
        <v>1.3647546258993764</v>
      </c>
      <c r="W39" s="330">
        <f t="shared" si="29"/>
        <v>1.3488330453705932</v>
      </c>
      <c r="X39" s="330">
        <f t="shared" si="30"/>
        <v>1.3335777579576074</v>
      </c>
      <c r="Y39" s="330">
        <f t="shared" si="31"/>
        <v>1.3263367811220979</v>
      </c>
      <c r="Z39" s="330">
        <f t="shared" si="32"/>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21"/>
        <v xml:space="preserve">Van / LCV </v>
      </c>
      <c r="B40" s="792" t="s">
        <v>699</v>
      </c>
      <c r="C40" s="442">
        <v>89397.233323383392</v>
      </c>
      <c r="D40" s="442">
        <v>35742.45176358601</v>
      </c>
      <c r="E40" s="332">
        <f t="shared" si="22"/>
        <v>27438.425753122989</v>
      </c>
      <c r="F40" s="442">
        <v>19134.399742659967</v>
      </c>
      <c r="G40" s="332">
        <f t="shared" si="23"/>
        <v>18221.158014073364</v>
      </c>
      <c r="H40" s="442">
        <v>17307.916285486757</v>
      </c>
      <c r="I40" s="332">
        <f t="shared" si="24"/>
        <v>17072.587033819684</v>
      </c>
      <c r="J40" s="793">
        <v>16837.25778215261</v>
      </c>
      <c r="K40" s="840">
        <f>VehicleCostData2023!AE37</f>
        <v>8953673.1248607747</v>
      </c>
      <c r="L40" s="731">
        <f>VehicleCostData2023!AF37</f>
        <v>3579822.5277799987</v>
      </c>
      <c r="M40" s="731">
        <f>VehicleCostData2023!AG37</f>
        <v>2748124.143456737</v>
      </c>
      <c r="N40" s="731">
        <f>VehicleCostData2023!AH37</f>
        <v>1916425.7591334756</v>
      </c>
      <c r="O40" s="731">
        <f>VehicleCostData2023!AI37</f>
        <v>1824959.0814996336</v>
      </c>
      <c r="P40" s="731">
        <f>VehicleCostData2023!AJ37</f>
        <v>1733492.4038657914</v>
      </c>
      <c r="Q40" s="731">
        <f>VehicleCostData2023!AK37</f>
        <v>1709922.7572692011</v>
      </c>
      <c r="R40" s="841">
        <f>VehicleCostData2023!AL37</f>
        <v>1686353.1106726106</v>
      </c>
      <c r="S40" s="330">
        <f t="shared" si="25"/>
        <v>7.9074259266143905</v>
      </c>
      <c r="T40" s="330">
        <f t="shared" si="26"/>
        <v>2.9083034638543888</v>
      </c>
      <c r="U40" s="330">
        <f t="shared" si="27"/>
        <v>2.1922193629018594</v>
      </c>
      <c r="V40" s="330">
        <f t="shared" si="28"/>
        <v>1.5015898515965738</v>
      </c>
      <c r="W40" s="330">
        <f t="shared" si="29"/>
        <v>1.3993629223989856</v>
      </c>
      <c r="X40" s="330">
        <f t="shared" si="30"/>
        <v>1.3014140294836807</v>
      </c>
      <c r="Y40" s="330">
        <f t="shared" si="31"/>
        <v>1.2704006952851989</v>
      </c>
      <c r="Z40" s="330">
        <f t="shared" si="32"/>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21"/>
        <v xml:space="preserve">Van / LCV </v>
      </c>
      <c r="B41" s="792" t="s">
        <v>837</v>
      </c>
      <c r="C41" s="442">
        <v>93147.376244808911</v>
      </c>
      <c r="D41" s="442">
        <v>37446.557579359069</v>
      </c>
      <c r="E41" s="332">
        <f t="shared" si="22"/>
        <v>28874.627869843178</v>
      </c>
      <c r="F41" s="442">
        <v>20302.698160327291</v>
      </c>
      <c r="G41" s="332">
        <f t="shared" si="23"/>
        <v>19342.312720809401</v>
      </c>
      <c r="H41" s="442">
        <v>18381.927281291511</v>
      </c>
      <c r="I41" s="332">
        <f t="shared" si="24"/>
        <v>18103.33880463173</v>
      </c>
      <c r="J41" s="793">
        <v>17824.750327971949</v>
      </c>
      <c r="K41" s="840">
        <f>VehicleCostData2023!AE38</f>
        <v>9795190.9917461928</v>
      </c>
      <c r="L41" s="731">
        <f>VehicleCostData2023!AF38</f>
        <v>3937804.7805579989</v>
      </c>
      <c r="M41" s="731">
        <f>VehicleCostData2023!AG38</f>
        <v>3036397.8697303743</v>
      </c>
      <c r="N41" s="731">
        <f>VehicleCostData2023!AH38</f>
        <v>2134990.9589027506</v>
      </c>
      <c r="O41" s="731">
        <f>VehicleCostData2023!AI38</f>
        <v>2033998.7550961073</v>
      </c>
      <c r="P41" s="731">
        <f>VehicleCostData2023!AJ38</f>
        <v>1933006.5512894636</v>
      </c>
      <c r="Q41" s="731">
        <f>VehicleCostData2023!AK38</f>
        <v>1903710.7466517647</v>
      </c>
      <c r="R41" s="841">
        <f>VehicleCostData2023!AL38</f>
        <v>1874414.9420140656</v>
      </c>
      <c r="S41" s="330">
        <f t="shared" si="25"/>
        <v>8.2391361626361252</v>
      </c>
      <c r="T41" s="330">
        <f t="shared" si="26"/>
        <v>3.0469637012541178</v>
      </c>
      <c r="U41" s="330">
        <f t="shared" si="27"/>
        <v>2.3069661095863436</v>
      </c>
      <c r="V41" s="330">
        <f t="shared" si="28"/>
        <v>1.5932731586874349</v>
      </c>
      <c r="W41" s="330">
        <f t="shared" si="29"/>
        <v>1.4854662494031066</v>
      </c>
      <c r="X41" s="330">
        <f t="shared" si="30"/>
        <v>1.3821708897957501</v>
      </c>
      <c r="Y41" s="330">
        <f t="shared" si="31"/>
        <v>1.3471007152477332</v>
      </c>
      <c r="Z41" s="330">
        <f t="shared" si="32"/>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21"/>
        <v xml:space="preserve">Van / LCV </v>
      </c>
      <c r="B42" s="792" t="s">
        <v>836</v>
      </c>
      <c r="C42" s="442">
        <v>63892.000362104511</v>
      </c>
      <c r="D42" s="442">
        <v>28828.821424319947</v>
      </c>
      <c r="E42" s="332">
        <f t="shared" si="22"/>
        <v>23564.877441733282</v>
      </c>
      <c r="F42" s="442">
        <v>18300.933459146618</v>
      </c>
      <c r="G42" s="332">
        <f t="shared" si="23"/>
        <v>17735.79136497252</v>
      </c>
      <c r="H42" s="442">
        <v>17170.649270798422</v>
      </c>
      <c r="I42" s="332">
        <f t="shared" si="24"/>
        <v>16943.796547064114</v>
      </c>
      <c r="J42" s="793">
        <v>16716.943823329806</v>
      </c>
      <c r="K42" s="840">
        <f>VehicleCostData2023!AE39</f>
        <v>8727176.9026625566</v>
      </c>
      <c r="L42" s="731">
        <f>VehicleCostData2023!AF39</f>
        <v>3937804.7805579985</v>
      </c>
      <c r="M42" s="731">
        <f>VehicleCostData2023!AG39</f>
        <v>3218788.7835414554</v>
      </c>
      <c r="N42" s="731">
        <f>VehicleCostData2023!AH39</f>
        <v>2499772.7865249128</v>
      </c>
      <c r="O42" s="731">
        <f>VehicleCostData2023!AI39</f>
        <v>2422578.5368059156</v>
      </c>
      <c r="P42" s="731">
        <f>VehicleCostData2023!AJ39</f>
        <v>2345384.287086919</v>
      </c>
      <c r="Q42" s="731">
        <f>VehicleCostData2023!AK39</f>
        <v>2314397.8750218744</v>
      </c>
      <c r="R42" s="841">
        <f>VehicleCostData2023!AL39</f>
        <v>2283411.4629568299</v>
      </c>
      <c r="S42" s="330">
        <f t="shared" si="25"/>
        <v>5.6514194162920681</v>
      </c>
      <c r="T42" s="330">
        <f t="shared" si="26"/>
        <v>2.3457529372007864</v>
      </c>
      <c r="U42" s="330">
        <f t="shared" si="27"/>
        <v>1.8827385024557088</v>
      </c>
      <c r="V42" s="330">
        <f t="shared" si="28"/>
        <v>1.4361828082712849</v>
      </c>
      <c r="W42" s="330">
        <f t="shared" si="29"/>
        <v>1.362087350122176</v>
      </c>
      <c r="X42" s="330">
        <f t="shared" si="30"/>
        <v>1.2910926704157184</v>
      </c>
      <c r="Y42" s="330">
        <f t="shared" si="31"/>
        <v>1.2608171726710642</v>
      </c>
      <c r="Z42" s="330">
        <f t="shared" si="32"/>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21"/>
        <v xml:space="preserve">Van / LCV </v>
      </c>
      <c r="B43" s="792" t="s">
        <v>700</v>
      </c>
      <c r="C43" s="468">
        <v>13192.267722867144</v>
      </c>
      <c r="D43" s="468">
        <v>13865.866014584546</v>
      </c>
      <c r="E43" s="332">
        <f t="shared" si="22"/>
        <v>14011.820937842185</v>
      </c>
      <c r="F43" s="468">
        <v>14157.775861099826</v>
      </c>
      <c r="G43" s="332">
        <f t="shared" si="23"/>
        <v>14366.961685106786</v>
      </c>
      <c r="H43" s="468">
        <v>14576.147509113745</v>
      </c>
      <c r="I43" s="332">
        <f t="shared" si="24"/>
        <v>14667.876634420591</v>
      </c>
      <c r="J43" s="794">
        <v>14759.605759727438</v>
      </c>
      <c r="K43" s="840">
        <f>VehicleCostData2023!AE40</f>
        <v>515144.81980383256</v>
      </c>
      <c r="L43" s="731">
        <f>VehicleCostData2023!AF40</f>
        <v>541448.15732672473</v>
      </c>
      <c r="M43" s="731">
        <f>VehicleCostData2023!AG40</f>
        <v>547147.5506547353</v>
      </c>
      <c r="N43" s="731">
        <f>VehicleCostData2023!AH40</f>
        <v>552846.94398274599</v>
      </c>
      <c r="O43" s="731">
        <f>VehicleCostData2023!AI40</f>
        <v>561015.44055038248</v>
      </c>
      <c r="P43" s="731">
        <f>VehicleCostData2023!AJ40</f>
        <v>569183.93711801898</v>
      </c>
      <c r="Q43" s="731">
        <f>VehicleCostData2023!AK40</f>
        <v>572765.86743656825</v>
      </c>
      <c r="R43" s="841">
        <f>VehicleCostData2023!AL40</f>
        <v>576347.79775511764</v>
      </c>
      <c r="S43" s="330">
        <f t="shared" si="25"/>
        <v>1.166891590987883</v>
      </c>
      <c r="T43" s="330">
        <f t="shared" si="26"/>
        <v>1.12824230487291</v>
      </c>
      <c r="U43" s="330">
        <f t="shared" si="27"/>
        <v>1.1194878833730166</v>
      </c>
      <c r="V43" s="330">
        <f t="shared" si="28"/>
        <v>1.1110446546598123</v>
      </c>
      <c r="W43" s="330">
        <f t="shared" si="29"/>
        <v>1.1033653006102699</v>
      </c>
      <c r="X43" s="330">
        <f t="shared" si="30"/>
        <v>1.0960073154554633</v>
      </c>
      <c r="Y43" s="330">
        <f t="shared" si="31"/>
        <v>1.0914620401590305</v>
      </c>
      <c r="Z43" s="330">
        <f t="shared" si="32"/>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21"/>
        <v xml:space="preserve">Van / LCV </v>
      </c>
      <c r="B44" s="795"/>
      <c r="C44" s="457"/>
      <c r="D44" s="457"/>
      <c r="E44" s="458"/>
      <c r="F44" s="457"/>
      <c r="G44" s="457"/>
      <c r="H44" s="457"/>
      <c r="I44" s="457"/>
      <c r="J44" s="796"/>
      <c r="K44" s="842">
        <f>VehicleCostData2023!AE41</f>
        <v>0</v>
      </c>
      <c r="L44" s="457">
        <f>VehicleCostData2023!AF41</f>
        <v>0</v>
      </c>
      <c r="M44" s="457">
        <f>VehicleCostData2023!AG41</f>
        <v>0</v>
      </c>
      <c r="N44" s="457">
        <f>VehicleCostData2023!AH41</f>
        <v>0</v>
      </c>
      <c r="O44" s="457">
        <f>VehicleCostData2023!AI41</f>
        <v>0</v>
      </c>
      <c r="P44" s="457">
        <f>VehicleCostData2023!AJ41</f>
        <v>0</v>
      </c>
      <c r="Q44" s="457">
        <f>VehicleCostData2023!AK41</f>
        <v>0</v>
      </c>
      <c r="R44" s="843">
        <f>VehicleCostData2023!AL41</f>
        <v>0</v>
      </c>
      <c r="AB44" s="464"/>
      <c r="AE44" s="463"/>
      <c r="AF44" s="463"/>
    </row>
    <row r="45" spans="1:43" x14ac:dyDescent="0.2">
      <c r="A45" s="322" t="str">
        <f t="shared" si="21"/>
        <v xml:space="preserve">Van / LCV </v>
      </c>
      <c r="B45" s="786" t="s">
        <v>832</v>
      </c>
      <c r="C45" s="456" t="s">
        <v>831</v>
      </c>
      <c r="D45" s="455">
        <v>0.08</v>
      </c>
      <c r="E45" s="454"/>
      <c r="F45" s="453"/>
      <c r="G45" s="453"/>
      <c r="H45" s="453"/>
      <c r="I45" s="453"/>
      <c r="J45" s="787"/>
      <c r="K45" s="844">
        <f>VehicleCostData2023!AE42</f>
        <v>0</v>
      </c>
      <c r="L45" s="453">
        <f>VehicleCostData2023!AF42</f>
        <v>0</v>
      </c>
      <c r="M45" s="453">
        <f>VehicleCostData2023!AG42</f>
        <v>0</v>
      </c>
      <c r="N45" s="453">
        <f>VehicleCostData2023!AH42</f>
        <v>0</v>
      </c>
      <c r="O45" s="453">
        <f>VehicleCostData2023!AI42</f>
        <v>0</v>
      </c>
      <c r="P45" s="453">
        <f>VehicleCostData2023!AJ42</f>
        <v>0</v>
      </c>
      <c r="Q45" s="453">
        <f>VehicleCostData2023!AK42</f>
        <v>0</v>
      </c>
      <c r="R45" s="835">
        <f>VehicleCostData2023!AL42</f>
        <v>0</v>
      </c>
      <c r="AB45" s="452" t="s">
        <v>816</v>
      </c>
      <c r="AC45" s="322" t="s">
        <v>834</v>
      </c>
      <c r="AE45" s="463"/>
      <c r="AF45" s="463"/>
    </row>
    <row r="46" spans="1:43" x14ac:dyDescent="0.2">
      <c r="A46" s="322" t="str">
        <f>B46</f>
        <v>Small Rigid Truck</v>
      </c>
      <c r="B46" s="788" t="s">
        <v>725</v>
      </c>
      <c r="C46" s="351">
        <v>2010</v>
      </c>
      <c r="D46" s="351">
        <v>2020</v>
      </c>
      <c r="E46" s="354"/>
      <c r="F46" s="351">
        <v>2030</v>
      </c>
      <c r="G46" s="351"/>
      <c r="H46" s="351">
        <v>2040</v>
      </c>
      <c r="I46" s="351"/>
      <c r="J46" s="789">
        <v>2050</v>
      </c>
      <c r="K46" s="836">
        <f>VehicleCostData2023!AE43</f>
        <v>2010</v>
      </c>
      <c r="L46" s="353">
        <f>VehicleCostData2023!AF43</f>
        <v>2020</v>
      </c>
      <c r="M46" s="353">
        <f>VehicleCostData2023!AG43</f>
        <v>0</v>
      </c>
      <c r="N46" s="353">
        <f>VehicleCostData2023!AH43</f>
        <v>2030</v>
      </c>
      <c r="O46" s="353">
        <f>VehicleCostData2023!AI43</f>
        <v>0</v>
      </c>
      <c r="P46" s="353">
        <f>VehicleCostData2023!AJ43</f>
        <v>2040</v>
      </c>
      <c r="Q46" s="353">
        <f>VehicleCostData2023!AK43</f>
        <v>0</v>
      </c>
      <c r="R46" s="837">
        <f>VehicleCostData2023!AL43</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90" t="s">
        <v>791</v>
      </c>
      <c r="C47" s="448" t="s">
        <v>193</v>
      </c>
      <c r="D47" s="448" t="s">
        <v>193</v>
      </c>
      <c r="E47" s="462"/>
      <c r="F47" s="448" t="s">
        <v>193</v>
      </c>
      <c r="G47" s="448"/>
      <c r="H47" s="448" t="s">
        <v>193</v>
      </c>
      <c r="I47" s="448"/>
      <c r="J47" s="791" t="s">
        <v>193</v>
      </c>
      <c r="K47" s="802" t="s">
        <v>1314</v>
      </c>
      <c r="L47" s="322" t="s">
        <v>1314</v>
      </c>
      <c r="M47" s="322" t="s">
        <v>1314</v>
      </c>
      <c r="N47" s="322" t="s">
        <v>1314</v>
      </c>
      <c r="O47" s="322" t="s">
        <v>1314</v>
      </c>
      <c r="P47" s="322" t="s">
        <v>1314</v>
      </c>
      <c r="Q47" s="322" t="s">
        <v>1314</v>
      </c>
      <c r="R47" s="832" t="s">
        <v>1314</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92"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93">
        <v>40824.618068870353</v>
      </c>
      <c r="K48" s="840">
        <f>VehicleCostData2023!AE45</f>
        <v>446255.01297274197</v>
      </c>
      <c r="L48" s="731">
        <f>VehicleCostData2023!AF45</f>
        <v>536973.37916699972</v>
      </c>
      <c r="M48" s="731">
        <f>VehicleCostData2023!AG45</f>
        <v>553963.09506504517</v>
      </c>
      <c r="N48" s="731">
        <f>VehicleCostData2023!AH45</f>
        <v>570952.81096309063</v>
      </c>
      <c r="O48" s="731">
        <f>VehicleCostData2023!AI45</f>
        <v>586167.38460265577</v>
      </c>
      <c r="P48" s="731">
        <f>VehicleCostData2023!AJ45</f>
        <v>601381.95824222104</v>
      </c>
      <c r="Q48" s="731">
        <f>VehicleCostData2023!AK45</f>
        <v>611371.75055647385</v>
      </c>
      <c r="R48" s="841">
        <f>VehicleCostData2023!AL45</f>
        <v>621361.5428707269</v>
      </c>
      <c r="S48" s="330">
        <f t="shared" ref="S48:S56" si="33">C48/C$48</f>
        <v>1</v>
      </c>
      <c r="T48" s="330">
        <f t="shared" ref="T48:T56" si="34">D48/D$48</f>
        <v>1</v>
      </c>
      <c r="U48" s="330">
        <f t="shared" ref="U48:U56" si="35">E48/E$48</f>
        <v>1</v>
      </c>
      <c r="V48" s="330">
        <f t="shared" ref="V48:V56" si="36">F48/F$48</f>
        <v>1</v>
      </c>
      <c r="W48" s="330">
        <f t="shared" ref="W48:W56" si="37">G48/G$48</f>
        <v>1</v>
      </c>
      <c r="X48" s="330">
        <f t="shared" ref="X48:X56" si="38">H48/H$48</f>
        <v>1</v>
      </c>
      <c r="Y48" s="330">
        <f t="shared" ref="Y48:Y56" si="39">I48/I$48</f>
        <v>1</v>
      </c>
      <c r="Z48" s="330">
        <f t="shared" ref="Z48:Z56" si="40">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803"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793">
        <f>J48*'Vehicle data-proc2023'!$H$106</f>
        <v>32165.176311322364</v>
      </c>
      <c r="K49" s="840">
        <f>VehicleCostData2023!AE46</f>
        <v>446255.01297274203</v>
      </c>
      <c r="L49" s="731">
        <f>VehicleCostData2023!AF46</f>
        <v>536973.37916699972</v>
      </c>
      <c r="M49" s="731">
        <f>VehicleCostData2023!AG46</f>
        <v>553963.09506504517</v>
      </c>
      <c r="N49" s="731">
        <f>VehicleCostData2023!AH46</f>
        <v>570952.81096309063</v>
      </c>
      <c r="O49" s="731">
        <f>VehicleCostData2023!AI46</f>
        <v>586167.38460265589</v>
      </c>
      <c r="P49" s="731">
        <f>VehicleCostData2023!AJ46</f>
        <v>601381.95824222092</v>
      </c>
      <c r="Q49" s="731">
        <f>VehicleCostData2023!AK46</f>
        <v>611371.75055647385</v>
      </c>
      <c r="R49" s="841">
        <f>VehicleCostData2023!AL46</f>
        <v>621361.5428707269</v>
      </c>
      <c r="S49" s="330">
        <f t="shared" si="33"/>
        <v>0.78788676619240683</v>
      </c>
      <c r="T49" s="330">
        <f t="shared" si="34"/>
        <v>0.78788676619240683</v>
      </c>
      <c r="U49" s="330">
        <f t="shared" si="35"/>
        <v>0.78788676619240683</v>
      </c>
      <c r="V49" s="330">
        <f t="shared" si="36"/>
        <v>0.78788676619240683</v>
      </c>
      <c r="W49" s="330">
        <f t="shared" si="37"/>
        <v>0.78788676619240683</v>
      </c>
      <c r="X49" s="330">
        <f t="shared" si="38"/>
        <v>0.78788676619240683</v>
      </c>
      <c r="Y49" s="330">
        <f t="shared" si="39"/>
        <v>0.78788676619240683</v>
      </c>
      <c r="Z49" s="330">
        <f t="shared" si="40"/>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792" t="s">
        <v>829</v>
      </c>
      <c r="C50" s="442">
        <v>35669.354783651295</v>
      </c>
      <c r="D50" s="442">
        <v>39884.927570945212</v>
      </c>
      <c r="E50" s="332">
        <f t="shared" ref="E50:E56" si="41">AVERAGE(D50,F50)</f>
        <v>40227.826617070168</v>
      </c>
      <c r="F50" s="442">
        <v>40570.725663195117</v>
      </c>
      <c r="G50" s="332">
        <f t="shared" ref="G50:G56" si="42">AVERAGE(F50,H50)</f>
        <v>41186.286477136309</v>
      </c>
      <c r="H50" s="442">
        <v>41801.847291077502</v>
      </c>
      <c r="I50" s="332">
        <f t="shared" ref="I50:I56" si="43">AVERAGE(H50,J50)</f>
        <v>42208.318748892634</v>
      </c>
      <c r="J50" s="793">
        <v>42614.790206707767</v>
      </c>
      <c r="K50" s="840">
        <f>VehicleCostData2023!AE47</f>
        <v>0</v>
      </c>
      <c r="L50" s="731">
        <f>VehicleCostData2023!AF47</f>
        <v>0</v>
      </c>
      <c r="M50" s="731">
        <f>VehicleCostData2023!AG47</f>
        <v>0</v>
      </c>
      <c r="N50" s="731">
        <f>VehicleCostData2023!AH47</f>
        <v>0</v>
      </c>
      <c r="O50" s="731">
        <f>VehicleCostData2023!AI47</f>
        <v>0</v>
      </c>
      <c r="P50" s="731">
        <f>VehicleCostData2023!AJ47</f>
        <v>0</v>
      </c>
      <c r="Q50" s="731">
        <f>VehicleCostData2023!AK47</f>
        <v>0</v>
      </c>
      <c r="R50" s="841">
        <f>VehicleCostData2023!AL47</f>
        <v>0</v>
      </c>
      <c r="S50" s="330">
        <f t="shared" si="33"/>
        <v>1.2165623892790012</v>
      </c>
      <c r="T50" s="330">
        <f t="shared" si="34"/>
        <v>1.1305201098732205</v>
      </c>
      <c r="U50" s="330">
        <f t="shared" si="35"/>
        <v>1.1052689677944478</v>
      </c>
      <c r="V50" s="330">
        <f t="shared" si="36"/>
        <v>1.0815206109609068</v>
      </c>
      <c r="W50" s="330">
        <f t="shared" si="37"/>
        <v>1.0694321258464121</v>
      </c>
      <c r="X50" s="330">
        <f t="shared" si="38"/>
        <v>1.0579553024036537</v>
      </c>
      <c r="Y50" s="330">
        <f t="shared" si="39"/>
        <v>1.0507875684183334</v>
      </c>
      <c r="Z50" s="330">
        <f t="shared" si="40"/>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44">A50</f>
        <v>Small Rigid Truck</v>
      </c>
      <c r="B51" s="792" t="s">
        <v>828</v>
      </c>
      <c r="C51" s="442">
        <v>36209.955757295749</v>
      </c>
      <c r="D51" s="442">
        <v>38227.4132830854</v>
      </c>
      <c r="E51" s="332">
        <f t="shared" si="41"/>
        <v>38919.452372247106</v>
      </c>
      <c r="F51" s="442">
        <v>39611.491461408819</v>
      </c>
      <c r="G51" s="332">
        <f t="shared" si="42"/>
        <v>40485.614094740085</v>
      </c>
      <c r="H51" s="442">
        <v>41359.736728071344</v>
      </c>
      <c r="I51" s="332">
        <f t="shared" si="43"/>
        <v>41811.402311297265</v>
      </c>
      <c r="J51" s="793">
        <v>42263.067894523185</v>
      </c>
      <c r="K51" s="840">
        <f>VehicleCostData2023!AE48</f>
        <v>0</v>
      </c>
      <c r="L51" s="731">
        <f>VehicleCostData2023!AF48</f>
        <v>0</v>
      </c>
      <c r="M51" s="731">
        <f>VehicleCostData2023!AG48</f>
        <v>0</v>
      </c>
      <c r="N51" s="731">
        <f>VehicleCostData2023!AH48</f>
        <v>0</v>
      </c>
      <c r="O51" s="731">
        <f>VehicleCostData2023!AI48</f>
        <v>0</v>
      </c>
      <c r="P51" s="731">
        <f>VehicleCostData2023!AJ48</f>
        <v>0</v>
      </c>
      <c r="Q51" s="731">
        <f>VehicleCostData2023!AK48</f>
        <v>0</v>
      </c>
      <c r="R51" s="841">
        <f>VehicleCostData2023!AL48</f>
        <v>0</v>
      </c>
      <c r="S51" s="330">
        <f t="shared" si="33"/>
        <v>1.2350004803555712</v>
      </c>
      <c r="T51" s="330">
        <f t="shared" si="34"/>
        <v>1.0835386221547183</v>
      </c>
      <c r="U51" s="330">
        <f t="shared" si="35"/>
        <v>1.0693210786671046</v>
      </c>
      <c r="V51" s="330">
        <f t="shared" si="36"/>
        <v>1.0559496717427392</v>
      </c>
      <c r="W51" s="330">
        <f t="shared" si="37"/>
        <v>1.0512386537099077</v>
      </c>
      <c r="X51" s="330">
        <f t="shared" si="38"/>
        <v>1.046766007080792</v>
      </c>
      <c r="Y51" s="330">
        <f t="shared" si="39"/>
        <v>1.0409062258136355</v>
      </c>
      <c r="Z51" s="330">
        <f t="shared" si="40"/>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44"/>
        <v>Small Rigid Truck</v>
      </c>
      <c r="B52" s="792" t="s">
        <v>689</v>
      </c>
      <c r="C52" s="442">
        <v>37168.384735655469</v>
      </c>
      <c r="D52" s="442">
        <v>38999.227156820401</v>
      </c>
      <c r="E52" s="332">
        <f t="shared" si="41"/>
        <v>39111.830061309956</v>
      </c>
      <c r="F52" s="442">
        <v>39224.432965799504</v>
      </c>
      <c r="G52" s="332">
        <f t="shared" si="42"/>
        <v>39512.013612509909</v>
      </c>
      <c r="H52" s="442">
        <v>39799.594259220306</v>
      </c>
      <c r="I52" s="332">
        <f t="shared" si="43"/>
        <v>40104.585122615928</v>
      </c>
      <c r="J52" s="793">
        <v>40409.575986011558</v>
      </c>
      <c r="K52" s="840">
        <f>VehicleCostData2023!AE49</f>
        <v>767647.25629416504</v>
      </c>
      <c r="L52" s="731">
        <f>VehicleCostData2023!AF49</f>
        <v>805460.06875049963</v>
      </c>
      <c r="M52" s="731">
        <f>VehicleCostData2023!AG49</f>
        <v>807785.68261015275</v>
      </c>
      <c r="N52" s="731">
        <f>VehicleCostData2023!AH49</f>
        <v>810111.29646980576</v>
      </c>
      <c r="O52" s="731">
        <f>VehicleCostData2023!AI49</f>
        <v>816050.76615568553</v>
      </c>
      <c r="P52" s="731">
        <f>VehicleCostData2023!AJ49</f>
        <v>821990.2358415653</v>
      </c>
      <c r="Q52" s="731">
        <f>VehicleCostData2023!AK49</f>
        <v>828289.28276398487</v>
      </c>
      <c r="R52" s="841">
        <f>VehicleCostData2023!AL49</f>
        <v>834588.32968640467</v>
      </c>
      <c r="S52" s="330">
        <f t="shared" si="33"/>
        <v>1.2676892871741894</v>
      </c>
      <c r="T52" s="330">
        <f t="shared" si="34"/>
        <v>1.1054153349501603</v>
      </c>
      <c r="U52" s="330">
        <f t="shared" si="35"/>
        <v>1.0746067007774214</v>
      </c>
      <c r="V52" s="330">
        <f t="shared" si="36"/>
        <v>1.0456315979640207</v>
      </c>
      <c r="W52" s="330">
        <f t="shared" si="37"/>
        <v>1.0259584033524372</v>
      </c>
      <c r="X52" s="330">
        <f t="shared" si="38"/>
        <v>1.0072806468781008</v>
      </c>
      <c r="Y52" s="330">
        <f t="shared" si="39"/>
        <v>0.99841454795034379</v>
      </c>
      <c r="Z52" s="330">
        <f t="shared" si="40"/>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44"/>
        <v>Small Rigid Truck</v>
      </c>
      <c r="B53" s="792" t="s">
        <v>692</v>
      </c>
      <c r="C53" s="442">
        <v>98258.953517306407</v>
      </c>
      <c r="D53" s="442">
        <v>64495.792840614806</v>
      </c>
      <c r="E53" s="332">
        <f t="shared" si="41"/>
        <v>58565.260766379783</v>
      </c>
      <c r="F53" s="442">
        <v>52634.728692144752</v>
      </c>
      <c r="G53" s="332">
        <f t="shared" si="42"/>
        <v>53056.923719918734</v>
      </c>
      <c r="H53" s="442">
        <v>53479.118747692715</v>
      </c>
      <c r="I53" s="332">
        <f t="shared" si="43"/>
        <v>53610.51498168605</v>
      </c>
      <c r="J53" s="793">
        <v>53741.911215679378</v>
      </c>
      <c r="K53" s="840">
        <f>VehicleCostData2023!AE50</f>
        <v>1636151.4442962299</v>
      </c>
      <c r="L53" s="731">
        <f>VehicleCostData2023!AF50</f>
        <v>1073946.7583339994</v>
      </c>
      <c r="M53" s="731">
        <f>VehicleCostData2023!AG50</f>
        <v>975194.95739002037</v>
      </c>
      <c r="N53" s="731">
        <f>VehicleCostData2023!AH50</f>
        <v>876443.15644604096</v>
      </c>
      <c r="O53" s="731">
        <f>VehicleCostData2023!AI50</f>
        <v>883473.30463854573</v>
      </c>
      <c r="P53" s="731">
        <f>VehicleCostData2023!AJ50</f>
        <v>890503.45283105015</v>
      </c>
      <c r="Q53" s="731">
        <f>VehicleCostData2023!AK50</f>
        <v>892691.38716504874</v>
      </c>
      <c r="R53" s="841">
        <f>VehicleCostData2023!AL50</f>
        <v>894879.3214990471</v>
      </c>
      <c r="S53" s="330">
        <f t="shared" si="33"/>
        <v>3.3512842602316359</v>
      </c>
      <c r="T53" s="330">
        <f t="shared" si="34"/>
        <v>1.8281038790615101</v>
      </c>
      <c r="U53" s="330">
        <f t="shared" si="35"/>
        <v>1.6090942702930351</v>
      </c>
      <c r="V53" s="330">
        <f t="shared" si="36"/>
        <v>1.4031187020283344</v>
      </c>
      <c r="W53" s="330">
        <f t="shared" si="37"/>
        <v>1.3776619253149238</v>
      </c>
      <c r="X53" s="330">
        <f t="shared" si="38"/>
        <v>1.3534932284935812</v>
      </c>
      <c r="Y53" s="330">
        <f t="shared" si="39"/>
        <v>1.3346483430055707</v>
      </c>
      <c r="Z53" s="330">
        <f t="shared" si="40"/>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44"/>
        <v>Small Rigid Truck</v>
      </c>
      <c r="B54" s="792" t="s">
        <v>699</v>
      </c>
      <c r="C54" s="442">
        <v>186705.6549520159</v>
      </c>
      <c r="D54" s="442">
        <v>79994.586312453306</v>
      </c>
      <c r="E54" s="332">
        <f t="shared" si="41"/>
        <v>63025.263123564284</v>
      </c>
      <c r="F54" s="442">
        <v>46055.939934675262</v>
      </c>
      <c r="G54" s="332">
        <f t="shared" si="42"/>
        <v>43953.965599473762</v>
      </c>
      <c r="H54" s="442">
        <v>41851.991264272263</v>
      </c>
      <c r="I54" s="332">
        <f t="shared" si="43"/>
        <v>41106.818849390285</v>
      </c>
      <c r="J54" s="793">
        <v>40361.6464345083</v>
      </c>
      <c r="K54" s="840">
        <f>VehicleCostData2023!AE51</f>
        <v>8355229.278272992</v>
      </c>
      <c r="L54" s="731">
        <f>VehicleCostData2023!AF51</f>
        <v>3579822.5277799983</v>
      </c>
      <c r="M54" s="731">
        <f>VehicleCostData2023!AG51</f>
        <v>2820431.5710533736</v>
      </c>
      <c r="N54" s="731">
        <f>VehicleCostData2023!AH51</f>
        <v>2061040.6143267497</v>
      </c>
      <c r="O54" s="731">
        <f>VehicleCostData2023!AI51</f>
        <v>1966975.5603669882</v>
      </c>
      <c r="P54" s="731">
        <f>VehicleCostData2023!AJ51</f>
        <v>1872910.5064072267</v>
      </c>
      <c r="Q54" s="731">
        <f>VehicleCostData2023!AK51</f>
        <v>1839563.4373011333</v>
      </c>
      <c r="R54" s="841">
        <f>VehicleCostData2023!AL51</f>
        <v>1806216.3681950399</v>
      </c>
      <c r="S54" s="330">
        <f t="shared" si="33"/>
        <v>6.3679054207179622</v>
      </c>
      <c r="T54" s="330">
        <f t="shared" si="34"/>
        <v>2.267410122441758</v>
      </c>
      <c r="U54" s="330">
        <f t="shared" si="35"/>
        <v>1.7316338807127127</v>
      </c>
      <c r="V54" s="330">
        <f t="shared" si="36"/>
        <v>1.2277435880747822</v>
      </c>
      <c r="W54" s="330">
        <f t="shared" si="37"/>
        <v>1.1412969434988889</v>
      </c>
      <c r="X54" s="330">
        <f t="shared" si="38"/>
        <v>1.0592243870437554</v>
      </c>
      <c r="Y54" s="330">
        <f t="shared" si="39"/>
        <v>1.0233654290079244</v>
      </c>
      <c r="Z54" s="330">
        <f t="shared" si="40"/>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44"/>
        <v>Small Rigid Truck</v>
      </c>
      <c r="B55" s="792" t="s">
        <v>827</v>
      </c>
      <c r="C55" s="442">
        <v>46317.339930537317</v>
      </c>
      <c r="D55" s="442">
        <v>45451.674961545068</v>
      </c>
      <c r="E55" s="332">
        <f t="shared" si="41"/>
        <v>45628.700300804441</v>
      </c>
      <c r="F55" s="442">
        <v>45805.725640063807</v>
      </c>
      <c r="G55" s="332">
        <f t="shared" si="42"/>
        <v>46283.513838402505</v>
      </c>
      <c r="H55" s="442">
        <v>46761.302036741195</v>
      </c>
      <c r="I55" s="332">
        <f t="shared" si="43"/>
        <v>47093.283384632814</v>
      </c>
      <c r="J55" s="793">
        <v>47425.264732524425</v>
      </c>
      <c r="K55" s="840">
        <f>VehicleCostData2023!AE52</f>
        <v>704962.23020030698</v>
      </c>
      <c r="L55" s="731">
        <f>VehicleCostData2023!AF52</f>
        <v>691786.57917927962</v>
      </c>
      <c r="M55" s="731">
        <f>VehicleCostData2023!AG52</f>
        <v>694480.95191643189</v>
      </c>
      <c r="N55" s="731">
        <f>VehicleCostData2023!AH52</f>
        <v>697175.32465358404</v>
      </c>
      <c r="O55" s="731">
        <f>VehicleCostData2023!AI52</f>
        <v>704447.38808316283</v>
      </c>
      <c r="P55" s="731">
        <f>VehicleCostData2023!AJ52</f>
        <v>711719.45151274162</v>
      </c>
      <c r="Q55" s="731">
        <f>VehicleCostData2023!AK52</f>
        <v>716772.29590634396</v>
      </c>
      <c r="R55" s="841">
        <f>VehicleCostData2023!AL52</f>
        <v>721825.14029994584</v>
      </c>
      <c r="S55" s="330">
        <f t="shared" si="33"/>
        <v>1.5797295485919105</v>
      </c>
      <c r="T55" s="330">
        <f t="shared" si="34"/>
        <v>1.2883070297682906</v>
      </c>
      <c r="U55" s="330">
        <f t="shared" si="35"/>
        <v>1.2536592385001522</v>
      </c>
      <c r="V55" s="330">
        <f t="shared" si="36"/>
        <v>1.2210734604801745</v>
      </c>
      <c r="W55" s="330">
        <f t="shared" si="37"/>
        <v>1.2017853715294742</v>
      </c>
      <c r="X55" s="330">
        <f t="shared" si="38"/>
        <v>1.1834732348689445</v>
      </c>
      <c r="Y55" s="330">
        <f t="shared" si="39"/>
        <v>1.1724000908676822</v>
      </c>
      <c r="Z55" s="330">
        <f t="shared" si="40"/>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44"/>
        <v>Small Rigid Truck</v>
      </c>
      <c r="B56" s="792" t="s">
        <v>700</v>
      </c>
      <c r="C56" s="442">
        <v>44275.919735739342</v>
      </c>
      <c r="D56" s="442">
        <v>43586.340712469508</v>
      </c>
      <c r="E56" s="332">
        <f t="shared" si="41"/>
        <v>43737.618689486233</v>
      </c>
      <c r="F56" s="442">
        <v>43888.896666502958</v>
      </c>
      <c r="G56" s="332">
        <f t="shared" si="42"/>
        <v>44371.661420226636</v>
      </c>
      <c r="H56" s="442">
        <v>44854.426173950313</v>
      </c>
      <c r="I56" s="332">
        <f t="shared" si="43"/>
        <v>45190.948956767446</v>
      </c>
      <c r="J56" s="793">
        <v>45527.471739584573</v>
      </c>
      <c r="K56" s="840">
        <f>VehicleCostData2023!AE53</f>
        <v>673891.27199202031</v>
      </c>
      <c r="L56" s="731">
        <f>VehicleCostData2023!AF53</f>
        <v>663395.69588871428</v>
      </c>
      <c r="M56" s="731">
        <f>VehicleCostData2023!AG53</f>
        <v>665698.18692593346</v>
      </c>
      <c r="N56" s="731">
        <f>VehicleCostData2023!AH53</f>
        <v>668000.67796315288</v>
      </c>
      <c r="O56" s="731">
        <f>VehicleCostData2023!AI53</f>
        <v>675348.48588902992</v>
      </c>
      <c r="P56" s="731">
        <f>VehicleCostData2023!AJ53</f>
        <v>682696.29381490708</v>
      </c>
      <c r="Q56" s="731">
        <f>VehicleCostData2023!AK53</f>
        <v>687818.2600557094</v>
      </c>
      <c r="R56" s="841">
        <f>VehicleCostData2023!AL53</f>
        <v>692940.22629651171</v>
      </c>
      <c r="S56" s="330">
        <f t="shared" si="33"/>
        <v>1.5101035336339914</v>
      </c>
      <c r="T56" s="330">
        <f t="shared" si="34"/>
        <v>1.2354349798826749</v>
      </c>
      <c r="U56" s="330">
        <f t="shared" si="35"/>
        <v>1.2017013278615045</v>
      </c>
      <c r="V56" s="330">
        <f t="shared" si="36"/>
        <v>1.1699752854116976</v>
      </c>
      <c r="W56" s="330">
        <f t="shared" si="37"/>
        <v>1.1521427217360913</v>
      </c>
      <c r="X56" s="330">
        <f t="shared" si="38"/>
        <v>1.1352124626591058</v>
      </c>
      <c r="Y56" s="330">
        <f t="shared" si="39"/>
        <v>1.1250409581889473</v>
      </c>
      <c r="Z56" s="330">
        <f t="shared" si="40"/>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44"/>
        <v>Small Rigid Truck</v>
      </c>
      <c r="B57" s="795"/>
      <c r="C57" s="457"/>
      <c r="D57" s="457"/>
      <c r="E57" s="458"/>
      <c r="F57" s="457"/>
      <c r="G57" s="457"/>
      <c r="H57" s="457"/>
      <c r="I57" s="457"/>
      <c r="J57" s="796"/>
      <c r="K57" s="842">
        <f>VehicleCostData2023!AE54</f>
        <v>0</v>
      </c>
      <c r="L57" s="457">
        <f>VehicleCostData2023!AF54</f>
        <v>0</v>
      </c>
      <c r="M57" s="457">
        <f>VehicleCostData2023!AG54</f>
        <v>0</v>
      </c>
      <c r="N57" s="457">
        <f>VehicleCostData2023!AH54</f>
        <v>0</v>
      </c>
      <c r="O57" s="457">
        <f>VehicleCostData2023!AI54</f>
        <v>0</v>
      </c>
      <c r="P57" s="457">
        <f>VehicleCostData2023!AJ54</f>
        <v>0</v>
      </c>
      <c r="Q57" s="457">
        <f>VehicleCostData2023!AK54</f>
        <v>0</v>
      </c>
      <c r="R57" s="843">
        <f>VehicleCostData2023!AL54</f>
        <v>0</v>
      </c>
    </row>
    <row r="58" spans="1:33" x14ac:dyDescent="0.2">
      <c r="A58" s="322" t="str">
        <f t="shared" si="44"/>
        <v>Small Rigid Truck</v>
      </c>
      <c r="B58" s="786" t="s">
        <v>832</v>
      </c>
      <c r="C58" s="456" t="s">
        <v>831</v>
      </c>
      <c r="D58" s="455">
        <v>0.08</v>
      </c>
      <c r="E58" s="454"/>
      <c r="F58" s="453"/>
      <c r="G58" s="453"/>
      <c r="H58" s="453"/>
      <c r="I58" s="453"/>
      <c r="J58" s="787"/>
      <c r="K58" s="844">
        <f>VehicleCostData2023!AE55</f>
        <v>0</v>
      </c>
      <c r="L58" s="453">
        <f>VehicleCostData2023!AF55</f>
        <v>0</v>
      </c>
      <c r="M58" s="453">
        <f>VehicleCostData2023!AG55</f>
        <v>0</v>
      </c>
      <c r="N58" s="453">
        <f>VehicleCostData2023!AH55</f>
        <v>0</v>
      </c>
      <c r="O58" s="453">
        <f>VehicleCostData2023!AI55</f>
        <v>0</v>
      </c>
      <c r="P58" s="453">
        <f>VehicleCostData2023!AJ55</f>
        <v>0</v>
      </c>
      <c r="Q58" s="453">
        <f>VehicleCostData2023!AK55</f>
        <v>0</v>
      </c>
      <c r="R58" s="835">
        <f>VehicleCostData2023!AL55</f>
        <v>0</v>
      </c>
      <c r="T58" s="453"/>
      <c r="U58" s="453"/>
      <c r="V58" s="453"/>
      <c r="W58" s="453"/>
      <c r="X58" s="453"/>
      <c r="Y58" s="453"/>
      <c r="Z58" s="453"/>
      <c r="AA58" s="453"/>
      <c r="AB58" s="452" t="s">
        <v>816</v>
      </c>
      <c r="AC58" s="322" t="s">
        <v>834</v>
      </c>
    </row>
    <row r="59" spans="1:33" x14ac:dyDescent="0.2">
      <c r="A59" s="322" t="str">
        <f>B59</f>
        <v>Large Rigid Truck</v>
      </c>
      <c r="B59" s="788" t="s">
        <v>735</v>
      </c>
      <c r="C59" s="351">
        <v>2010</v>
      </c>
      <c r="D59" s="351">
        <v>2020</v>
      </c>
      <c r="E59" s="354"/>
      <c r="F59" s="351">
        <v>2030</v>
      </c>
      <c r="G59" s="351"/>
      <c r="H59" s="351">
        <v>2040</v>
      </c>
      <c r="I59" s="351"/>
      <c r="J59" s="789">
        <v>2050</v>
      </c>
      <c r="K59" s="836">
        <f>VehicleCostData2023!AE56</f>
        <v>2010</v>
      </c>
      <c r="L59" s="353">
        <f>VehicleCostData2023!AF56</f>
        <v>2020</v>
      </c>
      <c r="M59" s="353">
        <f>VehicleCostData2023!AG56</f>
        <v>0</v>
      </c>
      <c r="N59" s="353">
        <f>VehicleCostData2023!AH56</f>
        <v>2030</v>
      </c>
      <c r="O59" s="353">
        <f>VehicleCostData2023!AI56</f>
        <v>0</v>
      </c>
      <c r="P59" s="353">
        <f>VehicleCostData2023!AJ56</f>
        <v>2040</v>
      </c>
      <c r="Q59" s="353">
        <f>VehicleCostData2023!AK56</f>
        <v>0</v>
      </c>
      <c r="R59" s="837">
        <f>VehicleCostData2023!AL56</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45">A59</f>
        <v>Large Rigid Truck</v>
      </c>
      <c r="B60" s="790" t="s">
        <v>791</v>
      </c>
      <c r="C60" s="448" t="s">
        <v>193</v>
      </c>
      <c r="D60" s="449"/>
      <c r="E60" s="450"/>
      <c r="F60" s="449"/>
      <c r="G60" s="449"/>
      <c r="H60" s="449"/>
      <c r="I60" s="448"/>
      <c r="J60" s="791" t="s">
        <v>193</v>
      </c>
      <c r="K60" s="802" t="s">
        <v>1314</v>
      </c>
      <c r="L60" s="322" t="s">
        <v>1314</v>
      </c>
      <c r="M60" s="322" t="s">
        <v>1314</v>
      </c>
      <c r="N60" s="322" t="s">
        <v>1314</v>
      </c>
      <c r="O60" s="322" t="s">
        <v>1314</v>
      </c>
      <c r="P60" s="322" t="s">
        <v>1314</v>
      </c>
      <c r="Q60" s="322" t="s">
        <v>1314</v>
      </c>
      <c r="R60" s="832" t="s">
        <v>1314</v>
      </c>
      <c r="AB60" s="447" t="s">
        <v>659</v>
      </c>
      <c r="AC60" s="446" t="s">
        <v>663</v>
      </c>
      <c r="AD60" s="446" t="s">
        <v>663</v>
      </c>
      <c r="AE60" s="446" t="s">
        <v>663</v>
      </c>
      <c r="AF60" s="446" t="s">
        <v>663</v>
      </c>
      <c r="AG60" s="446" t="s">
        <v>663</v>
      </c>
    </row>
    <row r="61" spans="1:33" ht="15" x14ac:dyDescent="0.2">
      <c r="A61" s="322" t="str">
        <f t="shared" si="45"/>
        <v>Large Rigid Truck</v>
      </c>
      <c r="B61" s="792"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93">
        <v>66164.514819809236</v>
      </c>
      <c r="K61" s="840">
        <f>VehicleCostData2023!AE58</f>
        <v>741559.52682539471</v>
      </c>
      <c r="L61" s="731">
        <f>VehicleCostData2023!AF58</f>
        <v>894955.63194499956</v>
      </c>
      <c r="M61" s="731">
        <f>VehicleCostData2023!AG58</f>
        <v>923899.17935124564</v>
      </c>
      <c r="N61" s="731">
        <f>VehicleCostData2023!AH58</f>
        <v>952842.72675749194</v>
      </c>
      <c r="O61" s="731">
        <f>VehicleCostData2023!AI58</f>
        <v>971419.63513485843</v>
      </c>
      <c r="P61" s="731">
        <f>VehicleCostData2023!AJ58</f>
        <v>989996.5435122248</v>
      </c>
      <c r="Q61" s="731">
        <f>VehicleCostData2023!AK58</f>
        <v>1005991.3347624892</v>
      </c>
      <c r="R61" s="841">
        <f>VehicleCostData2023!AL58</f>
        <v>1021986.1260127533</v>
      </c>
      <c r="S61" s="330">
        <f t="shared" ref="S61:Z68" si="46">C61/C$61</f>
        <v>1</v>
      </c>
      <c r="T61" s="330">
        <f t="shared" si="46"/>
        <v>1</v>
      </c>
      <c r="U61" s="330">
        <f t="shared" si="46"/>
        <v>1</v>
      </c>
      <c r="V61" s="330">
        <f t="shared" si="46"/>
        <v>1</v>
      </c>
      <c r="W61" s="330">
        <f t="shared" si="46"/>
        <v>1</v>
      </c>
      <c r="X61" s="330">
        <f t="shared" si="46"/>
        <v>1</v>
      </c>
      <c r="Y61" s="330">
        <f t="shared" si="46"/>
        <v>1</v>
      </c>
      <c r="Z61" s="330">
        <f t="shared" si="46"/>
        <v>1</v>
      </c>
      <c r="AB61" s="441" t="s">
        <v>687</v>
      </c>
      <c r="AC61" s="440">
        <v>12.405066687804799</v>
      </c>
      <c r="AD61" s="440">
        <v>11.079673113362597</v>
      </c>
      <c r="AE61" s="440">
        <v>9.2713390042129831</v>
      </c>
      <c r="AF61" s="439">
        <v>8.5519347392531859</v>
      </c>
      <c r="AG61" s="439">
        <v>8.0369288469360249</v>
      </c>
    </row>
    <row r="62" spans="1:33" ht="15" x14ac:dyDescent="0.2">
      <c r="A62" s="322" t="str">
        <f t="shared" si="45"/>
        <v>Large Rigid Truck</v>
      </c>
      <c r="B62" s="792"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93">
        <v>67898.65113591867</v>
      </c>
      <c r="K62" s="840">
        <f>VehicleCostData2023!AE59</f>
        <v>0</v>
      </c>
      <c r="L62" s="731">
        <f>VehicleCostData2023!AF59</f>
        <v>0</v>
      </c>
      <c r="M62" s="731">
        <f>VehicleCostData2023!AG59</f>
        <v>0</v>
      </c>
      <c r="N62" s="731">
        <f>VehicleCostData2023!AH59</f>
        <v>0</v>
      </c>
      <c r="O62" s="731">
        <f>VehicleCostData2023!AI59</f>
        <v>0</v>
      </c>
      <c r="P62" s="731">
        <f>VehicleCostData2023!AJ59</f>
        <v>0</v>
      </c>
      <c r="Q62" s="731">
        <f>VehicleCostData2023!AK59</f>
        <v>0</v>
      </c>
      <c r="R62" s="841">
        <f>VehicleCostData2023!AL59</f>
        <v>0</v>
      </c>
      <c r="S62" s="330">
        <f t="shared" si="46"/>
        <v>1.1479490583426224</v>
      </c>
      <c r="T62" s="330">
        <f t="shared" si="46"/>
        <v>1.0934625262454229</v>
      </c>
      <c r="U62" s="330">
        <f t="shared" si="46"/>
        <v>1.0735153048191803</v>
      </c>
      <c r="V62" s="330">
        <f t="shared" si="46"/>
        <v>1.0547799168524596</v>
      </c>
      <c r="W62" s="330">
        <f t="shared" si="46"/>
        <v>1.0458084324195727</v>
      </c>
      <c r="X62" s="330">
        <f t="shared" si="46"/>
        <v>1.0371736409689207</v>
      </c>
      <c r="Y62" s="330">
        <f t="shared" si="46"/>
        <v>1.031604388668443</v>
      </c>
      <c r="Z62" s="330">
        <f t="shared" si="4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45"/>
        <v>Large Rigid Truck</v>
      </c>
      <c r="B63" s="792"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93">
        <v>67413.099113642267</v>
      </c>
      <c r="K63" s="840">
        <f>VehicleCostData2023!AE60</f>
        <v>0</v>
      </c>
      <c r="L63" s="731">
        <f>VehicleCostData2023!AF60</f>
        <v>0</v>
      </c>
      <c r="M63" s="731">
        <f>VehicleCostData2023!AG60</f>
        <v>0</v>
      </c>
      <c r="N63" s="731">
        <f>VehicleCostData2023!AH60</f>
        <v>0</v>
      </c>
      <c r="O63" s="731">
        <f>VehicleCostData2023!AI60</f>
        <v>0</v>
      </c>
      <c r="P63" s="731">
        <f>VehicleCostData2023!AJ60</f>
        <v>0</v>
      </c>
      <c r="Q63" s="731">
        <f>VehicleCostData2023!AK60</f>
        <v>0</v>
      </c>
      <c r="R63" s="841">
        <f>VehicleCostData2023!AL60</f>
        <v>0</v>
      </c>
      <c r="S63" s="330">
        <f t="shared" si="46"/>
        <v>1.1215180077807025</v>
      </c>
      <c r="T63" s="330">
        <f t="shared" si="46"/>
        <v>1.0430666927660108</v>
      </c>
      <c r="U63" s="330">
        <f t="shared" si="46"/>
        <v>1.0336734703798176</v>
      </c>
      <c r="V63" s="330">
        <f t="shared" si="46"/>
        <v>1.0248509049757213</v>
      </c>
      <c r="W63" s="330">
        <f t="shared" si="46"/>
        <v>1.0258306788707887</v>
      </c>
      <c r="X63" s="330">
        <f t="shared" si="46"/>
        <v>1.0267736825973166</v>
      </c>
      <c r="Y63" s="330">
        <f t="shared" si="46"/>
        <v>1.0227594687224957</v>
      </c>
      <c r="Z63" s="330">
        <f t="shared" si="4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45"/>
        <v>Large Rigid Truck</v>
      </c>
      <c r="B64" s="792"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93">
        <v>67091.109722539215</v>
      </c>
      <c r="K64" s="840">
        <f>VehicleCostData2023!AE61</f>
        <v>1259962.8742426576</v>
      </c>
      <c r="L64" s="731">
        <f>VehicleCostData2023!AF61</f>
        <v>1342433.4479174993</v>
      </c>
      <c r="M64" s="731">
        <f>VehicleCostData2023!AG61</f>
        <v>1349008.5040890758</v>
      </c>
      <c r="N64" s="731">
        <f>VehicleCostData2023!AH61</f>
        <v>1355583.5602606519</v>
      </c>
      <c r="O64" s="731">
        <f>VehicleCostData2023!AI61</f>
        <v>1366300.7933683724</v>
      </c>
      <c r="P64" s="731">
        <f>VehicleCostData2023!AJ61</f>
        <v>1377018.0264760926</v>
      </c>
      <c r="Q64" s="731">
        <f>VehicleCostData2023!AK61</f>
        <v>1386563.1268169468</v>
      </c>
      <c r="R64" s="841">
        <f>VehicleCostData2023!AL61</f>
        <v>1396108.2271578005</v>
      </c>
      <c r="S64" s="330">
        <f t="shared" si="46"/>
        <v>1.2611811956295795</v>
      </c>
      <c r="T64" s="330">
        <f t="shared" si="46"/>
        <v>1.1134148669669899</v>
      </c>
      <c r="U64" s="330">
        <f t="shared" si="46"/>
        <v>1.0838167610253551</v>
      </c>
      <c r="V64" s="330">
        <f t="shared" si="46"/>
        <v>1.0560167990132481</v>
      </c>
      <c r="W64" s="330">
        <f t="shared" si="46"/>
        <v>1.0440113013047128</v>
      </c>
      <c r="X64" s="330">
        <f t="shared" si="46"/>
        <v>1.0324563607873465</v>
      </c>
      <c r="Y64" s="330">
        <f t="shared" si="46"/>
        <v>1.0230836960113008</v>
      </c>
      <c r="Z64" s="330">
        <f t="shared" si="4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45"/>
        <v>Large Rigid Truck</v>
      </c>
      <c r="B65" s="792" t="s">
        <v>692</v>
      </c>
      <c r="C65" s="444"/>
      <c r="D65" s="444"/>
      <c r="E65" s="445"/>
      <c r="F65" s="444"/>
      <c r="G65" s="444"/>
      <c r="H65" s="444"/>
      <c r="I65" s="444"/>
      <c r="J65" s="804"/>
      <c r="K65" s="840">
        <f>VehicleCostData2023!AE62</f>
        <v>2347459.1485998328</v>
      </c>
      <c r="L65" s="731">
        <f>VehicleCostData2023!AF62</f>
        <v>1789911.2638899991</v>
      </c>
      <c r="M65" s="731">
        <f>VehicleCostData2023!AG62</f>
        <v>1252937.8847229993</v>
      </c>
      <c r="N65" s="731">
        <f>VehicleCostData2023!AH62</f>
        <v>1073946.7583339994</v>
      </c>
      <c r="O65" s="731">
        <f>VehicleCostData2023!AI62</f>
        <v>894955.63194499956</v>
      </c>
      <c r="P65" s="731">
        <f>VehicleCostData2023!AJ62</f>
        <v>835291.92314866628</v>
      </c>
      <c r="Q65" s="731">
        <f>VehicleCostData2023!AK62</f>
        <v>775628.21435233299</v>
      </c>
      <c r="R65" s="841">
        <f>VehicleCostData2023!AL62</f>
        <v>715964.5055559997</v>
      </c>
      <c r="S65" s="330">
        <f t="shared" si="46"/>
        <v>0</v>
      </c>
      <c r="T65" s="330">
        <f t="shared" si="46"/>
        <v>0</v>
      </c>
      <c r="U65" s="330">
        <f t="shared" si="46"/>
        <v>0</v>
      </c>
      <c r="V65" s="330">
        <f t="shared" si="46"/>
        <v>0</v>
      </c>
      <c r="W65" s="330">
        <f t="shared" si="46"/>
        <v>0</v>
      </c>
      <c r="X65" s="330">
        <f t="shared" si="46"/>
        <v>0</v>
      </c>
      <c r="Y65" s="330">
        <f t="shared" si="46"/>
        <v>0</v>
      </c>
      <c r="Z65" s="330">
        <f t="shared" si="46"/>
        <v>0</v>
      </c>
      <c r="AA65" s="422"/>
      <c r="AB65" s="441" t="s">
        <v>692</v>
      </c>
      <c r="AC65" s="443"/>
      <c r="AD65" s="443"/>
      <c r="AE65" s="443"/>
      <c r="AF65" s="443"/>
      <c r="AG65" s="443"/>
    </row>
    <row r="66" spans="1:33" ht="15" x14ac:dyDescent="0.2">
      <c r="A66" s="322" t="str">
        <f t="shared" si="45"/>
        <v>Large Rigid Truck</v>
      </c>
      <c r="B66" s="792"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93">
        <v>64871.264266849503</v>
      </c>
      <c r="K66" s="840">
        <f>VehicleCostData2023!AE63</f>
        <v>8255760.0731620239</v>
      </c>
      <c r="L66" s="731">
        <f>VehicleCostData2023!AF63</f>
        <v>3579822.5277799983</v>
      </c>
      <c r="M66" s="731">
        <f>VehicleCostData2023!AG63</f>
        <v>2837547.8965716679</v>
      </c>
      <c r="N66" s="731">
        <f>VehicleCostData2023!AH63</f>
        <v>2095273.265363337</v>
      </c>
      <c r="O66" s="731">
        <f>VehicleCostData2023!AI63</f>
        <v>1998070.8876145401</v>
      </c>
      <c r="P66" s="731">
        <f>VehicleCostData2023!AJ63</f>
        <v>1900868.5098657422</v>
      </c>
      <c r="Q66" s="731">
        <f>VehicleCostData2023!AK63</f>
        <v>1865318.4569965578</v>
      </c>
      <c r="R66" s="841">
        <f>VehicleCostData2023!AL63</f>
        <v>1829768.4041273736</v>
      </c>
      <c r="S66" s="330">
        <f t="shared" si="46"/>
        <v>6.0965922571111886</v>
      </c>
      <c r="T66" s="330">
        <f t="shared" si="46"/>
        <v>2.1904638843018911</v>
      </c>
      <c r="U66" s="330">
        <f t="shared" si="46"/>
        <v>1.6818789123131217</v>
      </c>
      <c r="V66" s="330">
        <f t="shared" si="46"/>
        <v>1.2041914910606719</v>
      </c>
      <c r="W66" s="330">
        <f t="shared" si="46"/>
        <v>1.1263675242129196</v>
      </c>
      <c r="X66" s="330">
        <f t="shared" si="46"/>
        <v>1.0514642316062404</v>
      </c>
      <c r="Y66" s="330">
        <f t="shared" si="46"/>
        <v>1.0153946091735868</v>
      </c>
      <c r="Z66" s="330">
        <f t="shared" si="4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45"/>
        <v>Large Rigid Truck</v>
      </c>
      <c r="B67" s="792"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93">
        <v>73297.478459946346</v>
      </c>
      <c r="K67" s="840">
        <f>VehicleCostData2023!AE64</f>
        <v>3513573.4964511702</v>
      </c>
      <c r="L67" s="731">
        <f>VehicleCostData2023!AF64</f>
        <v>3579822.5277799987</v>
      </c>
      <c r="M67" s="731">
        <f>VehicleCostData2023!AG64</f>
        <v>3603450.0921972189</v>
      </c>
      <c r="N67" s="731">
        <f>VehicleCostData2023!AH64</f>
        <v>3627077.6566144391</v>
      </c>
      <c r="O67" s="731">
        <f>VehicleCostData2023!AI64</f>
        <v>3654330.452171186</v>
      </c>
      <c r="P67" s="731">
        <f>VehicleCostData2023!AJ64</f>
        <v>3681583.2477279338</v>
      </c>
      <c r="Q67" s="731">
        <f>VehicleCostData2023!AK64</f>
        <v>3712164.7972056125</v>
      </c>
      <c r="R67" s="841">
        <f>VehicleCostData2023!AL64</f>
        <v>3742746.3466832913</v>
      </c>
      <c r="S67" s="330">
        <f t="shared" si="46"/>
        <v>1.433248616130528</v>
      </c>
      <c r="T67" s="330">
        <f t="shared" si="46"/>
        <v>1.2099808547331203</v>
      </c>
      <c r="U67" s="330">
        <f t="shared" si="46"/>
        <v>1.1798109902009442</v>
      </c>
      <c r="V67" s="330">
        <f t="shared" si="46"/>
        <v>1.1514740050722738</v>
      </c>
      <c r="W67" s="330">
        <f t="shared" si="46"/>
        <v>1.1379402176129367</v>
      </c>
      <c r="X67" s="330">
        <f t="shared" si="46"/>
        <v>1.1249143428958785</v>
      </c>
      <c r="Y67" s="330">
        <f t="shared" si="46"/>
        <v>1.1162244094511777</v>
      </c>
      <c r="Z67" s="330">
        <f t="shared" si="4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45"/>
        <v>Large Rigid Truck</v>
      </c>
      <c r="B68" s="792"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93">
        <v>69966.904678313702</v>
      </c>
      <c r="K68" s="840">
        <f>VehicleCostData2023!AE65</f>
        <v>3503687.3203862505</v>
      </c>
      <c r="L68" s="731">
        <f>VehicleCostData2023!AF65</f>
        <v>3579822.5277799983</v>
      </c>
      <c r="M68" s="731">
        <f>VehicleCostData2023!AG65</f>
        <v>3600432.9692446296</v>
      </c>
      <c r="N68" s="731">
        <f>VehicleCostData2023!AH65</f>
        <v>3621043.4107092624</v>
      </c>
      <c r="O68" s="731">
        <f>VehicleCostData2023!AI65</f>
        <v>3649948.2424439108</v>
      </c>
      <c r="P68" s="731">
        <f>VehicleCostData2023!AJ65</f>
        <v>3678853.0741785583</v>
      </c>
      <c r="Q68" s="731">
        <f>VehicleCostData2023!AK65</f>
        <v>3711026.1211004504</v>
      </c>
      <c r="R68" s="841">
        <f>VehicleCostData2023!AL65</f>
        <v>3743199.1680223425</v>
      </c>
      <c r="S68" s="330">
        <f t="shared" si="46"/>
        <v>1.3641085036906184</v>
      </c>
      <c r="T68" s="330">
        <f t="shared" si="46"/>
        <v>1.1548606528322234</v>
      </c>
      <c r="U68" s="330">
        <f t="shared" si="46"/>
        <v>1.125122324564739</v>
      </c>
      <c r="V68" s="330">
        <f t="shared" si="46"/>
        <v>1.0971906590125626</v>
      </c>
      <c r="W68" s="330">
        <f t="shared" si="46"/>
        <v>1.0847993641510612</v>
      </c>
      <c r="X68" s="330">
        <f t="shared" si="46"/>
        <v>1.0728731051542351</v>
      </c>
      <c r="Y68" s="330">
        <f t="shared" si="46"/>
        <v>1.0650484504181494</v>
      </c>
      <c r="Z68" s="330">
        <f t="shared" si="4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45"/>
        <v>Large Rigid Truck</v>
      </c>
      <c r="B69" s="802"/>
      <c r="E69" s="332"/>
      <c r="J69" s="785"/>
      <c r="K69" s="802">
        <f>VehicleCostData2023!AE66</f>
        <v>0</v>
      </c>
      <c r="L69" s="322">
        <f>VehicleCostData2023!AF66</f>
        <v>0</v>
      </c>
      <c r="M69" s="322">
        <f>VehicleCostData2023!AG66</f>
        <v>0</v>
      </c>
      <c r="N69" s="322">
        <f>VehicleCostData2023!AH66</f>
        <v>0</v>
      </c>
      <c r="O69" s="322">
        <f>VehicleCostData2023!AI66</f>
        <v>0</v>
      </c>
      <c r="P69" s="322">
        <f>VehicleCostData2023!AJ66</f>
        <v>0</v>
      </c>
      <c r="Q69" s="322">
        <f>VehicleCostData2023!AK66</f>
        <v>0</v>
      </c>
      <c r="R69" s="832">
        <f>VehicleCostData2023!AL66</f>
        <v>0</v>
      </c>
      <c r="Z69" s="422"/>
      <c r="AA69" s="422"/>
    </row>
    <row r="70" spans="1:33" ht="15" x14ac:dyDescent="0.2">
      <c r="A70" s="322" t="str">
        <f t="shared" si="45"/>
        <v>Large Rigid Truck</v>
      </c>
      <c r="B70" s="805" t="s">
        <v>832</v>
      </c>
      <c r="C70" s="359" t="s">
        <v>831</v>
      </c>
      <c r="D70" s="358">
        <v>0.08</v>
      </c>
      <c r="E70" s="357"/>
      <c r="J70" s="785"/>
      <c r="K70" s="802">
        <f>VehicleCostData2023!AE67</f>
        <v>0</v>
      </c>
      <c r="L70" s="322">
        <f>VehicleCostData2023!AF67</f>
        <v>0</v>
      </c>
      <c r="M70" s="322">
        <f>VehicleCostData2023!AG67</f>
        <v>0</v>
      </c>
      <c r="N70" s="322">
        <f>VehicleCostData2023!AH67</f>
        <v>0</v>
      </c>
      <c r="O70" s="322">
        <f>VehicleCostData2023!AI67</f>
        <v>0</v>
      </c>
      <c r="P70" s="322">
        <f>VehicleCostData2023!AJ67</f>
        <v>0</v>
      </c>
      <c r="Q70" s="322">
        <f>VehicleCostData2023!AK67</f>
        <v>0</v>
      </c>
      <c r="R70" s="832">
        <f>VehicleCostData2023!AL67</f>
        <v>0</v>
      </c>
      <c r="Z70" s="422"/>
      <c r="AA70" s="422"/>
      <c r="AB70" s="437" t="s">
        <v>816</v>
      </c>
    </row>
    <row r="71" spans="1:33" ht="15" x14ac:dyDescent="0.2">
      <c r="A71" s="322" t="str">
        <f>B71</f>
        <v>Articulated Truck</v>
      </c>
      <c r="B71" s="806" t="s">
        <v>747</v>
      </c>
      <c r="C71" s="351">
        <v>2010</v>
      </c>
      <c r="D71" s="351">
        <v>2020</v>
      </c>
      <c r="E71" s="354"/>
      <c r="F71" s="351">
        <v>2030</v>
      </c>
      <c r="G71" s="351"/>
      <c r="H71" s="351">
        <v>2040</v>
      </c>
      <c r="I71" s="351"/>
      <c r="J71" s="789">
        <v>2050</v>
      </c>
      <c r="K71" s="836">
        <f>VehicleCostData2023!AE68</f>
        <v>2010</v>
      </c>
      <c r="L71" s="353">
        <f>VehicleCostData2023!AF68</f>
        <v>2020</v>
      </c>
      <c r="M71" s="353">
        <f>VehicleCostData2023!AG68</f>
        <v>0</v>
      </c>
      <c r="N71" s="353">
        <f>VehicleCostData2023!AH68</f>
        <v>2030</v>
      </c>
      <c r="O71" s="353">
        <f>VehicleCostData2023!AI68</f>
        <v>0</v>
      </c>
      <c r="P71" s="353">
        <f>VehicleCostData2023!AJ68</f>
        <v>2040</v>
      </c>
      <c r="Q71" s="353">
        <f>VehicleCostData2023!AK68</f>
        <v>0</v>
      </c>
      <c r="R71" s="837">
        <f>VehicleCostData2023!AL68</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47">A71</f>
        <v>Articulated Truck</v>
      </c>
      <c r="B72" s="807" t="s">
        <v>791</v>
      </c>
      <c r="C72" s="433" t="s">
        <v>193</v>
      </c>
      <c r="D72" s="432" t="s">
        <v>193</v>
      </c>
      <c r="E72" s="431"/>
      <c r="F72" s="430" t="s">
        <v>193</v>
      </c>
      <c r="G72" s="430"/>
      <c r="H72" s="429" t="s">
        <v>193</v>
      </c>
      <c r="I72" s="429"/>
      <c r="J72" s="808" t="s">
        <v>193</v>
      </c>
      <c r="K72" s="802" t="s">
        <v>1314</v>
      </c>
      <c r="L72" s="322" t="s">
        <v>1314</v>
      </c>
      <c r="M72" s="322" t="s">
        <v>1314</v>
      </c>
      <c r="N72" s="322" t="s">
        <v>1314</v>
      </c>
      <c r="O72" s="322" t="s">
        <v>1314</v>
      </c>
      <c r="P72" s="322" t="s">
        <v>1314</v>
      </c>
      <c r="Q72" s="322" t="s">
        <v>1314</v>
      </c>
      <c r="R72" s="832" t="s">
        <v>1314</v>
      </c>
      <c r="Z72" s="422"/>
      <c r="AA72" s="422"/>
      <c r="AB72" s="427" t="s">
        <v>659</v>
      </c>
      <c r="AC72" s="426" t="s">
        <v>663</v>
      </c>
      <c r="AD72" s="425" t="s">
        <v>663</v>
      </c>
      <c r="AE72" s="425" t="s">
        <v>663</v>
      </c>
      <c r="AF72" s="424" t="s">
        <v>663</v>
      </c>
      <c r="AG72" s="423" t="s">
        <v>663</v>
      </c>
    </row>
    <row r="73" spans="1:33" ht="15" x14ac:dyDescent="0.2">
      <c r="A73" s="322" t="str">
        <f t="shared" si="47"/>
        <v>Articulated Truck</v>
      </c>
      <c r="B73" s="809"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810">
        <v>85111.655194109291</v>
      </c>
      <c r="K73" s="840">
        <f>VehicleCostData2023!AE70</f>
        <v>938190.54794185585</v>
      </c>
      <c r="L73" s="731">
        <f>VehicleCostData2023!AF70</f>
        <v>1163442.3215284995</v>
      </c>
      <c r="M73" s="731">
        <f>VehicleCostData2023!AG70</f>
        <v>1193514.1920029502</v>
      </c>
      <c r="N73" s="731">
        <f>VehicleCostData2023!AH70</f>
        <v>1223586.062477401</v>
      </c>
      <c r="O73" s="731">
        <f>VehicleCostData2023!AI70</f>
        <v>1247056.6408129311</v>
      </c>
      <c r="P73" s="731">
        <f>VehicleCostData2023!AJ70</f>
        <v>1270527.2191484615</v>
      </c>
      <c r="Q73" s="731">
        <f>VehicleCostData2023!AK70</f>
        <v>1285108.6452929873</v>
      </c>
      <c r="R73" s="841">
        <f>VehicleCostData2023!AL70</f>
        <v>1299690.0714375132</v>
      </c>
      <c r="S73" s="330">
        <f t="shared" ref="S73:Z80" si="48">C73/C$73</f>
        <v>1</v>
      </c>
      <c r="T73" s="330">
        <f t="shared" si="48"/>
        <v>1</v>
      </c>
      <c r="U73" s="330">
        <f t="shared" si="48"/>
        <v>1</v>
      </c>
      <c r="V73" s="330">
        <f t="shared" si="48"/>
        <v>1</v>
      </c>
      <c r="W73" s="330">
        <f t="shared" si="48"/>
        <v>1</v>
      </c>
      <c r="X73" s="330">
        <f t="shared" si="48"/>
        <v>1</v>
      </c>
      <c r="Y73" s="330">
        <f t="shared" si="48"/>
        <v>1</v>
      </c>
      <c r="Z73" s="330">
        <f t="shared" si="48"/>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47"/>
        <v>Articulated Truck</v>
      </c>
      <c r="B74" s="809"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810">
        <v>87170.477281091473</v>
      </c>
      <c r="K74" s="840">
        <f>VehicleCostData2023!AE71</f>
        <v>0</v>
      </c>
      <c r="L74" s="731">
        <f>VehicleCostData2023!AF71</f>
        <v>0</v>
      </c>
      <c r="M74" s="731">
        <f>VehicleCostData2023!AG71</f>
        <v>0</v>
      </c>
      <c r="N74" s="731">
        <f>VehicleCostData2023!AH71</f>
        <v>0</v>
      </c>
      <c r="O74" s="731">
        <f>VehicleCostData2023!AI71</f>
        <v>0</v>
      </c>
      <c r="P74" s="731">
        <f>VehicleCostData2023!AJ71</f>
        <v>0</v>
      </c>
      <c r="Q74" s="731">
        <f>VehicleCostData2023!AK71</f>
        <v>0</v>
      </c>
      <c r="R74" s="841">
        <f>VehicleCostData2023!AL71</f>
        <v>0</v>
      </c>
      <c r="S74" s="330">
        <f t="shared" si="48"/>
        <v>1.1640757779782414</v>
      </c>
      <c r="T74" s="330">
        <f t="shared" si="48"/>
        <v>1.0876598196776521</v>
      </c>
      <c r="U74" s="330">
        <f t="shared" si="48"/>
        <v>1.069023279189999</v>
      </c>
      <c r="V74" s="330">
        <f t="shared" si="48"/>
        <v>1.0513027929936178</v>
      </c>
      <c r="W74" s="330">
        <f t="shared" si="48"/>
        <v>1.0427075605959299</v>
      </c>
      <c r="X74" s="330">
        <f t="shared" si="48"/>
        <v>1.0344298894000199</v>
      </c>
      <c r="Y74" s="330">
        <f t="shared" si="48"/>
        <v>1.0292516800637885</v>
      </c>
      <c r="Z74" s="330">
        <f t="shared" si="48"/>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47"/>
        <v>Articulated Truck</v>
      </c>
      <c r="B75" s="809"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810">
        <v>86819.718766163729</v>
      </c>
      <c r="K75" s="840">
        <f>VehicleCostData2023!AE72</f>
        <v>0</v>
      </c>
      <c r="L75" s="731">
        <f>VehicleCostData2023!AF72</f>
        <v>0</v>
      </c>
      <c r="M75" s="731">
        <f>VehicleCostData2023!AG72</f>
        <v>0</v>
      </c>
      <c r="N75" s="731">
        <f>VehicleCostData2023!AH72</f>
        <v>0</v>
      </c>
      <c r="O75" s="731">
        <f>VehicleCostData2023!AI72</f>
        <v>0</v>
      </c>
      <c r="P75" s="731">
        <f>VehicleCostData2023!AJ72</f>
        <v>0</v>
      </c>
      <c r="Q75" s="731">
        <f>VehicleCostData2023!AK72</f>
        <v>0</v>
      </c>
      <c r="R75" s="841">
        <f>VehicleCostData2023!AL72</f>
        <v>0</v>
      </c>
      <c r="S75" s="330">
        <f t="shared" si="48"/>
        <v>1.1789084878657647</v>
      </c>
      <c r="T75" s="330">
        <f t="shared" si="48"/>
        <v>1.0585163568573497</v>
      </c>
      <c r="U75" s="330">
        <f t="shared" si="48"/>
        <v>1.0468525973103582</v>
      </c>
      <c r="V75" s="330">
        <f t="shared" si="48"/>
        <v>1.0357621543074147</v>
      </c>
      <c r="W75" s="330">
        <f t="shared" si="48"/>
        <v>1.0320037073713728</v>
      </c>
      <c r="X75" s="330">
        <f t="shared" si="48"/>
        <v>1.0283841207791362</v>
      </c>
      <c r="Y75" s="330">
        <f t="shared" si="48"/>
        <v>1.0241791358851657</v>
      </c>
      <c r="Z75" s="330">
        <f t="shared" si="48"/>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47"/>
        <v>Articulated Truck</v>
      </c>
      <c r="B76" s="809"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810">
        <v>86268.993976230602</v>
      </c>
      <c r="K76" s="840">
        <f>VehicleCostData2023!AE73</f>
        <v>1599022.3044135638</v>
      </c>
      <c r="L76" s="731">
        <f>VehicleCostData2023!AF73</f>
        <v>1700415.7006954993</v>
      </c>
      <c r="M76" s="731">
        <f>VehicleCostData2023!AG73</f>
        <v>1705744.2835813637</v>
      </c>
      <c r="N76" s="731">
        <f>VehicleCostData2023!AH73</f>
        <v>1711072.8664672286</v>
      </c>
      <c r="O76" s="731">
        <f>VehicleCostData2023!AI73</f>
        <v>1723507.1241727145</v>
      </c>
      <c r="P76" s="731">
        <f>VehicleCostData2023!AJ73</f>
        <v>1735941.3818782012</v>
      </c>
      <c r="Q76" s="731">
        <f>VehicleCostData2023!AK73</f>
        <v>1745950.9984073937</v>
      </c>
      <c r="R76" s="841">
        <f>VehicleCostData2023!AL73</f>
        <v>1755960.6149365865</v>
      </c>
      <c r="S76" s="330">
        <f t="shared" si="48"/>
        <v>1.2786573991980736</v>
      </c>
      <c r="T76" s="330">
        <f t="shared" si="48"/>
        <v>1.0964806610396767</v>
      </c>
      <c r="U76" s="330">
        <f t="shared" si="48"/>
        <v>1.0722031150156157</v>
      </c>
      <c r="V76" s="330">
        <f t="shared" si="48"/>
        <v>1.0491188993863041</v>
      </c>
      <c r="W76" s="330">
        <f t="shared" si="48"/>
        <v>1.0368540566317841</v>
      </c>
      <c r="X76" s="330">
        <f t="shared" si="48"/>
        <v>1.0250423532485498</v>
      </c>
      <c r="Y76" s="330">
        <f t="shared" si="48"/>
        <v>1.0192551937371368</v>
      </c>
      <c r="Z76" s="330">
        <f t="shared" si="48"/>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47"/>
        <v>Articulated Truck</v>
      </c>
      <c r="B77" s="809" t="s">
        <v>692</v>
      </c>
      <c r="C77" s="421"/>
      <c r="D77" s="420"/>
      <c r="E77" s="419"/>
      <c r="F77" s="418"/>
      <c r="G77" s="418"/>
      <c r="H77" s="417"/>
      <c r="I77" s="417"/>
      <c r="J77" s="811"/>
      <c r="K77" s="840">
        <f>VehicleCostData2023!AE74</f>
        <v>3521188.7228997489</v>
      </c>
      <c r="L77" s="731">
        <f>VehicleCostData2023!AF74</f>
        <v>2684866.8958349987</v>
      </c>
      <c r="M77" s="731">
        <f>VehicleCostData2023!AG74</f>
        <v>1879406.8270844989</v>
      </c>
      <c r="N77" s="731">
        <f>VehicleCostData2023!AH74</f>
        <v>1610920.137500999</v>
      </c>
      <c r="O77" s="731">
        <f>VehicleCostData2023!AI74</f>
        <v>1342433.4479174993</v>
      </c>
      <c r="P77" s="731">
        <f>VehicleCostData2023!AJ74</f>
        <v>1252937.8847229993</v>
      </c>
      <c r="Q77" s="731">
        <f>VehicleCostData2023!AK74</f>
        <v>1163442.3215284995</v>
      </c>
      <c r="R77" s="841">
        <f>VehicleCostData2023!AL74</f>
        <v>1073946.7583339994</v>
      </c>
      <c r="S77" s="330">
        <f t="shared" si="48"/>
        <v>0</v>
      </c>
      <c r="T77" s="330">
        <f t="shared" si="48"/>
        <v>0</v>
      </c>
      <c r="U77" s="330">
        <f t="shared" si="48"/>
        <v>0</v>
      </c>
      <c r="V77" s="330">
        <f t="shared" si="48"/>
        <v>0</v>
      </c>
      <c r="W77" s="330">
        <f t="shared" si="48"/>
        <v>0</v>
      </c>
      <c r="X77" s="330">
        <f t="shared" si="48"/>
        <v>0</v>
      </c>
      <c r="Y77" s="330">
        <f t="shared" si="48"/>
        <v>0</v>
      </c>
      <c r="Z77" s="330">
        <f t="shared" si="48"/>
        <v>0</v>
      </c>
      <c r="AB77" s="404" t="s">
        <v>692</v>
      </c>
      <c r="AC77" s="415"/>
      <c r="AD77" s="414"/>
      <c r="AE77" s="413"/>
      <c r="AF77" s="412"/>
      <c r="AG77" s="411"/>
    </row>
    <row r="78" spans="1:33" ht="15" x14ac:dyDescent="0.2">
      <c r="A78" s="322" t="str">
        <f t="shared" si="47"/>
        <v>Articulated Truck</v>
      </c>
      <c r="B78" s="809"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810">
        <v>84519.914845238978</v>
      </c>
      <c r="K78" s="840">
        <f>VehicleCostData2023!AE75</f>
        <v>8530855.2923044767</v>
      </c>
      <c r="L78" s="731">
        <f>VehicleCostData2023!AF75</f>
        <v>3579822.5277799983</v>
      </c>
      <c r="M78" s="731">
        <f>VehicleCostData2023!AG75</f>
        <v>2803750.521302348</v>
      </c>
      <c r="N78" s="731">
        <f>VehicleCostData2023!AH75</f>
        <v>2027678.5148246973</v>
      </c>
      <c r="O78" s="731">
        <f>VehicleCostData2023!AI75</f>
        <v>1925603.2856943107</v>
      </c>
      <c r="P78" s="731">
        <f>VehicleCostData2023!AJ75</f>
        <v>1823528.0565639238</v>
      </c>
      <c r="Q78" s="731">
        <f>VehicleCostData2023!AK75</f>
        <v>1788704.006609258</v>
      </c>
      <c r="R78" s="841">
        <f>VehicleCostData2023!AL75</f>
        <v>1753879.9566545924</v>
      </c>
      <c r="S78" s="330">
        <f t="shared" si="48"/>
        <v>6.6913149599332318</v>
      </c>
      <c r="T78" s="330">
        <f t="shared" si="48"/>
        <v>2.2642615391590306</v>
      </c>
      <c r="U78" s="330">
        <f t="shared" si="48"/>
        <v>1.7287083528865539</v>
      </c>
      <c r="V78" s="330">
        <f t="shared" si="48"/>
        <v>1.2194795691937488</v>
      </c>
      <c r="W78" s="330">
        <f t="shared" si="48"/>
        <v>1.1362936758076476</v>
      </c>
      <c r="X78" s="330">
        <f t="shared" si="48"/>
        <v>1.0561811853328797</v>
      </c>
      <c r="Y78" s="330">
        <f t="shared" si="48"/>
        <v>1.0242561616329584</v>
      </c>
      <c r="Z78" s="330">
        <f t="shared" si="48"/>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47"/>
        <v>Articulated Truck</v>
      </c>
      <c r="B79" s="809"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810">
        <v>94743.421151816074</v>
      </c>
      <c r="K79" s="840">
        <f>VehicleCostData2023!AE76</f>
        <v>3474119.1477249162</v>
      </c>
      <c r="L79" s="731">
        <f>VehicleCostData2023!AF76</f>
        <v>3579822.5277799983</v>
      </c>
      <c r="M79" s="731">
        <f>VehicleCostData2023!AG76</f>
        <v>3575604.4040529886</v>
      </c>
      <c r="N79" s="731">
        <f>VehicleCostData2023!AH76</f>
        <v>3571386.2803259776</v>
      </c>
      <c r="O79" s="731">
        <f>VehicleCostData2023!AI76</f>
        <v>3596765.5267216424</v>
      </c>
      <c r="P79" s="731">
        <f>VehicleCostData2023!AJ76</f>
        <v>3622144.7731173071</v>
      </c>
      <c r="Q79" s="731">
        <f>VehicleCostData2023!AK76</f>
        <v>3637127.2312092599</v>
      </c>
      <c r="R79" s="841">
        <f>VehicleCostData2023!AL76</f>
        <v>3652109.6893012132</v>
      </c>
      <c r="S79" s="330">
        <f t="shared" si="48"/>
        <v>1.4669309461657043</v>
      </c>
      <c r="T79" s="330">
        <f t="shared" si="48"/>
        <v>1.2189128454904861</v>
      </c>
      <c r="U79" s="330">
        <f t="shared" si="48"/>
        <v>1.1868009651673876</v>
      </c>
      <c r="V79" s="330">
        <f t="shared" si="48"/>
        <v>1.1562675014925008</v>
      </c>
      <c r="W79" s="330">
        <f t="shared" si="48"/>
        <v>1.1425677525450162</v>
      </c>
      <c r="X79" s="330">
        <f t="shared" si="48"/>
        <v>1.1293741573044385</v>
      </c>
      <c r="Y79" s="330">
        <f t="shared" si="48"/>
        <v>1.121178247215727</v>
      </c>
      <c r="Z79" s="330">
        <f t="shared" si="48"/>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47"/>
        <v>Articulated Truck</v>
      </c>
      <c r="B80" s="809"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810">
        <v>89944.528950709704</v>
      </c>
      <c r="K80" s="840">
        <f>VehicleCostData2023!AE77</f>
        <v>4557107.5795656033</v>
      </c>
      <c r="L80" s="731">
        <f>VehicleCostData2023!AF77</f>
        <v>4727145.9737712285</v>
      </c>
      <c r="M80" s="731">
        <f>VehicleCostData2023!AG77</f>
        <v>4713504.5648636129</v>
      </c>
      <c r="N80" s="731">
        <f>VehicleCostData2023!AH77</f>
        <v>4699863.1559559982</v>
      </c>
      <c r="O80" s="731">
        <f>VehicleCostData2023!AI77</f>
        <v>4735164.2717561321</v>
      </c>
      <c r="P80" s="731">
        <f>VehicleCostData2023!AJ77</f>
        <v>4770465.3875562651</v>
      </c>
      <c r="Q80" s="731">
        <f>VehicleCostData2023!AK77</f>
        <v>4791229.4109718567</v>
      </c>
      <c r="R80" s="841">
        <f>VehicleCostData2023!AL77</f>
        <v>4811993.4343874501</v>
      </c>
      <c r="S80" s="330">
        <f t="shared" si="48"/>
        <v>1.3864324615815442</v>
      </c>
      <c r="T80" s="330">
        <f t="shared" si="48"/>
        <v>1.1597240037227237</v>
      </c>
      <c r="U80" s="330">
        <f t="shared" si="48"/>
        <v>1.1272411514396863</v>
      </c>
      <c r="V80" s="330">
        <f t="shared" si="48"/>
        <v>1.0963549504367691</v>
      </c>
      <c r="W80" s="330">
        <f t="shared" si="48"/>
        <v>1.0838005351034481</v>
      </c>
      <c r="X80" s="330">
        <f t="shared" si="48"/>
        <v>1.0717099577487181</v>
      </c>
      <c r="Y80" s="330">
        <f t="shared" si="48"/>
        <v>1.0641616679468318</v>
      </c>
      <c r="Z80" s="330">
        <f t="shared" si="48"/>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47"/>
        <v>Articulated Truck</v>
      </c>
      <c r="B81" s="802"/>
      <c r="E81" s="322"/>
      <c r="J81" s="785"/>
      <c r="K81" s="802">
        <f>VehicleCostData2023!AE78</f>
        <v>0</v>
      </c>
      <c r="L81" s="322">
        <f>VehicleCostData2023!AF78</f>
        <v>0</v>
      </c>
      <c r="M81" s="322">
        <f>VehicleCostData2023!AG78</f>
        <v>0</v>
      </c>
      <c r="N81" s="322">
        <f>VehicleCostData2023!AH78</f>
        <v>0</v>
      </c>
      <c r="O81" s="322">
        <f>VehicleCostData2023!AI78</f>
        <v>0</v>
      </c>
      <c r="P81" s="322">
        <f>VehicleCostData2023!AJ78</f>
        <v>0</v>
      </c>
      <c r="Q81" s="322">
        <f>VehicleCostData2023!AK78</f>
        <v>0</v>
      </c>
      <c r="R81" s="832">
        <f>VehicleCostData2023!AL78</f>
        <v>0</v>
      </c>
      <c r="T81" s="330"/>
      <c r="U81" s="330"/>
      <c r="V81" s="330"/>
      <c r="W81" s="330"/>
      <c r="X81" s="330"/>
      <c r="Y81" s="330"/>
      <c r="Z81" s="330"/>
    </row>
    <row r="82" spans="1:33" x14ac:dyDescent="0.2">
      <c r="A82" s="322" t="str">
        <f t="shared" si="47"/>
        <v>Articulated Truck</v>
      </c>
      <c r="B82" s="812" t="s">
        <v>832</v>
      </c>
      <c r="C82" s="359" t="s">
        <v>831</v>
      </c>
      <c r="D82" s="358">
        <v>0.08</v>
      </c>
      <c r="E82" s="357"/>
      <c r="J82" s="785"/>
      <c r="K82" s="802">
        <f>VehicleCostData2023!AE79</f>
        <v>0</v>
      </c>
      <c r="L82" s="322">
        <f>VehicleCostData2023!AF79</f>
        <v>0</v>
      </c>
      <c r="M82" s="322">
        <f>VehicleCostData2023!AG79</f>
        <v>0</v>
      </c>
      <c r="N82" s="322">
        <f>VehicleCostData2023!AH79</f>
        <v>0</v>
      </c>
      <c r="O82" s="322">
        <f>VehicleCostData2023!AI79</f>
        <v>0</v>
      </c>
      <c r="P82" s="322">
        <f>VehicleCostData2023!AJ79</f>
        <v>0</v>
      </c>
      <c r="Q82" s="322">
        <f>VehicleCostData2023!AK79</f>
        <v>0</v>
      </c>
      <c r="R82" s="832">
        <f>VehicleCostData2023!AL79</f>
        <v>0</v>
      </c>
      <c r="AB82" s="356" t="s">
        <v>816</v>
      </c>
    </row>
    <row r="83" spans="1:33" x14ac:dyDescent="0.2">
      <c r="A83" s="322" t="str">
        <f>B83</f>
        <v>Construction Truck</v>
      </c>
      <c r="B83" s="813" t="s">
        <v>733</v>
      </c>
      <c r="C83" s="351">
        <v>2010</v>
      </c>
      <c r="D83" s="351">
        <v>2020</v>
      </c>
      <c r="E83" s="354"/>
      <c r="F83" s="351">
        <v>2030</v>
      </c>
      <c r="G83" s="351"/>
      <c r="H83" s="351">
        <v>2040</v>
      </c>
      <c r="I83" s="351"/>
      <c r="J83" s="789">
        <v>2050</v>
      </c>
      <c r="K83" s="836">
        <f>VehicleCostData2023!AE80</f>
        <v>2010</v>
      </c>
      <c r="L83" s="353">
        <f>VehicleCostData2023!AF80</f>
        <v>2020</v>
      </c>
      <c r="M83" s="353">
        <f>VehicleCostData2023!AG80</f>
        <v>0</v>
      </c>
      <c r="N83" s="353">
        <f>VehicleCostData2023!AH80</f>
        <v>2030</v>
      </c>
      <c r="O83" s="353">
        <f>VehicleCostData2023!AI80</f>
        <v>0</v>
      </c>
      <c r="P83" s="353">
        <f>VehicleCostData2023!AJ80</f>
        <v>2040</v>
      </c>
      <c r="Q83" s="353">
        <f>VehicleCostData2023!AK80</f>
        <v>0</v>
      </c>
      <c r="R83" s="837">
        <f>VehicleCostData2023!AL80</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49">A83</f>
        <v>Construction Truck</v>
      </c>
      <c r="B84" s="814" t="s">
        <v>791</v>
      </c>
      <c r="C84" s="395" t="s">
        <v>193</v>
      </c>
      <c r="D84" s="394" t="s">
        <v>193</v>
      </c>
      <c r="E84" s="393"/>
      <c r="F84" s="392" t="s">
        <v>193</v>
      </c>
      <c r="G84" s="392"/>
      <c r="H84" s="391" t="s">
        <v>193</v>
      </c>
      <c r="I84" s="391"/>
      <c r="J84" s="815" t="s">
        <v>193</v>
      </c>
      <c r="K84" s="802" t="s">
        <v>1314</v>
      </c>
      <c r="L84" s="322" t="s">
        <v>1314</v>
      </c>
      <c r="M84" s="322" t="s">
        <v>1314</v>
      </c>
      <c r="N84" s="322" t="s">
        <v>1314</v>
      </c>
      <c r="O84" s="322" t="s">
        <v>1314</v>
      </c>
      <c r="P84" s="322" t="s">
        <v>1314</v>
      </c>
      <c r="Q84" s="322" t="s">
        <v>1314</v>
      </c>
      <c r="R84" s="832" t="s">
        <v>1314</v>
      </c>
      <c r="AB84" s="389" t="s">
        <v>659</v>
      </c>
      <c r="AC84" s="388" t="s">
        <v>663</v>
      </c>
      <c r="AD84" s="387" t="s">
        <v>663</v>
      </c>
      <c r="AE84" s="386" t="s">
        <v>663</v>
      </c>
      <c r="AF84" s="385" t="s">
        <v>663</v>
      </c>
      <c r="AG84" s="384" t="s">
        <v>663</v>
      </c>
    </row>
    <row r="85" spans="1:33" ht="15" x14ac:dyDescent="0.2">
      <c r="A85" s="322" t="str">
        <f t="shared" si="49"/>
        <v>Construction Truck</v>
      </c>
      <c r="B85" s="816"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817">
        <v>69543.339670011163</v>
      </c>
      <c r="K85" s="840">
        <f>VehicleCostData2023!AE82</f>
        <v>956363.0638347615</v>
      </c>
      <c r="L85" s="731">
        <f>VehicleCostData2023!AF82</f>
        <v>1163442.3215284995</v>
      </c>
      <c r="M85" s="731">
        <f>VehicleCostData2023!AG82</f>
        <v>1195505.6816828223</v>
      </c>
      <c r="N85" s="731">
        <f>VehicleCostData2023!AH82</f>
        <v>1227569.0418371451</v>
      </c>
      <c r="O85" s="731">
        <f>VehicleCostData2023!AI82</f>
        <v>1253597.2478984545</v>
      </c>
      <c r="P85" s="731">
        <f>VehicleCostData2023!AJ82</f>
        <v>1279625.453959764</v>
      </c>
      <c r="Q85" s="731">
        <f>VehicleCostData2023!AK82</f>
        <v>1303599.7575176458</v>
      </c>
      <c r="R85" s="841">
        <f>VehicleCostData2023!AL82</f>
        <v>1327574.0610755279</v>
      </c>
      <c r="S85" s="330">
        <f t="shared" ref="S85:Z92" si="50">C85/C$85</f>
        <v>1</v>
      </c>
      <c r="T85" s="330">
        <f t="shared" si="50"/>
        <v>1</v>
      </c>
      <c r="U85" s="330">
        <f t="shared" si="50"/>
        <v>1</v>
      </c>
      <c r="V85" s="330">
        <f t="shared" si="50"/>
        <v>1</v>
      </c>
      <c r="W85" s="330">
        <f t="shared" si="50"/>
        <v>1</v>
      </c>
      <c r="X85" s="330">
        <f t="shared" si="50"/>
        <v>1</v>
      </c>
      <c r="Y85" s="330">
        <f t="shared" si="50"/>
        <v>1</v>
      </c>
      <c r="Z85" s="330">
        <f t="shared" si="50"/>
        <v>1</v>
      </c>
      <c r="AB85" s="366" t="s">
        <v>687</v>
      </c>
      <c r="AC85" s="365">
        <v>13.15733229927832</v>
      </c>
      <c r="AD85" s="364">
        <v>12.08372523506852</v>
      </c>
      <c r="AE85" s="363">
        <v>11.084387942527147</v>
      </c>
      <c r="AF85" s="362">
        <v>10.395192174875143</v>
      </c>
      <c r="AG85" s="361">
        <v>9.891747987713071</v>
      </c>
    </row>
    <row r="86" spans="1:33" ht="15" x14ac:dyDescent="0.2">
      <c r="A86" s="322" t="str">
        <f t="shared" si="49"/>
        <v>Construction Truck</v>
      </c>
      <c r="B86" s="816"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817">
        <v>72584.198123675305</v>
      </c>
      <c r="K86" s="840">
        <f>VehicleCostData2023!AE83</f>
        <v>0</v>
      </c>
      <c r="L86" s="731">
        <f>VehicleCostData2023!AF83</f>
        <v>0</v>
      </c>
      <c r="M86" s="731">
        <f>VehicleCostData2023!AG83</f>
        <v>0</v>
      </c>
      <c r="N86" s="731">
        <f>VehicleCostData2023!AH83</f>
        <v>0</v>
      </c>
      <c r="O86" s="731">
        <f>VehicleCostData2023!AI83</f>
        <v>0</v>
      </c>
      <c r="P86" s="731">
        <f>VehicleCostData2023!AJ83</f>
        <v>0</v>
      </c>
      <c r="Q86" s="731">
        <f>VehicleCostData2023!AK83</f>
        <v>0</v>
      </c>
      <c r="R86" s="841">
        <f>VehicleCostData2023!AL83</f>
        <v>0</v>
      </c>
      <c r="S86" s="330">
        <f t="shared" si="50"/>
        <v>1.1837298135688425</v>
      </c>
      <c r="T86" s="330">
        <f t="shared" si="50"/>
        <v>1.1236058599720591</v>
      </c>
      <c r="U86" s="330">
        <f t="shared" si="50"/>
        <v>1.1006028349948314</v>
      </c>
      <c r="V86" s="330">
        <f t="shared" si="50"/>
        <v>1.0788014601885465</v>
      </c>
      <c r="W86" s="330">
        <f t="shared" si="50"/>
        <v>1.0677781658618322</v>
      </c>
      <c r="X86" s="330">
        <f t="shared" si="50"/>
        <v>1.0572033099048335</v>
      </c>
      <c r="Y86" s="330">
        <f t="shared" si="50"/>
        <v>1.0503407721189795</v>
      </c>
      <c r="Z86" s="330">
        <f t="shared" si="50"/>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49"/>
        <v>Construction Truck</v>
      </c>
      <c r="B87" s="816"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817">
        <v>76325.45168161644</v>
      </c>
      <c r="K87" s="840">
        <f>VehicleCostData2023!AE84</f>
        <v>0</v>
      </c>
      <c r="L87" s="731">
        <f>VehicleCostData2023!AF84</f>
        <v>0</v>
      </c>
      <c r="M87" s="731">
        <f>VehicleCostData2023!AG84</f>
        <v>0</v>
      </c>
      <c r="N87" s="731">
        <f>VehicleCostData2023!AH84</f>
        <v>0</v>
      </c>
      <c r="O87" s="731">
        <f>VehicleCostData2023!AI84</f>
        <v>0</v>
      </c>
      <c r="P87" s="731">
        <f>VehicleCostData2023!AJ84</f>
        <v>0</v>
      </c>
      <c r="Q87" s="731">
        <f>VehicleCostData2023!AK84</f>
        <v>0</v>
      </c>
      <c r="R87" s="841">
        <f>VehicleCostData2023!AL84</f>
        <v>0</v>
      </c>
      <c r="S87" s="330">
        <f t="shared" si="50"/>
        <v>1.1801604057260844</v>
      </c>
      <c r="T87" s="330">
        <f t="shared" si="50"/>
        <v>1.0778024142606366</v>
      </c>
      <c r="U87" s="330">
        <f t="shared" si="50"/>
        <v>1.0647488938513174</v>
      </c>
      <c r="V87" s="330">
        <f t="shared" si="50"/>
        <v>1.0523772735419539</v>
      </c>
      <c r="W87" s="330">
        <f t="shared" si="50"/>
        <v>1.0616367581372155</v>
      </c>
      <c r="X87" s="330">
        <f t="shared" si="50"/>
        <v>1.0705195578637583</v>
      </c>
      <c r="Y87" s="330">
        <f t="shared" si="50"/>
        <v>1.0842698571760221</v>
      </c>
      <c r="Z87" s="330">
        <f t="shared" si="50"/>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49"/>
        <v>Construction Truck</v>
      </c>
      <c r="B88" s="816"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817">
        <v>74071.864505954203</v>
      </c>
      <c r="K88" s="840">
        <f>VehicleCostData2023!AE85</f>
        <v>1600103.191688308</v>
      </c>
      <c r="L88" s="731">
        <f>VehicleCostData2023!AF85</f>
        <v>1700415.7006954991</v>
      </c>
      <c r="M88" s="731">
        <f>VehicleCostData2023!AG85</f>
        <v>1710621.877238807</v>
      </c>
      <c r="N88" s="731">
        <f>VehicleCostData2023!AH85</f>
        <v>1720828.0537821145</v>
      </c>
      <c r="O88" s="731">
        <f>VehicleCostData2023!AI85</f>
        <v>1760127.0736224777</v>
      </c>
      <c r="P88" s="731">
        <f>VehicleCostData2023!AJ85</f>
        <v>1799426.0934628409</v>
      </c>
      <c r="Q88" s="731">
        <f>VehicleCostData2023!AK85</f>
        <v>1851270.2589186248</v>
      </c>
      <c r="R88" s="841">
        <f>VehicleCostData2023!AL85</f>
        <v>1903114.4243744088</v>
      </c>
      <c r="S88" s="330">
        <f t="shared" si="50"/>
        <v>1.2431306890012639</v>
      </c>
      <c r="T88" s="330">
        <f t="shared" si="50"/>
        <v>1.0859300215742804</v>
      </c>
      <c r="U88" s="330">
        <f t="shared" si="50"/>
        <v>1.0631485926492341</v>
      </c>
      <c r="V88" s="330">
        <f t="shared" si="50"/>
        <v>1.0415572379856901</v>
      </c>
      <c r="W88" s="330">
        <f t="shared" si="50"/>
        <v>1.0432240349280983</v>
      </c>
      <c r="X88" s="330">
        <f t="shared" si="50"/>
        <v>1.0448230249444326</v>
      </c>
      <c r="Y88" s="330">
        <f t="shared" si="50"/>
        <v>1.0551571453940514</v>
      </c>
      <c r="Z88" s="330">
        <f t="shared" si="50"/>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49"/>
        <v>Construction Truck</v>
      </c>
      <c r="B89" s="816" t="s">
        <v>692</v>
      </c>
      <c r="C89" s="383"/>
      <c r="D89" s="382"/>
      <c r="E89" s="381"/>
      <c r="F89" s="380"/>
      <c r="G89" s="380"/>
      <c r="H89" s="379"/>
      <c r="I89" s="379"/>
      <c r="J89" s="818"/>
      <c r="K89" s="840">
        <f>VehicleCostData2023!AE86</f>
        <v>3521188.7228997489</v>
      </c>
      <c r="L89" s="731">
        <f>VehicleCostData2023!AF86</f>
        <v>2684866.8958349987</v>
      </c>
      <c r="M89" s="731">
        <f>VehicleCostData2023!AG86</f>
        <v>1879406.8270844989</v>
      </c>
      <c r="N89" s="731">
        <f>VehicleCostData2023!AH86</f>
        <v>1610920.137500999</v>
      </c>
      <c r="O89" s="731">
        <f>VehicleCostData2023!AI86</f>
        <v>1342433.4479174993</v>
      </c>
      <c r="P89" s="731">
        <f>VehicleCostData2023!AJ86</f>
        <v>1252937.8847229993</v>
      </c>
      <c r="Q89" s="731">
        <f>VehicleCostData2023!AK86</f>
        <v>1163442.3215284995</v>
      </c>
      <c r="R89" s="841">
        <f>VehicleCostData2023!AL86</f>
        <v>1073946.7583339994</v>
      </c>
      <c r="S89" s="330">
        <f t="shared" si="50"/>
        <v>0</v>
      </c>
      <c r="T89" s="330">
        <f t="shared" si="50"/>
        <v>0</v>
      </c>
      <c r="U89" s="330">
        <f t="shared" si="50"/>
        <v>0</v>
      </c>
      <c r="V89" s="330">
        <f t="shared" si="50"/>
        <v>0</v>
      </c>
      <c r="W89" s="330">
        <f t="shared" si="50"/>
        <v>0</v>
      </c>
      <c r="X89" s="330">
        <f t="shared" si="50"/>
        <v>0</v>
      </c>
      <c r="Y89" s="330">
        <f t="shared" si="50"/>
        <v>0</v>
      </c>
      <c r="Z89" s="330">
        <f t="shared" si="50"/>
        <v>0</v>
      </c>
      <c r="AB89" s="366" t="s">
        <v>692</v>
      </c>
      <c r="AC89" s="377"/>
      <c r="AD89" s="376"/>
      <c r="AE89" s="375"/>
      <c r="AF89" s="374"/>
      <c r="AG89" s="373"/>
    </row>
    <row r="90" spans="1:33" ht="15" x14ac:dyDescent="0.2">
      <c r="A90" s="322" t="str">
        <f t="shared" si="49"/>
        <v>Construction Truck</v>
      </c>
      <c r="B90" s="816"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817">
        <v>72495.273137682903</v>
      </c>
      <c r="K90" s="840">
        <f>VehicleCostData2023!AE87</f>
        <v>8042741.4583561001</v>
      </c>
      <c r="L90" s="731">
        <f>VehicleCostData2023!AF87</f>
        <v>3579822.5277799987</v>
      </c>
      <c r="M90" s="731">
        <f>VehicleCostData2023!AG87</f>
        <v>2873517.7770202667</v>
      </c>
      <c r="N90" s="731">
        <f>VehicleCostData2023!AH87</f>
        <v>2167213.0262605338</v>
      </c>
      <c r="O90" s="731">
        <f>VehicleCostData2023!AI87</f>
        <v>2107902.3427070309</v>
      </c>
      <c r="P90" s="731">
        <f>VehicleCostData2023!AJ87</f>
        <v>2048591.6591535285</v>
      </c>
      <c r="Q90" s="731">
        <f>VehicleCostData2023!AK87</f>
        <v>2064915.490803631</v>
      </c>
      <c r="R90" s="841">
        <f>VehicleCostData2023!AL87</f>
        <v>2081239.3224537333</v>
      </c>
      <c r="S90" s="330">
        <f t="shared" si="50"/>
        <v>5.5920648162103834</v>
      </c>
      <c r="T90" s="330">
        <f t="shared" si="50"/>
        <v>2.0460089169976405</v>
      </c>
      <c r="U90" s="330">
        <f t="shared" si="50"/>
        <v>1.5982809639717943</v>
      </c>
      <c r="V90" s="330">
        <f t="shared" si="50"/>
        <v>1.1739417770678782</v>
      </c>
      <c r="W90" s="330">
        <f t="shared" si="50"/>
        <v>1.1181069309819107</v>
      </c>
      <c r="X90" s="330">
        <f t="shared" si="50"/>
        <v>1.0645435009182334</v>
      </c>
      <c r="Y90" s="330">
        <f t="shared" si="50"/>
        <v>1.0532922638767981</v>
      </c>
      <c r="Z90" s="330">
        <f t="shared" si="50"/>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49"/>
        <v>Construction Truck</v>
      </c>
      <c r="B91" s="816"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817">
        <v>79269.06805478195</v>
      </c>
      <c r="K91" s="840">
        <f>VehicleCostData2023!AE88</f>
        <v>3504392.1771451356</v>
      </c>
      <c r="L91" s="731">
        <f>VehicleCostData2023!AF88</f>
        <v>3579822.5277799978</v>
      </c>
      <c r="M91" s="731">
        <f>VehicleCostData2023!AG88</f>
        <v>3589205.6301587783</v>
      </c>
      <c r="N91" s="731">
        <f>VehicleCostData2023!AH88</f>
        <v>3598588.7325375578</v>
      </c>
      <c r="O91" s="731">
        <f>VehicleCostData2023!AI88</f>
        <v>3624638.8526930553</v>
      </c>
      <c r="P91" s="731">
        <f>VehicleCostData2023!AJ88</f>
        <v>3650688.9728485532</v>
      </c>
      <c r="Q91" s="731">
        <f>VehicleCostData2023!AK88</f>
        <v>3684734.7178640026</v>
      </c>
      <c r="R91" s="841">
        <f>VehicleCostData2023!AL88</f>
        <v>3718780.4628794515</v>
      </c>
      <c r="S91" s="330">
        <f t="shared" si="50"/>
        <v>1.4910641709683894</v>
      </c>
      <c r="T91" s="330">
        <f t="shared" si="50"/>
        <v>1.2520540175239454</v>
      </c>
      <c r="U91" s="330">
        <f t="shared" si="50"/>
        <v>1.2216677881916094</v>
      </c>
      <c r="V91" s="330">
        <f t="shared" si="50"/>
        <v>1.1928688986855631</v>
      </c>
      <c r="W91" s="330">
        <f t="shared" si="50"/>
        <v>1.1765574507192</v>
      </c>
      <c r="X91" s="330">
        <f t="shared" si="50"/>
        <v>1.1609095683727815</v>
      </c>
      <c r="Y91" s="330">
        <f t="shared" si="50"/>
        <v>1.1501868085906495</v>
      </c>
      <c r="Z91" s="330">
        <f t="shared" si="50"/>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49"/>
        <v>Construction Truck</v>
      </c>
      <c r="B92" s="816"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817">
        <v>76260.254204133933</v>
      </c>
      <c r="K92" s="840">
        <f>VehicleCostData2023!AE89</f>
        <v>3828882.6328785373</v>
      </c>
      <c r="L92" s="731">
        <f>VehicleCostData2023!AF89</f>
        <v>3923336.7782480051</v>
      </c>
      <c r="M92" s="731">
        <f>VehicleCostData2023!AG89</f>
        <v>3932219.397730872</v>
      </c>
      <c r="N92" s="731">
        <f>VehicleCostData2023!AH89</f>
        <v>3941102.0172137385</v>
      </c>
      <c r="O92" s="731">
        <f>VehicleCostData2023!AI89</f>
        <v>3971399.9641587441</v>
      </c>
      <c r="P92" s="731">
        <f>VehicleCostData2023!AJ89</f>
        <v>4001697.9111037501</v>
      </c>
      <c r="Q92" s="731">
        <f>VehicleCostData2023!AK89</f>
        <v>4040794.2797200046</v>
      </c>
      <c r="R92" s="841">
        <f>VehicleCostData2023!AL89</f>
        <v>4079890.6483362587</v>
      </c>
      <c r="S92" s="330">
        <f t="shared" si="50"/>
        <v>1.4285722193905583</v>
      </c>
      <c r="T92" s="330">
        <f t="shared" si="50"/>
        <v>1.2032716173999471</v>
      </c>
      <c r="U92" s="330">
        <f t="shared" si="50"/>
        <v>1.1736511746803999</v>
      </c>
      <c r="V92" s="330">
        <f t="shared" si="50"/>
        <v>1.1455780680217651</v>
      </c>
      <c r="W92" s="330">
        <f t="shared" si="50"/>
        <v>1.1304166314319881</v>
      </c>
      <c r="X92" s="330">
        <f t="shared" si="50"/>
        <v>1.1158719768771779</v>
      </c>
      <c r="Y92" s="330">
        <f t="shared" si="50"/>
        <v>1.1060516569080923</v>
      </c>
      <c r="Z92" s="330">
        <f t="shared" si="50"/>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49"/>
        <v>Construction Truck</v>
      </c>
      <c r="B93" s="802"/>
      <c r="J93" s="785"/>
      <c r="K93" s="802">
        <f>VehicleCostData2023!AE90</f>
        <v>0</v>
      </c>
      <c r="L93" s="322">
        <f>VehicleCostData2023!AF90</f>
        <v>0</v>
      </c>
      <c r="M93" s="322">
        <f>VehicleCostData2023!AG90</f>
        <v>0</v>
      </c>
      <c r="N93" s="322">
        <f>VehicleCostData2023!AH90</f>
        <v>0</v>
      </c>
      <c r="O93" s="322">
        <f>VehicleCostData2023!AI90</f>
        <v>0</v>
      </c>
      <c r="P93" s="322">
        <f>VehicleCostData2023!AJ90</f>
        <v>0</v>
      </c>
      <c r="Q93" s="322">
        <f>VehicleCostData2023!AK90</f>
        <v>0</v>
      </c>
      <c r="R93" s="832">
        <f>VehicleCostData2023!AL90</f>
        <v>0</v>
      </c>
    </row>
    <row r="94" spans="1:33" x14ac:dyDescent="0.2">
      <c r="A94" s="322" t="str">
        <f t="shared" si="49"/>
        <v>Construction Truck</v>
      </c>
      <c r="B94" s="819" t="s">
        <v>832</v>
      </c>
      <c r="C94" s="359" t="s">
        <v>831</v>
      </c>
      <c r="D94" s="358">
        <v>0.08</v>
      </c>
      <c r="E94" s="357"/>
      <c r="J94" s="785"/>
      <c r="K94" s="802">
        <f>VehicleCostData2023!AE91</f>
        <v>0</v>
      </c>
      <c r="L94" s="322">
        <f>VehicleCostData2023!AF91</f>
        <v>0</v>
      </c>
      <c r="M94" s="322">
        <f>VehicleCostData2023!AG91</f>
        <v>0</v>
      </c>
      <c r="N94" s="322">
        <f>VehicleCostData2023!AH91</f>
        <v>0</v>
      </c>
      <c r="O94" s="322">
        <f>VehicleCostData2023!AI91</f>
        <v>0</v>
      </c>
      <c r="P94" s="322">
        <f>VehicleCostData2023!AJ91</f>
        <v>0</v>
      </c>
      <c r="Q94" s="322">
        <f>VehicleCostData2023!AK91</f>
        <v>0</v>
      </c>
      <c r="R94" s="832">
        <f>VehicleCostData2023!AL91</f>
        <v>0</v>
      </c>
      <c r="AB94" s="356" t="s">
        <v>816</v>
      </c>
    </row>
    <row r="95" spans="1:33" x14ac:dyDescent="0.2">
      <c r="A95" s="322" t="str">
        <f>B95</f>
        <v>Bus</v>
      </c>
      <c r="B95" s="820" t="s">
        <v>60</v>
      </c>
      <c r="C95" s="351">
        <v>2010</v>
      </c>
      <c r="D95" s="351">
        <v>2020</v>
      </c>
      <c r="E95" s="354"/>
      <c r="F95" s="351">
        <v>2030</v>
      </c>
      <c r="G95" s="351"/>
      <c r="H95" s="351">
        <v>2040</v>
      </c>
      <c r="I95" s="351"/>
      <c r="J95" s="789">
        <v>2050</v>
      </c>
      <c r="K95" s="836">
        <f>VehicleCostData2023!AE92</f>
        <v>2010</v>
      </c>
      <c r="L95" s="353">
        <f>VehicleCostData2023!AF92</f>
        <v>2020</v>
      </c>
      <c r="M95" s="353">
        <f>VehicleCostData2023!AG92</f>
        <v>0</v>
      </c>
      <c r="N95" s="353">
        <f>VehicleCostData2023!AH92</f>
        <v>2030</v>
      </c>
      <c r="O95" s="353">
        <f>VehicleCostData2023!AI92</f>
        <v>0</v>
      </c>
      <c r="P95" s="353">
        <f>VehicleCostData2023!AJ92</f>
        <v>2040</v>
      </c>
      <c r="Q95" s="353">
        <f>VehicleCostData2023!AK92</f>
        <v>0</v>
      </c>
      <c r="R95" s="837">
        <f>VehicleCostData2023!AL92</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51">A95</f>
        <v>Bus</v>
      </c>
      <c r="B96" s="821" t="s">
        <v>791</v>
      </c>
      <c r="C96" s="349" t="s">
        <v>193</v>
      </c>
      <c r="D96" s="348" t="s">
        <v>193</v>
      </c>
      <c r="E96" s="347"/>
      <c r="F96" s="346" t="s">
        <v>193</v>
      </c>
      <c r="G96" s="346"/>
      <c r="H96" s="345" t="s">
        <v>193</v>
      </c>
      <c r="I96" s="345"/>
      <c r="J96" s="822" t="s">
        <v>193</v>
      </c>
      <c r="K96" s="802" t="s">
        <v>1314</v>
      </c>
      <c r="L96" s="322" t="s">
        <v>1314</v>
      </c>
      <c r="M96" s="322" t="s">
        <v>1314</v>
      </c>
      <c r="N96" s="322" t="s">
        <v>1314</v>
      </c>
      <c r="O96" s="322" t="s">
        <v>1314</v>
      </c>
      <c r="P96" s="322" t="s">
        <v>1314</v>
      </c>
      <c r="Q96" s="322" t="s">
        <v>1314</v>
      </c>
      <c r="R96" s="832" t="s">
        <v>1314</v>
      </c>
      <c r="AB96" s="343" t="s">
        <v>659</v>
      </c>
      <c r="AC96" s="342" t="s">
        <v>663</v>
      </c>
      <c r="AD96" s="341" t="s">
        <v>663</v>
      </c>
      <c r="AE96" s="340" t="s">
        <v>663</v>
      </c>
      <c r="AF96" s="339" t="s">
        <v>663</v>
      </c>
      <c r="AG96" s="338" t="s">
        <v>663</v>
      </c>
    </row>
    <row r="97" spans="1:33" ht="15" x14ac:dyDescent="0.2">
      <c r="A97" s="322" t="str">
        <f t="shared" si="51"/>
        <v>Bus</v>
      </c>
      <c r="B97" s="823" t="s">
        <v>687</v>
      </c>
      <c r="C97" s="336">
        <v>104585.67980691875</v>
      </c>
      <c r="D97" s="335">
        <v>113077.07610471442</v>
      </c>
      <c r="E97" s="332">
        <f t="shared" ref="E97:E104" si="52">AVERAGE(D97,F97)</f>
        <v>115188.39593625024</v>
      </c>
      <c r="F97" s="334">
        <v>117299.71576778605</v>
      </c>
      <c r="G97" s="332">
        <f t="shared" ref="G97:G104" si="53">AVERAGE(F97,H97)</f>
        <v>118657.16814124331</v>
      </c>
      <c r="H97" s="333">
        <v>120014.62051470055</v>
      </c>
      <c r="I97" s="332">
        <f t="shared" ref="I97:I104" si="54">AVERAGE(H97,J97)</f>
        <v>121564.25896065209</v>
      </c>
      <c r="J97" s="824">
        <v>123113.89740660363</v>
      </c>
      <c r="K97" s="840">
        <f>VehicleCostData2023!AE94</f>
        <v>1821049.8719484597</v>
      </c>
      <c r="L97" s="731">
        <f>VehicleCostData2023!AF94</f>
        <v>1968902.3902789995</v>
      </c>
      <c r="M97" s="731">
        <f>VehicleCostData2023!AG94</f>
        <v>2005664.7722414122</v>
      </c>
      <c r="N97" s="731">
        <f>VehicleCostData2023!AH94</f>
        <v>2042427.1542038247</v>
      </c>
      <c r="O97" s="731">
        <f>VehicleCostData2023!AI94</f>
        <v>2066063.1670444368</v>
      </c>
      <c r="P97" s="731">
        <f>VehicleCostData2023!AJ94</f>
        <v>2089699.1798850487</v>
      </c>
      <c r="Q97" s="731">
        <f>VehicleCostData2023!AK94</f>
        <v>2116681.5439981497</v>
      </c>
      <c r="R97" s="841">
        <f>VehicleCostData2023!AL94</f>
        <v>2143663.9081112505</v>
      </c>
      <c r="S97" s="330">
        <f t="shared" ref="S97:Z104" si="55">C97/C$97</f>
        <v>1</v>
      </c>
      <c r="T97" s="330">
        <f t="shared" si="55"/>
        <v>1</v>
      </c>
      <c r="U97" s="330">
        <f t="shared" si="55"/>
        <v>1</v>
      </c>
      <c r="V97" s="330">
        <f t="shared" si="55"/>
        <v>1</v>
      </c>
      <c r="W97" s="330">
        <f t="shared" si="55"/>
        <v>1</v>
      </c>
      <c r="X97" s="330">
        <f t="shared" si="55"/>
        <v>1</v>
      </c>
      <c r="Y97" s="330">
        <f t="shared" si="55"/>
        <v>1</v>
      </c>
      <c r="Z97" s="330">
        <f t="shared" si="55"/>
        <v>1</v>
      </c>
      <c r="AB97" s="329" t="s">
        <v>687</v>
      </c>
      <c r="AC97" s="328">
        <v>13.994490402622045</v>
      </c>
      <c r="AD97" s="327">
        <v>13.191801941531427</v>
      </c>
      <c r="AE97" s="326">
        <v>11.734984998533537</v>
      </c>
      <c r="AF97" s="325">
        <v>11.220071176529693</v>
      </c>
      <c r="AG97" s="324">
        <v>10.791662866044483</v>
      </c>
    </row>
    <row r="98" spans="1:33" ht="15" x14ac:dyDescent="0.2">
      <c r="A98" s="322" t="str">
        <f t="shared" si="51"/>
        <v>Bus</v>
      </c>
      <c r="B98" s="823" t="s">
        <v>829</v>
      </c>
      <c r="C98" s="336">
        <v>112781.74324159419</v>
      </c>
      <c r="D98" s="335">
        <v>119843.62290240868</v>
      </c>
      <c r="E98" s="332">
        <f t="shared" si="52"/>
        <v>120931.82437835461</v>
      </c>
      <c r="F98" s="334">
        <v>122020.02585430053</v>
      </c>
      <c r="G98" s="332">
        <f t="shared" si="53"/>
        <v>122869.25200041107</v>
      </c>
      <c r="H98" s="333">
        <v>123718.47814652159</v>
      </c>
      <c r="I98" s="332">
        <f t="shared" si="54"/>
        <v>124937.38050446415</v>
      </c>
      <c r="J98" s="824">
        <v>126156.2828624067</v>
      </c>
      <c r="K98" s="840">
        <f>VehicleCostData2023!AE95</f>
        <v>0</v>
      </c>
      <c r="L98" s="731">
        <f>VehicleCostData2023!AF95</f>
        <v>0</v>
      </c>
      <c r="M98" s="731">
        <f>VehicleCostData2023!AG95</f>
        <v>0</v>
      </c>
      <c r="N98" s="731">
        <f>VehicleCostData2023!AH95</f>
        <v>0</v>
      </c>
      <c r="O98" s="731">
        <f>VehicleCostData2023!AI95</f>
        <v>0</v>
      </c>
      <c r="P98" s="731">
        <f>VehicleCostData2023!AJ95</f>
        <v>0</v>
      </c>
      <c r="Q98" s="731">
        <f>VehicleCostData2023!AK95</f>
        <v>0</v>
      </c>
      <c r="R98" s="841">
        <f>VehicleCostData2023!AL95</f>
        <v>0</v>
      </c>
      <c r="S98" s="330">
        <f t="shared" si="55"/>
        <v>1.0783669757638583</v>
      </c>
      <c r="T98" s="330">
        <f t="shared" si="55"/>
        <v>1.0598401287934625</v>
      </c>
      <c r="U98" s="330">
        <f t="shared" si="55"/>
        <v>1.0498611721729592</v>
      </c>
      <c r="V98" s="330">
        <f t="shared" si="55"/>
        <v>1.0402414452210533</v>
      </c>
      <c r="W98" s="330">
        <f t="shared" si="55"/>
        <v>1.0354979300884202</v>
      </c>
      <c r="X98" s="330">
        <f t="shared" si="55"/>
        <v>1.0308617201465662</v>
      </c>
      <c r="Y98" s="330">
        <f t="shared" si="55"/>
        <v>1.0277476420508092</v>
      </c>
      <c r="Z98" s="330">
        <f t="shared" si="55"/>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51"/>
        <v>Bus</v>
      </c>
      <c r="B99" s="823" t="s">
        <v>828</v>
      </c>
      <c r="C99" s="336">
        <v>113443.27980691874</v>
      </c>
      <c r="D99" s="335">
        <v>117649.86503170698</v>
      </c>
      <c r="E99" s="332">
        <f t="shared" si="52"/>
        <v>118979.95394617732</v>
      </c>
      <c r="F99" s="334">
        <v>120310.04286064766</v>
      </c>
      <c r="G99" s="332">
        <f t="shared" si="53"/>
        <v>121286.87552080402</v>
      </c>
      <c r="H99" s="333">
        <v>122263.7081809604</v>
      </c>
      <c r="I99" s="332">
        <f t="shared" si="54"/>
        <v>123565.6368522952</v>
      </c>
      <c r="J99" s="824">
        <v>124867.56552362998</v>
      </c>
      <c r="K99" s="840">
        <f>VehicleCostData2023!AE96</f>
        <v>0</v>
      </c>
      <c r="L99" s="731">
        <f>VehicleCostData2023!AF96</f>
        <v>0</v>
      </c>
      <c r="M99" s="731">
        <f>VehicleCostData2023!AG96</f>
        <v>0</v>
      </c>
      <c r="N99" s="731">
        <f>VehicleCostData2023!AH96</f>
        <v>0</v>
      </c>
      <c r="O99" s="731">
        <f>VehicleCostData2023!AI96</f>
        <v>0</v>
      </c>
      <c r="P99" s="731">
        <f>VehicleCostData2023!AJ96</f>
        <v>0</v>
      </c>
      <c r="Q99" s="731">
        <f>VehicleCostData2023!AK96</f>
        <v>0</v>
      </c>
      <c r="R99" s="841">
        <f>VehicleCostData2023!AL96</f>
        <v>0</v>
      </c>
      <c r="S99" s="330">
        <f t="shared" si="55"/>
        <v>1.084692283076923</v>
      </c>
      <c r="T99" s="330">
        <f t="shared" si="55"/>
        <v>1.0404395752394406</v>
      </c>
      <c r="U99" s="330">
        <f t="shared" si="55"/>
        <v>1.0329161455814133</v>
      </c>
      <c r="V99" s="330">
        <f t="shared" si="55"/>
        <v>1.0256635497635906</v>
      </c>
      <c r="W99" s="330">
        <f t="shared" si="55"/>
        <v>1.0221622293937644</v>
      </c>
      <c r="X99" s="330">
        <f t="shared" si="55"/>
        <v>1.0187401139679007</v>
      </c>
      <c r="Y99" s="330">
        <f t="shared" si="55"/>
        <v>1.0164635387798555</v>
      </c>
      <c r="Z99" s="330">
        <f t="shared" si="55"/>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51"/>
        <v>Bus</v>
      </c>
      <c r="B100" s="823" t="s">
        <v>689</v>
      </c>
      <c r="C100" s="336">
        <v>116351.42843540911</v>
      </c>
      <c r="D100" s="335">
        <v>119377.37392363261</v>
      </c>
      <c r="E100" s="332">
        <f t="shared" si="52"/>
        <v>119821.79555029134</v>
      </c>
      <c r="F100" s="334">
        <v>120266.21717695009</v>
      </c>
      <c r="G100" s="332">
        <f t="shared" si="53"/>
        <v>120754.76021338374</v>
      </c>
      <c r="H100" s="333">
        <v>121243.30324981739</v>
      </c>
      <c r="I100" s="332">
        <f t="shared" si="54"/>
        <v>122275.5039036619</v>
      </c>
      <c r="J100" s="824">
        <v>123307.70455750641</v>
      </c>
      <c r="K100" s="840">
        <f>VehicleCostData2023!AE97</f>
        <v>3489082.1515215435</v>
      </c>
      <c r="L100" s="731">
        <f>VehicleCostData2023!AF97</f>
        <v>3579822.5277799983</v>
      </c>
      <c r="M100" s="731">
        <f>VehicleCostData2023!AG97</f>
        <v>3593149.5972124636</v>
      </c>
      <c r="N100" s="731">
        <f>VehicleCostData2023!AH97</f>
        <v>3606476.666644929</v>
      </c>
      <c r="O100" s="731">
        <f>VehicleCostData2023!AI97</f>
        <v>3621126.8244607137</v>
      </c>
      <c r="P100" s="731">
        <f>VehicleCostData2023!AJ97</f>
        <v>3635776.9822764993</v>
      </c>
      <c r="Q100" s="731">
        <f>VehicleCostData2023!AK97</f>
        <v>3666730.043416759</v>
      </c>
      <c r="R100" s="841">
        <f>VehicleCostData2023!AL97</f>
        <v>3697683.1045570183</v>
      </c>
      <c r="S100" s="330">
        <f t="shared" si="55"/>
        <v>1.1124986580401039</v>
      </c>
      <c r="T100" s="330">
        <f t="shared" si="55"/>
        <v>1.0557168440850366</v>
      </c>
      <c r="U100" s="330">
        <f t="shared" si="55"/>
        <v>1.0402245345668795</v>
      </c>
      <c r="V100" s="330">
        <f t="shared" si="55"/>
        <v>1.0252899283663799</v>
      </c>
      <c r="W100" s="330">
        <f t="shared" si="55"/>
        <v>1.0176777526802558</v>
      </c>
      <c r="X100" s="330">
        <f t="shared" si="55"/>
        <v>1.0102377754464202</v>
      </c>
      <c r="Y100" s="330">
        <f t="shared" si="55"/>
        <v>1.005850773484664</v>
      </c>
      <c r="Z100" s="330">
        <f t="shared" si="55"/>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51"/>
        <v>Bus</v>
      </c>
      <c r="B101" s="823" t="s">
        <v>692</v>
      </c>
      <c r="C101" s="336">
        <v>210032.009662809</v>
      </c>
      <c r="D101" s="335">
        <v>160147.05094959697</v>
      </c>
      <c r="E101" s="332">
        <f t="shared" si="52"/>
        <v>151867.75591154594</v>
      </c>
      <c r="F101" s="334">
        <v>143588.46087349489</v>
      </c>
      <c r="G101" s="332">
        <f t="shared" si="53"/>
        <v>144564.87323401903</v>
      </c>
      <c r="H101" s="333">
        <v>145541.28559454315</v>
      </c>
      <c r="I101" s="332">
        <f t="shared" si="54"/>
        <v>146467.9438683865</v>
      </c>
      <c r="J101" s="824">
        <v>147394.60214222985</v>
      </c>
      <c r="K101" s="840">
        <f>VehicleCostData2023!AE98</f>
        <v>5868647.8714995831</v>
      </c>
      <c r="L101" s="731">
        <f>VehicleCostData2023!AF98</f>
        <v>4474778.1597249983</v>
      </c>
      <c r="M101" s="731">
        <f>VehicleCostData2023!AG98</f>
        <v>4243440.7208242323</v>
      </c>
      <c r="N101" s="731">
        <f>VehicleCostData2023!AH98</f>
        <v>4012103.281923465</v>
      </c>
      <c r="O101" s="731">
        <f>VehicleCostData2023!AI98</f>
        <v>4039385.8867535349</v>
      </c>
      <c r="P101" s="731">
        <f>VehicleCostData2023!AJ98</f>
        <v>4066668.4915836048</v>
      </c>
      <c r="Q101" s="731">
        <f>VehicleCostData2023!AK98</f>
        <v>4092560.8834867673</v>
      </c>
      <c r="R101" s="841">
        <f>VehicleCostData2023!AL98</f>
        <v>4118453.2753899293</v>
      </c>
      <c r="S101" s="330">
        <f t="shared" si="55"/>
        <v>2.008229138545166</v>
      </c>
      <c r="T101" s="330">
        <f t="shared" si="55"/>
        <v>1.4162645203285382</v>
      </c>
      <c r="U101" s="330">
        <f t="shared" si="55"/>
        <v>1.3184292973017482</v>
      </c>
      <c r="V101" s="330">
        <f t="shared" si="55"/>
        <v>1.2241160171074217</v>
      </c>
      <c r="W101" s="330">
        <f t="shared" si="55"/>
        <v>1.2183408343433288</v>
      </c>
      <c r="X101" s="330">
        <f t="shared" si="55"/>
        <v>1.2126962945878401</v>
      </c>
      <c r="Y101" s="330">
        <f t="shared" si="55"/>
        <v>1.2048602535042412</v>
      </c>
      <c r="Z101" s="330">
        <f t="shared" si="55"/>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51"/>
        <v>Bus</v>
      </c>
      <c r="B102" s="823" t="s">
        <v>699</v>
      </c>
      <c r="C102" s="336">
        <v>277340.96449320531</v>
      </c>
      <c r="D102" s="335">
        <v>162518.18115955184</v>
      </c>
      <c r="E102" s="332">
        <f t="shared" si="52"/>
        <v>144863.97068257336</v>
      </c>
      <c r="F102" s="334">
        <v>127209.76020559487</v>
      </c>
      <c r="G102" s="332">
        <f t="shared" si="53"/>
        <v>125207.46042029635</v>
      </c>
      <c r="H102" s="333">
        <v>123205.16063499784</v>
      </c>
      <c r="I102" s="332">
        <f t="shared" si="54"/>
        <v>122962.68940722018</v>
      </c>
      <c r="J102" s="824">
        <v>122720.21817944253</v>
      </c>
      <c r="K102" s="840">
        <f>VehicleCostData2023!AE99</f>
        <v>22908931.453513019</v>
      </c>
      <c r="L102" s="731">
        <f>VehicleCostData2023!AF99</f>
        <v>13424334.479174994</v>
      </c>
      <c r="M102" s="731">
        <f>VehicleCostData2023!AG99</f>
        <v>11966060.551188784</v>
      </c>
      <c r="N102" s="731">
        <f>VehicleCostData2023!AH99</f>
        <v>10507786.623202566</v>
      </c>
      <c r="O102" s="731">
        <f>VehicleCostData2023!AI99</f>
        <v>10342392.561728064</v>
      </c>
      <c r="P102" s="731">
        <f>VehicleCostData2023!AJ99</f>
        <v>10176998.50025356</v>
      </c>
      <c r="Q102" s="731">
        <f>VehicleCostData2023!AK99</f>
        <v>10156969.880439829</v>
      </c>
      <c r="R102" s="841">
        <f>VehicleCostData2023!AL99</f>
        <v>10136941.2606261</v>
      </c>
      <c r="S102" s="330">
        <f t="shared" si="55"/>
        <v>2.6518062989619553</v>
      </c>
      <c r="T102" s="330">
        <f t="shared" si="55"/>
        <v>1.4372336706783322</v>
      </c>
      <c r="U102" s="330">
        <f t="shared" si="55"/>
        <v>1.2576264258662544</v>
      </c>
      <c r="V102" s="330">
        <f t="shared" si="55"/>
        <v>1.0844848120299573</v>
      </c>
      <c r="W102" s="330">
        <f t="shared" si="55"/>
        <v>1.0552035109354365</v>
      </c>
      <c r="X102" s="330">
        <f t="shared" si="55"/>
        <v>1.0265845953319201</v>
      </c>
      <c r="Y102" s="330">
        <f t="shared" si="55"/>
        <v>1.0115036315651029</v>
      </c>
      <c r="Z102" s="330">
        <f t="shared" si="55"/>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51"/>
        <v>Bus</v>
      </c>
      <c r="B103" s="823" t="s">
        <v>827</v>
      </c>
      <c r="C103" s="336">
        <v>118745.67980691875</v>
      </c>
      <c r="D103" s="335">
        <v>121980.88232500074</v>
      </c>
      <c r="E103" s="332">
        <f t="shared" si="52"/>
        <v>123266.32101324902</v>
      </c>
      <c r="F103" s="334">
        <v>124551.75970149731</v>
      </c>
      <c r="G103" s="332">
        <f t="shared" si="53"/>
        <v>125552.84139797505</v>
      </c>
      <c r="H103" s="333">
        <v>126553.92309445278</v>
      </c>
      <c r="I103" s="332">
        <f t="shared" si="54"/>
        <v>127857.69303261595</v>
      </c>
      <c r="J103" s="824">
        <v>129161.46297077912</v>
      </c>
      <c r="K103" s="840">
        <f>VehicleCostData2023!AE100</f>
        <v>6063441.3163971528</v>
      </c>
      <c r="L103" s="731">
        <f>VehicleCostData2023!AF100</f>
        <v>6228638.5736527164</v>
      </c>
      <c r="M103" s="731">
        <f>VehicleCostData2023!AG100</f>
        <v>6294276.1788665932</v>
      </c>
      <c r="N103" s="731">
        <f>VehicleCostData2023!AH100</f>
        <v>6359913.7840804709</v>
      </c>
      <c r="O103" s="731">
        <f>VehicleCostData2023!AI100</f>
        <v>6411031.4342499925</v>
      </c>
      <c r="P103" s="731">
        <f>VehicleCostData2023!AJ100</f>
        <v>6462149.0844195141</v>
      </c>
      <c r="Q103" s="731">
        <f>VehicleCostData2023!AK100</f>
        <v>6528722.7275447985</v>
      </c>
      <c r="R103" s="841">
        <f>VehicleCostData2023!AL100</f>
        <v>6595296.370670083</v>
      </c>
      <c r="S103" s="330">
        <f t="shared" si="55"/>
        <v>1.1353913846153847</v>
      </c>
      <c r="T103" s="330">
        <f t="shared" si="55"/>
        <v>1.0787410368839128</v>
      </c>
      <c r="U103" s="330">
        <f t="shared" si="55"/>
        <v>1.0701279413724054</v>
      </c>
      <c r="V103" s="330">
        <f t="shared" si="55"/>
        <v>1.061824906277419</v>
      </c>
      <c r="W103" s="330">
        <f t="shared" si="55"/>
        <v>1.0581142577793825</v>
      </c>
      <c r="X103" s="330">
        <f t="shared" si="55"/>
        <v>1.054487549531111</v>
      </c>
      <c r="Y103" s="330">
        <f t="shared" si="55"/>
        <v>1.0517704309290523</v>
      </c>
      <c r="Z103" s="330">
        <f t="shared" si="55"/>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51"/>
        <v>Bus</v>
      </c>
      <c r="B104" s="823" t="s">
        <v>700</v>
      </c>
      <c r="C104" s="336">
        <v>116405.99579555681</v>
      </c>
      <c r="D104" s="335">
        <v>119894.70049649201</v>
      </c>
      <c r="E104" s="332">
        <f t="shared" si="52"/>
        <v>121154.48362723406</v>
      </c>
      <c r="F104" s="334">
        <v>122414.26675797613</v>
      </c>
      <c r="G104" s="332">
        <f t="shared" si="53"/>
        <v>123434.96810514023</v>
      </c>
      <c r="H104" s="333">
        <v>124455.66945230431</v>
      </c>
      <c r="I104" s="332">
        <f t="shared" si="54"/>
        <v>125768.60854731036</v>
      </c>
      <c r="J104" s="824">
        <v>127081.54764231641</v>
      </c>
      <c r="K104" s="840">
        <f>VehicleCostData2023!AE101</f>
        <v>6227670.4767503561</v>
      </c>
      <c r="L104" s="731">
        <f>VehicleCostData2023!AF101</f>
        <v>6414314.6708026314</v>
      </c>
      <c r="M104" s="731">
        <f>VehicleCostData2023!AG101</f>
        <v>6481712.5239528194</v>
      </c>
      <c r="N104" s="731">
        <f>VehicleCostData2023!AH101</f>
        <v>6549110.3771030102</v>
      </c>
      <c r="O104" s="731">
        <f>VehicleCostData2023!AI101</f>
        <v>6603717.4581375411</v>
      </c>
      <c r="P104" s="731">
        <f>VehicleCostData2023!AJ101</f>
        <v>6658324.5391720692</v>
      </c>
      <c r="Q104" s="731">
        <f>VehicleCostData2023!AK101</f>
        <v>6728566.2134420183</v>
      </c>
      <c r="R104" s="841">
        <f>VehicleCostData2023!AL101</f>
        <v>6798807.8877119664</v>
      </c>
      <c r="S104" s="330">
        <f t="shared" si="55"/>
        <v>1.1130204059529007</v>
      </c>
      <c r="T104" s="330">
        <f t="shared" si="55"/>
        <v>1.0602918347965078</v>
      </c>
      <c r="U104" s="330">
        <f t="shared" si="55"/>
        <v>1.0517941728634341</v>
      </c>
      <c r="V104" s="330">
        <f t="shared" si="55"/>
        <v>1.043602415885774</v>
      </c>
      <c r="W104" s="330">
        <f t="shared" si="55"/>
        <v>1.0402655822546656</v>
      </c>
      <c r="X104" s="330">
        <f t="shared" si="55"/>
        <v>1.0370042326389706</v>
      </c>
      <c r="Y104" s="330">
        <f t="shared" si="55"/>
        <v>1.0345854087591577</v>
      </c>
      <c r="Z104" s="330">
        <f t="shared" si="55"/>
        <v>1.0322274765017712</v>
      </c>
      <c r="AB104" s="329" t="s">
        <v>700</v>
      </c>
      <c r="AC104" s="328">
        <v>16.093663963015352</v>
      </c>
      <c r="AD104" s="327">
        <v>15.170572232761142</v>
      </c>
      <c r="AE104" s="326">
        <v>13.495232748313567</v>
      </c>
      <c r="AF104" s="325">
        <v>12.90308185300915</v>
      </c>
      <c r="AG104" s="324">
        <v>12.410412295951149</v>
      </c>
    </row>
    <row r="105" spans="1:33" x14ac:dyDescent="0.25">
      <c r="B105" s="802"/>
      <c r="J105" s="785"/>
      <c r="K105" s="802"/>
      <c r="R105" s="832"/>
    </row>
    <row r="106" spans="1:33" ht="13.5" thickBot="1" x14ac:dyDescent="0.3">
      <c r="B106" s="825"/>
      <c r="C106" s="826"/>
      <c r="D106" s="826"/>
      <c r="E106" s="827"/>
      <c r="F106" s="826"/>
      <c r="G106" s="826"/>
      <c r="H106" s="826"/>
      <c r="I106" s="826"/>
      <c r="J106" s="828"/>
      <c r="K106" s="845"/>
      <c r="L106" s="846"/>
      <c r="M106" s="846"/>
      <c r="N106" s="846"/>
      <c r="O106" s="846"/>
      <c r="P106" s="846"/>
      <c r="Q106" s="846"/>
      <c r="R106" s="847"/>
    </row>
    <row r="107" spans="1:33" ht="13.5" thickTop="1" x14ac:dyDescent="0.25"/>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dimension ref="B1:AL131"/>
  <sheetViews>
    <sheetView workbookViewId="0"/>
  </sheetViews>
  <sheetFormatPr defaultRowHeight="15" x14ac:dyDescent="0.25"/>
  <cols>
    <col min="1" max="2" width="9.140625" style="744"/>
    <col min="3" max="3" width="17" style="744" customWidth="1"/>
    <col min="4" max="4" width="21.7109375" style="744" customWidth="1"/>
    <col min="5" max="16" width="15.5703125" style="744" customWidth="1"/>
    <col min="17" max="17" width="9.140625" style="744"/>
    <col min="18" max="18" width="13.5703125" style="744" customWidth="1"/>
    <col min="19" max="19" width="14.5703125" style="744" customWidth="1"/>
    <col min="20" max="20" width="27.28515625" style="744" customWidth="1"/>
    <col min="21" max="21" width="25.5703125" style="751" customWidth="1"/>
    <col min="22" max="38" width="21.85546875" style="751" customWidth="1"/>
    <col min="39" max="16384" width="9.140625" style="744"/>
  </cols>
  <sheetData>
    <row r="1" spans="2:38" x14ac:dyDescent="0.25">
      <c r="B1" s="744" t="s">
        <v>1275</v>
      </c>
      <c r="R1" s="322"/>
      <c r="S1" s="351" t="s">
        <v>681</v>
      </c>
      <c r="V1" s="759">
        <v>2010</v>
      </c>
      <c r="W1" s="759">
        <v>2020</v>
      </c>
      <c r="X1" s="759">
        <v>2025</v>
      </c>
      <c r="Y1" s="759">
        <v>2030</v>
      </c>
      <c r="Z1" s="759">
        <v>2035</v>
      </c>
      <c r="AA1" s="759">
        <v>2040</v>
      </c>
      <c r="AB1" s="759">
        <v>2045</v>
      </c>
      <c r="AC1" s="759">
        <v>2050</v>
      </c>
      <c r="AE1" s="759">
        <v>2010</v>
      </c>
      <c r="AF1" s="759">
        <v>2020</v>
      </c>
      <c r="AG1" s="759">
        <v>2025</v>
      </c>
      <c r="AH1" s="759">
        <v>2030</v>
      </c>
      <c r="AI1" s="759">
        <v>2035</v>
      </c>
      <c r="AJ1" s="759">
        <v>2040</v>
      </c>
      <c r="AK1" s="759">
        <v>2045</v>
      </c>
      <c r="AL1" s="759">
        <v>2050</v>
      </c>
    </row>
    <row r="2" spans="2:38" ht="15.75" thickBot="1" x14ac:dyDescent="0.3">
      <c r="B2" s="744" t="s">
        <v>1274</v>
      </c>
      <c r="R2" s="322"/>
      <c r="S2" s="447" t="s">
        <v>1282</v>
      </c>
      <c r="T2" s="757" t="s">
        <v>1309</v>
      </c>
      <c r="U2" s="757" t="s">
        <v>1308</v>
      </c>
      <c r="V2" s="760" t="s">
        <v>1307</v>
      </c>
      <c r="W2" s="761"/>
      <c r="X2" s="761"/>
      <c r="Y2" s="761"/>
      <c r="Z2" s="761"/>
      <c r="AA2" s="761"/>
      <c r="AB2" s="761"/>
      <c r="AC2" s="761"/>
      <c r="AD2" s="754" t="s">
        <v>1311</v>
      </c>
      <c r="AE2" s="778" t="s">
        <v>1312</v>
      </c>
      <c r="AF2" s="761"/>
      <c r="AG2" s="761"/>
      <c r="AH2" s="761"/>
      <c r="AI2" s="761"/>
      <c r="AJ2" s="761"/>
      <c r="AK2" s="761"/>
      <c r="AL2" s="761"/>
    </row>
    <row r="3" spans="2:38" x14ac:dyDescent="0.25">
      <c r="B3" s="748" t="s">
        <v>1273</v>
      </c>
      <c r="R3" s="322" t="str">
        <f>S1</f>
        <v>Passenger Car</v>
      </c>
      <c r="S3" s="255" t="s">
        <v>680</v>
      </c>
      <c r="T3" s="747">
        <f>D25</f>
        <v>300000</v>
      </c>
      <c r="U3" s="758">
        <f t="shared" ref="U3:U34" si="0">$D$24/$D$23*T3</f>
        <v>268486.68958349986</v>
      </c>
      <c r="V3" s="762">
        <v>320262.66919658618</v>
      </c>
      <c r="W3" s="763">
        <v>346795.75846684008</v>
      </c>
      <c r="X3" s="763">
        <v>352701.48057385266</v>
      </c>
      <c r="Y3" s="763">
        <v>358607.20268086524</v>
      </c>
      <c r="Z3" s="763">
        <v>362536.77263877826</v>
      </c>
      <c r="AA3" s="763">
        <v>366466.34259669122</v>
      </c>
      <c r="AB3" s="763">
        <v>368757.27234685927</v>
      </c>
      <c r="AC3" s="764">
        <v>371048.20209702745</v>
      </c>
      <c r="AD3" s="751">
        <f>U3/W3</f>
        <v>0.77419254136919335</v>
      </c>
      <c r="AE3" s="762">
        <f>V3*$AD3</f>
        <v>247944.96977098632</v>
      </c>
      <c r="AF3" s="763">
        <f t="shared" ref="AF3:AF15" si="1">W3*$AD3</f>
        <v>268486.68958349986</v>
      </c>
      <c r="AG3" s="763">
        <f t="shared" ref="AG3:AG15" si="2">X3*$AD3</f>
        <v>273058.85559014819</v>
      </c>
      <c r="AH3" s="763">
        <f t="shared" ref="AH3:AH15" si="3">Y3*$AD3</f>
        <v>277631.02159679646</v>
      </c>
      <c r="AI3" s="763">
        <f t="shared" ref="AI3:AI15" si="4">Z3*$AD3</f>
        <v>280673.26534900116</v>
      </c>
      <c r="AJ3" s="763">
        <f t="shared" ref="AJ3:AJ15" si="5">AA3*$AD3</f>
        <v>283715.50910120585</v>
      </c>
      <c r="AK3" s="763">
        <f t="shared" ref="AK3:AK15" si="6">AB3*$AD3</f>
        <v>285489.12982658675</v>
      </c>
      <c r="AL3" s="764">
        <f t="shared" ref="AL3:AL15" si="7">AC3*$AD3</f>
        <v>287262.75055196777</v>
      </c>
    </row>
    <row r="4" spans="2:38" x14ac:dyDescent="0.25">
      <c r="B4" s="749">
        <v>43831</v>
      </c>
      <c r="C4" s="747">
        <v>327723</v>
      </c>
      <c r="E4" s="749">
        <v>43831</v>
      </c>
      <c r="F4" s="749">
        <v>43862</v>
      </c>
      <c r="G4" s="749">
        <v>43891</v>
      </c>
      <c r="H4" s="749">
        <v>43922</v>
      </c>
      <c r="I4" s="749">
        <v>43952</v>
      </c>
      <c r="J4" s="749">
        <v>43983</v>
      </c>
      <c r="K4" s="749">
        <v>44013</v>
      </c>
      <c r="L4" s="749">
        <v>44044</v>
      </c>
      <c r="M4" s="749">
        <v>44075</v>
      </c>
      <c r="N4" s="749">
        <v>44105</v>
      </c>
      <c r="O4" s="749">
        <v>44136</v>
      </c>
      <c r="P4" s="749">
        <v>44166</v>
      </c>
      <c r="R4" s="322" t="str">
        <f t="shared" ref="R4:R17" si="8">R3</f>
        <v>Passenger Car</v>
      </c>
      <c r="S4" s="255" t="s">
        <v>687</v>
      </c>
      <c r="T4" s="747">
        <f>D29</f>
        <v>450000</v>
      </c>
      <c r="U4" s="758">
        <f t="shared" si="0"/>
        <v>402730.03437524982</v>
      </c>
      <c r="V4" s="765">
        <v>330565.03764846618</v>
      </c>
      <c r="W4" s="766">
        <v>362874.06927397067</v>
      </c>
      <c r="X4" s="766">
        <v>368516.17150263488</v>
      </c>
      <c r="Y4" s="766">
        <v>374158.27373129909</v>
      </c>
      <c r="Z4" s="766">
        <v>378274.98804105673</v>
      </c>
      <c r="AA4" s="766">
        <v>382391.70235081442</v>
      </c>
      <c r="AB4" s="766">
        <v>384737.65217329492</v>
      </c>
      <c r="AC4" s="767">
        <v>387083.60199577553</v>
      </c>
      <c r="AD4" s="751">
        <f t="shared" ref="AD4:AD66" si="9">U4/W4</f>
        <v>1.1098341504010523</v>
      </c>
      <c r="AE4" s="765">
        <f t="shared" ref="AE4:AE15" si="10">V4*$AD4</f>
        <v>366872.36771087733</v>
      </c>
      <c r="AF4" s="766">
        <f t="shared" si="1"/>
        <v>402730.03437524982</v>
      </c>
      <c r="AG4" s="766">
        <f t="shared" si="2"/>
        <v>408991.83210867527</v>
      </c>
      <c r="AH4" s="766">
        <f t="shared" si="3"/>
        <v>415253.62984210066</v>
      </c>
      <c r="AI4" s="766">
        <f t="shared" si="4"/>
        <v>419822.49997051439</v>
      </c>
      <c r="AJ4" s="766">
        <f t="shared" si="5"/>
        <v>424391.37009892816</v>
      </c>
      <c r="AK4" s="766">
        <f t="shared" si="6"/>
        <v>426994.98532704433</v>
      </c>
      <c r="AL4" s="767">
        <f t="shared" si="7"/>
        <v>429598.60055516061</v>
      </c>
    </row>
    <row r="5" spans="2:38" x14ac:dyDescent="0.25">
      <c r="B5" s="749">
        <v>44197</v>
      </c>
      <c r="C5" s="747">
        <v>358390</v>
      </c>
      <c r="E5" s="747">
        <f t="shared" ref="E5:P5" si="11">_xlfn.FORECAST.LINEAR(E4,$C$4:$C$5,$B$4:$B$5)</f>
        <v>327723</v>
      </c>
      <c r="F5" s="747">
        <f t="shared" si="11"/>
        <v>330320.47814207664</v>
      </c>
      <c r="G5" s="747">
        <f t="shared" si="11"/>
        <v>332750.37704918068</v>
      </c>
      <c r="H5" s="747">
        <f t="shared" si="11"/>
        <v>335347.85519125685</v>
      </c>
      <c r="I5" s="747">
        <f t="shared" si="11"/>
        <v>337861.54371584719</v>
      </c>
      <c r="J5" s="747">
        <f t="shared" si="11"/>
        <v>340459.02185792383</v>
      </c>
      <c r="K5" s="747">
        <f t="shared" si="11"/>
        <v>342972.7103825137</v>
      </c>
      <c r="L5" s="747">
        <f t="shared" si="11"/>
        <v>345570.18852459034</v>
      </c>
      <c r="M5" s="747">
        <f t="shared" si="11"/>
        <v>348167.66666666698</v>
      </c>
      <c r="N5" s="747">
        <f t="shared" si="11"/>
        <v>350681.35519125685</v>
      </c>
      <c r="O5" s="747">
        <f t="shared" si="11"/>
        <v>353278.83333333349</v>
      </c>
      <c r="P5" s="747">
        <f t="shared" si="11"/>
        <v>355792.52185792383</v>
      </c>
      <c r="R5" s="322" t="str">
        <f t="shared" si="8"/>
        <v>Passenger Car</v>
      </c>
      <c r="S5" s="255" t="s">
        <v>688</v>
      </c>
      <c r="T5" s="747">
        <f>D33</f>
        <v>515000</v>
      </c>
      <c r="U5" s="758">
        <f t="shared" si="0"/>
        <v>460902.15045167482</v>
      </c>
      <c r="V5" s="765">
        <v>394510.70272290101</v>
      </c>
      <c r="W5" s="766">
        <v>374543.90974527999</v>
      </c>
      <c r="X5" s="766">
        <v>371312.21028277103</v>
      </c>
      <c r="Y5" s="766">
        <v>368080.51082026208</v>
      </c>
      <c r="Z5" s="766">
        <v>368595.17976320512</v>
      </c>
      <c r="AA5" s="766">
        <v>369109.84870614816</v>
      </c>
      <c r="AB5" s="766">
        <v>369271.49063353211</v>
      </c>
      <c r="AC5" s="767">
        <v>369433.13256091613</v>
      </c>
      <c r="AD5" s="751">
        <f t="shared" si="9"/>
        <v>1.2305690693652591</v>
      </c>
      <c r="AE5" s="765">
        <f t="shared" si="10"/>
        <v>485472.66830435471</v>
      </c>
      <c r="AF5" s="766">
        <f t="shared" si="1"/>
        <v>460902.15045167482</v>
      </c>
      <c r="AG5" s="766">
        <f t="shared" si="2"/>
        <v>456925.32105162693</v>
      </c>
      <c r="AH5" s="766">
        <f t="shared" si="3"/>
        <v>452948.4916515791</v>
      </c>
      <c r="AI5" s="766">
        <f t="shared" si="4"/>
        <v>453581.82733372774</v>
      </c>
      <c r="AJ5" s="766">
        <f t="shared" si="5"/>
        <v>454215.16301587631</v>
      </c>
      <c r="AK5" s="766">
        <f t="shared" si="6"/>
        <v>454414.0745720276</v>
      </c>
      <c r="AL5" s="767">
        <f t="shared" si="7"/>
        <v>454612.98612817895</v>
      </c>
    </row>
    <row r="6" spans="2:38" x14ac:dyDescent="0.25">
      <c r="C6" s="744" t="s">
        <v>1272</v>
      </c>
      <c r="E6" s="744">
        <f>'[6]CPI-hist'!B23</f>
        <v>91.9</v>
      </c>
      <c r="F6" s="744">
        <f>'[6]CPI-hist'!C23</f>
        <v>92.8</v>
      </c>
      <c r="G6" s="744">
        <f>'[6]CPI-hist'!D23</f>
        <v>93.1</v>
      </c>
      <c r="H6" s="744">
        <f>'[6]CPI-hist'!E23</f>
        <v>92.6</v>
      </c>
      <c r="I6" s="744">
        <f>'[6]CPI-hist'!F23</f>
        <v>92</v>
      </c>
      <c r="J6" s="744">
        <f>'[6]CPI-hist'!G23</f>
        <v>92.5</v>
      </c>
      <c r="K6" s="744">
        <f>'[6]CPI-hist'!H23</f>
        <v>93.7</v>
      </c>
      <c r="L6" s="744">
        <f>'[6]CPI-hist'!I23</f>
        <v>93.9</v>
      </c>
      <c r="M6" s="744">
        <f>'[6]CPI-hist'!J23</f>
        <v>94</v>
      </c>
      <c r="N6" s="744">
        <f>'[6]CPI-hist'!K23</f>
        <v>94.3</v>
      </c>
      <c r="O6" s="744">
        <f>'[6]CPI-hist'!L23</f>
        <v>94.3</v>
      </c>
      <c r="P6" s="744">
        <f>'[6]CPI-hist'!M23</f>
        <v>94.4</v>
      </c>
      <c r="R6" s="322" t="str">
        <f t="shared" si="8"/>
        <v>Passenger Car</v>
      </c>
      <c r="S6" s="255" t="s">
        <v>689</v>
      </c>
      <c r="T6" s="747">
        <f>D35</f>
        <v>772500</v>
      </c>
      <c r="U6" s="758">
        <f t="shared" si="0"/>
        <v>691353.22567751224</v>
      </c>
      <c r="V6" s="765">
        <v>395481.43398802093</v>
      </c>
      <c r="W6" s="766">
        <v>386013.68604714214</v>
      </c>
      <c r="X6" s="766">
        <v>382958.30177482724</v>
      </c>
      <c r="Y6" s="766">
        <v>379902.91750251234</v>
      </c>
      <c r="Z6" s="766">
        <v>380663.70247783005</v>
      </c>
      <c r="AA6" s="766">
        <v>381424.48745314771</v>
      </c>
      <c r="AB6" s="766">
        <v>381675.02828246955</v>
      </c>
      <c r="AC6" s="767">
        <v>381925.56911179138</v>
      </c>
      <c r="AD6" s="751">
        <f t="shared" si="9"/>
        <v>1.7910070307535166</v>
      </c>
      <c r="AE6" s="765">
        <f t="shared" si="10"/>
        <v>708310.0288050283</v>
      </c>
      <c r="AF6" s="766">
        <f t="shared" si="1"/>
        <v>691353.22567751224</v>
      </c>
      <c r="AG6" s="766">
        <f t="shared" si="2"/>
        <v>685881.01096414251</v>
      </c>
      <c r="AH6" s="766">
        <f t="shared" si="3"/>
        <v>680408.79625077278</v>
      </c>
      <c r="AI6" s="766">
        <f t="shared" si="4"/>
        <v>681771.36749045854</v>
      </c>
      <c r="AJ6" s="766">
        <f t="shared" si="5"/>
        <v>683133.93873014406</v>
      </c>
      <c r="AK6" s="766">
        <f t="shared" si="6"/>
        <v>683582.65911695024</v>
      </c>
      <c r="AL6" s="767">
        <f t="shared" si="7"/>
        <v>684031.37950375653</v>
      </c>
    </row>
    <row r="7" spans="2:38" x14ac:dyDescent="0.25">
      <c r="C7" s="744" t="s">
        <v>1271</v>
      </c>
      <c r="E7" s="744">
        <f t="shared" ref="E7:P7" si="12">E6/$E6</f>
        <v>1</v>
      </c>
      <c r="F7" s="744">
        <f t="shared" si="12"/>
        <v>1.0097932535364527</v>
      </c>
      <c r="G7" s="744">
        <f t="shared" si="12"/>
        <v>1.0130576713819368</v>
      </c>
      <c r="H7" s="744">
        <f t="shared" si="12"/>
        <v>1.0076169749727963</v>
      </c>
      <c r="I7" s="744">
        <f t="shared" si="12"/>
        <v>1.001088139281828</v>
      </c>
      <c r="J7" s="744">
        <f t="shared" si="12"/>
        <v>1.0065288356909683</v>
      </c>
      <c r="K7" s="744">
        <f t="shared" si="12"/>
        <v>1.0195865070729053</v>
      </c>
      <c r="L7" s="744">
        <f t="shared" si="12"/>
        <v>1.0217627856365614</v>
      </c>
      <c r="M7" s="744">
        <f t="shared" si="12"/>
        <v>1.0228509249183895</v>
      </c>
      <c r="N7" s="744">
        <f t="shared" si="12"/>
        <v>1.0261153427638736</v>
      </c>
      <c r="O7" s="744">
        <f t="shared" si="12"/>
        <v>1.0261153427638736</v>
      </c>
      <c r="P7" s="744">
        <f t="shared" si="12"/>
        <v>1.0272034820457019</v>
      </c>
      <c r="R7" s="322" t="str">
        <f t="shared" si="8"/>
        <v>Passenger Car</v>
      </c>
      <c r="S7" s="255" t="s">
        <v>691</v>
      </c>
      <c r="T7" s="747">
        <f>D37</f>
        <v>684950</v>
      </c>
      <c r="U7" s="758">
        <f t="shared" si="0"/>
        <v>612999.86010072753</v>
      </c>
      <c r="V7" s="765">
        <v>526171.82631130482</v>
      </c>
      <c r="W7" s="766">
        <v>427333.54114544444</v>
      </c>
      <c r="X7" s="766">
        <v>414093.61090799741</v>
      </c>
      <c r="Y7" s="766">
        <v>400853.68067055038</v>
      </c>
      <c r="Z7" s="766">
        <v>399527.55714761006</v>
      </c>
      <c r="AA7" s="766">
        <v>398201.43362466968</v>
      </c>
      <c r="AB7" s="766">
        <v>396667.52129939443</v>
      </c>
      <c r="AC7" s="767">
        <v>395133.6089741193</v>
      </c>
      <c r="AD7" s="751">
        <f t="shared" si="9"/>
        <v>1.4344763541322185</v>
      </c>
      <c r="AE7" s="765">
        <f t="shared" si="10"/>
        <v>754781.04305413144</v>
      </c>
      <c r="AF7" s="766">
        <f t="shared" si="1"/>
        <v>612999.86010072753</v>
      </c>
      <c r="AG7" s="766">
        <f t="shared" si="2"/>
        <v>594007.49324474961</v>
      </c>
      <c r="AH7" s="766">
        <f t="shared" si="3"/>
        <v>575015.12638877169</v>
      </c>
      <c r="AI7" s="766">
        <f t="shared" si="4"/>
        <v>573112.8335524553</v>
      </c>
      <c r="AJ7" s="766">
        <f t="shared" si="5"/>
        <v>571210.54071613878</v>
      </c>
      <c r="AK7" s="766">
        <f t="shared" si="6"/>
        <v>569010.1797562195</v>
      </c>
      <c r="AL7" s="767">
        <f t="shared" si="7"/>
        <v>566809.81879630033</v>
      </c>
    </row>
    <row r="8" spans="2:38" x14ac:dyDescent="0.25">
      <c r="C8" s="744" t="s">
        <v>1270</v>
      </c>
      <c r="E8" s="747">
        <f t="shared" ref="E8:P8" si="13">E5/E7</f>
        <v>327723</v>
      </c>
      <c r="F8" s="747">
        <f t="shared" si="13"/>
        <v>327116.93902216427</v>
      </c>
      <c r="G8" s="747">
        <f t="shared" si="13"/>
        <v>328461.43556197319</v>
      </c>
      <c r="H8" s="747">
        <f t="shared" si="13"/>
        <v>332812.82820816967</v>
      </c>
      <c r="I8" s="747">
        <f t="shared" si="13"/>
        <v>337494.30290746043</v>
      </c>
      <c r="J8" s="747">
        <f t="shared" si="13"/>
        <v>338250.63901344006</v>
      </c>
      <c r="K8" s="747">
        <f t="shared" si="13"/>
        <v>336384.1204285273</v>
      </c>
      <c r="L8" s="747">
        <f t="shared" si="13"/>
        <v>338209.80112257565</v>
      </c>
      <c r="M8" s="747">
        <f t="shared" si="13"/>
        <v>340389.45283687976</v>
      </c>
      <c r="N8" s="747">
        <f t="shared" si="13"/>
        <v>341756.27298066288</v>
      </c>
      <c r="O8" s="747">
        <f t="shared" si="13"/>
        <v>344287.64351360925</v>
      </c>
      <c r="P8" s="747">
        <f t="shared" si="13"/>
        <v>346370.05041041522</v>
      </c>
      <c r="R8" s="322" t="str">
        <f t="shared" si="8"/>
        <v>Passenger Car</v>
      </c>
      <c r="S8" s="255" t="s">
        <v>695</v>
      </c>
      <c r="T8" s="747">
        <f>D38</f>
        <v>1027425</v>
      </c>
      <c r="U8" s="758">
        <f t="shared" si="0"/>
        <v>919499.79015109118</v>
      </c>
      <c r="V8" s="765">
        <v>532428.30225914449</v>
      </c>
      <c r="W8" s="766">
        <v>440029.45085484016</v>
      </c>
      <c r="X8" s="766">
        <v>426660.11179427273</v>
      </c>
      <c r="Y8" s="766">
        <v>413290.77273370523</v>
      </c>
      <c r="Z8" s="766">
        <v>412151.79356260953</v>
      </c>
      <c r="AA8" s="766">
        <v>411012.81439151382</v>
      </c>
      <c r="AB8" s="766">
        <v>409533.92213855108</v>
      </c>
      <c r="AC8" s="767">
        <v>408055.02988558827</v>
      </c>
      <c r="AD8" s="751">
        <f t="shared" si="9"/>
        <v>2.0896323833888606</v>
      </c>
      <c r="AE8" s="765">
        <f t="shared" si="10"/>
        <v>1112579.4222334607</v>
      </c>
      <c r="AF8" s="766">
        <f t="shared" si="1"/>
        <v>919499.79015109118</v>
      </c>
      <c r="AG8" s="766">
        <f t="shared" si="2"/>
        <v>891562.78630562383</v>
      </c>
      <c r="AH8" s="766">
        <f t="shared" si="3"/>
        <v>863625.78246015636</v>
      </c>
      <c r="AI8" s="766">
        <f t="shared" si="4"/>
        <v>861245.73470022937</v>
      </c>
      <c r="AJ8" s="766">
        <f t="shared" si="5"/>
        <v>858865.68694030237</v>
      </c>
      <c r="AK8" s="766">
        <f t="shared" si="6"/>
        <v>855775.34579696856</v>
      </c>
      <c r="AL8" s="767">
        <f t="shared" si="7"/>
        <v>852685.0046536345</v>
      </c>
    </row>
    <row r="9" spans="2:38" x14ac:dyDescent="0.25">
      <c r="C9" s="744" t="s">
        <v>1269</v>
      </c>
      <c r="E9" s="747">
        <f>AVERAGE(E8:P8)</f>
        <v>336604.70716715645</v>
      </c>
      <c r="R9" s="322" t="str">
        <f t="shared" si="8"/>
        <v>Passenger Car</v>
      </c>
      <c r="S9" s="255" t="s">
        <v>839</v>
      </c>
      <c r="T9" s="747">
        <f>D40</f>
        <v>910983.5</v>
      </c>
      <c r="U9" s="758">
        <f t="shared" si="0"/>
        <v>815289.8139339675</v>
      </c>
      <c r="V9" s="765">
        <v>706853.58881499863</v>
      </c>
      <c r="W9" s="766">
        <v>487918.3911366309</v>
      </c>
      <c r="X9" s="766">
        <v>459639.29374443309</v>
      </c>
      <c r="Y9" s="766">
        <v>431360.19635223533</v>
      </c>
      <c r="Z9" s="766">
        <v>428119.37781269115</v>
      </c>
      <c r="AA9" s="766">
        <v>424878.55927314708</v>
      </c>
      <c r="AB9" s="766">
        <v>421601.55996549304</v>
      </c>
      <c r="AC9" s="767">
        <v>418324.56065783888</v>
      </c>
      <c r="AD9" s="751">
        <f t="shared" si="9"/>
        <v>1.670955284211993</v>
      </c>
      <c r="AE9" s="765">
        <f t="shared" si="10"/>
        <v>1181120.7393946333</v>
      </c>
      <c r="AF9" s="766">
        <f t="shared" si="1"/>
        <v>815289.8139339675</v>
      </c>
      <c r="AG9" s="766">
        <f t="shared" si="2"/>
        <v>768036.70671372896</v>
      </c>
      <c r="AH9" s="766">
        <f t="shared" si="3"/>
        <v>720783.59949349053</v>
      </c>
      <c r="AI9" s="766">
        <f t="shared" si="4"/>
        <v>715368.33662966697</v>
      </c>
      <c r="AJ9" s="766">
        <f t="shared" si="5"/>
        <v>709953.07376584364</v>
      </c>
      <c r="AK9" s="766">
        <f t="shared" si="6"/>
        <v>704477.35445635999</v>
      </c>
      <c r="AL9" s="767">
        <f t="shared" si="7"/>
        <v>699001.63514687633</v>
      </c>
    </row>
    <row r="10" spans="2:38" x14ac:dyDescent="0.25">
      <c r="C10" s="744" t="s">
        <v>1268</v>
      </c>
      <c r="E10" s="744">
        <f>AVERAGE(E7:P7)</f>
        <v>1.0151432716721069</v>
      </c>
      <c r="R10" s="322" t="str">
        <f t="shared" si="8"/>
        <v>Passenger Car</v>
      </c>
      <c r="S10" s="255" t="s">
        <v>838</v>
      </c>
      <c r="T10" s="747">
        <f>D41</f>
        <v>1366475.25</v>
      </c>
      <c r="U10" s="758">
        <f t="shared" si="0"/>
        <v>1222934.7209009514</v>
      </c>
      <c r="V10" s="765">
        <v>706989.87665374181</v>
      </c>
      <c r="W10" s="766">
        <v>495608.70952664141</v>
      </c>
      <c r="X10" s="766">
        <v>467425.66397272615</v>
      </c>
      <c r="Y10" s="766">
        <v>439242.61841881095</v>
      </c>
      <c r="Z10" s="766">
        <v>436188.94423111144</v>
      </c>
      <c r="AA10" s="766">
        <v>433135.27004341205</v>
      </c>
      <c r="AB10" s="766">
        <v>429913.29080807028</v>
      </c>
      <c r="AC10" s="767">
        <v>426691.31157272856</v>
      </c>
      <c r="AD10" s="751">
        <f t="shared" si="9"/>
        <v>2.4675408187821861</v>
      </c>
      <c r="AE10" s="765">
        <f t="shared" si="10"/>
        <v>1744526.3791088909</v>
      </c>
      <c r="AF10" s="766">
        <f t="shared" si="1"/>
        <v>1222934.7209009514</v>
      </c>
      <c r="AG10" s="766">
        <f t="shared" si="2"/>
        <v>1153391.9055990677</v>
      </c>
      <c r="AH10" s="766">
        <f t="shared" si="3"/>
        <v>1083849.0902971842</v>
      </c>
      <c r="AI10" s="766">
        <f t="shared" si="4"/>
        <v>1076314.024591774</v>
      </c>
      <c r="AJ10" s="766">
        <f t="shared" si="5"/>
        <v>1068778.9588863642</v>
      </c>
      <c r="AK10" s="766">
        <f t="shared" si="6"/>
        <v>1060828.5936058897</v>
      </c>
      <c r="AL10" s="767">
        <f t="shared" si="7"/>
        <v>1052878.2283254156</v>
      </c>
    </row>
    <row r="11" spans="2:38" x14ac:dyDescent="0.25">
      <c r="C11" s="744" t="s">
        <v>1267</v>
      </c>
      <c r="E11" s="747">
        <f>E9*E10</f>
        <v>341702.00369389867</v>
      </c>
      <c r="R11" s="322" t="str">
        <f t="shared" si="8"/>
        <v>Passenger Car</v>
      </c>
      <c r="S11" s="255" t="s">
        <v>692</v>
      </c>
      <c r="T11" s="747">
        <f>D44</f>
        <v>725000</v>
      </c>
      <c r="U11" s="758">
        <f t="shared" si="0"/>
        <v>648842.83316012472</v>
      </c>
      <c r="V11" s="765">
        <v>822704.66197061795</v>
      </c>
      <c r="W11" s="766">
        <v>558548.57595396275</v>
      </c>
      <c r="X11" s="766">
        <v>510538.78588041413</v>
      </c>
      <c r="Y11" s="766">
        <v>462528.99580686545</v>
      </c>
      <c r="Z11" s="766">
        <v>465643.43099478865</v>
      </c>
      <c r="AA11" s="766">
        <v>468757.86618271179</v>
      </c>
      <c r="AB11" s="766">
        <v>470350.94411613682</v>
      </c>
      <c r="AC11" s="767">
        <v>471944.02204956167</v>
      </c>
      <c r="AD11" s="751">
        <f t="shared" si="9"/>
        <v>1.1616587367570412</v>
      </c>
      <c r="AE11" s="765">
        <f t="shared" si="10"/>
        <v>955702.0583489167</v>
      </c>
      <c r="AF11" s="766">
        <f t="shared" si="1"/>
        <v>648842.83316012472</v>
      </c>
      <c r="AG11" s="766">
        <f t="shared" si="2"/>
        <v>593071.84107131546</v>
      </c>
      <c r="AH11" s="766">
        <f t="shared" si="3"/>
        <v>537300.8489825062</v>
      </c>
      <c r="AI11" s="766">
        <f t="shared" si="4"/>
        <v>540918.75982862071</v>
      </c>
      <c r="AJ11" s="766">
        <f t="shared" si="5"/>
        <v>544536.6706747351</v>
      </c>
      <c r="AK11" s="766">
        <f t="shared" si="6"/>
        <v>546387.28357443318</v>
      </c>
      <c r="AL11" s="767">
        <f t="shared" si="7"/>
        <v>548237.89647413103</v>
      </c>
    </row>
    <row r="12" spans="2:38" x14ac:dyDescent="0.25">
      <c r="R12" s="322" t="str">
        <f t="shared" si="8"/>
        <v>Passenger Car</v>
      </c>
      <c r="S12" s="255" t="s">
        <v>699</v>
      </c>
      <c r="T12" s="747">
        <f>D46</f>
        <v>3000000</v>
      </c>
      <c r="U12" s="758">
        <f t="shared" si="0"/>
        <v>2684866.8958349987</v>
      </c>
      <c r="V12" s="765">
        <v>2484175.8049663589</v>
      </c>
      <c r="W12" s="766">
        <v>982112.7518947263</v>
      </c>
      <c r="X12" s="766">
        <v>749223.93872757931</v>
      </c>
      <c r="Y12" s="766">
        <v>516335.12556043221</v>
      </c>
      <c r="Z12" s="766">
        <v>488716.56129250687</v>
      </c>
      <c r="AA12" s="766">
        <v>461097.99702458159</v>
      </c>
      <c r="AB12" s="766">
        <v>454114.11403926561</v>
      </c>
      <c r="AC12" s="767">
        <v>447130.23105394962</v>
      </c>
      <c r="AD12" s="751">
        <f t="shared" si="9"/>
        <v>2.7337664546715836</v>
      </c>
      <c r="AE12" s="765">
        <f t="shared" si="10"/>
        <v>6791156.48312381</v>
      </c>
      <c r="AF12" s="766">
        <f t="shared" si="1"/>
        <v>2684866.8958349987</v>
      </c>
      <c r="AG12" s="766">
        <f t="shared" si="2"/>
        <v>2048203.2707303744</v>
      </c>
      <c r="AH12" s="766">
        <f t="shared" si="3"/>
        <v>1411539.6456257498</v>
      </c>
      <c r="AI12" s="766">
        <f t="shared" si="4"/>
        <v>1336036.9411039043</v>
      </c>
      <c r="AJ12" s="766">
        <f t="shared" si="5"/>
        <v>1260534.2365820589</v>
      </c>
      <c r="AK12" s="766">
        <f t="shared" si="6"/>
        <v>1241441.9315534504</v>
      </c>
      <c r="AL12" s="767">
        <f t="shared" si="7"/>
        <v>1222349.6265248419</v>
      </c>
    </row>
    <row r="13" spans="2:38" x14ac:dyDescent="0.25">
      <c r="R13" s="322" t="str">
        <f t="shared" si="8"/>
        <v>Passenger Car</v>
      </c>
      <c r="S13" s="255" t="s">
        <v>837</v>
      </c>
      <c r="T13" s="747">
        <f>D47</f>
        <v>3000000</v>
      </c>
      <c r="U13" s="758">
        <f t="shared" si="0"/>
        <v>2684866.8958349987</v>
      </c>
      <c r="V13" s="765">
        <v>2631614.9920631466</v>
      </c>
      <c r="W13" s="766">
        <v>1040715.6985942443</v>
      </c>
      <c r="X13" s="766">
        <v>797544.7354478729</v>
      </c>
      <c r="Y13" s="766">
        <v>554373.77230150148</v>
      </c>
      <c r="Z13" s="766">
        <v>525072.61435889918</v>
      </c>
      <c r="AA13" s="766">
        <v>495771.45641629689</v>
      </c>
      <c r="AB13" s="766">
        <v>487246.68369685335</v>
      </c>
      <c r="AC13" s="767">
        <v>478721.91097740986</v>
      </c>
      <c r="AD13" s="751">
        <f t="shared" si="9"/>
        <v>2.5798274201701825</v>
      </c>
      <c r="AE13" s="765">
        <f t="shared" si="10"/>
        <v>6789112.5158554427</v>
      </c>
      <c r="AF13" s="766">
        <f t="shared" si="1"/>
        <v>2684866.8958349987</v>
      </c>
      <c r="AG13" s="766">
        <f t="shared" si="2"/>
        <v>2057527.7773207966</v>
      </c>
      <c r="AH13" s="766">
        <f t="shared" si="3"/>
        <v>1430188.6588065948</v>
      </c>
      <c r="AI13" s="766">
        <f t="shared" si="4"/>
        <v>1354596.728103532</v>
      </c>
      <c r="AJ13" s="766">
        <f t="shared" si="5"/>
        <v>1279004.7974004692</v>
      </c>
      <c r="AK13" s="766">
        <f t="shared" si="6"/>
        <v>1257012.35498813</v>
      </c>
      <c r="AL13" s="767">
        <f t="shared" si="7"/>
        <v>1235019.9125757911</v>
      </c>
    </row>
    <row r="14" spans="2:38" x14ac:dyDescent="0.25">
      <c r="B14" s="744" t="s">
        <v>1276</v>
      </c>
      <c r="F14" s="744" t="s">
        <v>1266</v>
      </c>
      <c r="G14" s="748" t="s">
        <v>1265</v>
      </c>
      <c r="R14" s="322" t="str">
        <f t="shared" si="8"/>
        <v>Passenger Car</v>
      </c>
      <c r="S14" s="255" t="s">
        <v>836</v>
      </c>
      <c r="T14" s="747">
        <f>D48</f>
        <v>3000000</v>
      </c>
      <c r="U14" s="758">
        <f t="shared" si="0"/>
        <v>2684866.8958349987</v>
      </c>
      <c r="V14" s="765">
        <v>1813155.306207042</v>
      </c>
      <c r="W14" s="766">
        <v>797976.63279271475</v>
      </c>
      <c r="X14" s="766">
        <v>649257.67906194751</v>
      </c>
      <c r="Y14" s="766">
        <v>500538.72533118032</v>
      </c>
      <c r="Z14" s="766">
        <v>482558.39640777424</v>
      </c>
      <c r="AA14" s="766">
        <v>464578.0674843684</v>
      </c>
      <c r="AB14" s="766">
        <v>457318.28142704588</v>
      </c>
      <c r="AC14" s="767">
        <v>450058.49536972342</v>
      </c>
      <c r="AD14" s="751">
        <f t="shared" si="9"/>
        <v>3.3645933796816192</v>
      </c>
      <c r="AE14" s="765">
        <f t="shared" si="10"/>
        <v>6100530.3395988122</v>
      </c>
      <c r="AF14" s="766">
        <f t="shared" si="1"/>
        <v>2684866.8958349987</v>
      </c>
      <c r="AG14" s="766">
        <f t="shared" si="2"/>
        <v>2184488.088679282</v>
      </c>
      <c r="AH14" s="766">
        <f t="shared" si="3"/>
        <v>1684109.2815235658</v>
      </c>
      <c r="AI14" s="766">
        <f t="shared" si="4"/>
        <v>1623612.7858633758</v>
      </c>
      <c r="AJ14" s="766">
        <f t="shared" si="5"/>
        <v>1563116.2902031865</v>
      </c>
      <c r="AK14" s="766">
        <f t="shared" si="6"/>
        <v>1538690.0620968142</v>
      </c>
      <c r="AL14" s="767">
        <f t="shared" si="7"/>
        <v>1514263.8339904421</v>
      </c>
    </row>
    <row r="15" spans="2:38" x14ac:dyDescent="0.25">
      <c r="B15" s="744" t="s">
        <v>390</v>
      </c>
      <c r="C15" s="744">
        <v>1</v>
      </c>
      <c r="D15" s="744">
        <v>179000</v>
      </c>
      <c r="R15" s="322" t="str">
        <f t="shared" si="8"/>
        <v>Passenger Car</v>
      </c>
      <c r="S15" s="255" t="s">
        <v>700</v>
      </c>
      <c r="T15" s="747">
        <f>D50</f>
        <v>495000.00000000006</v>
      </c>
      <c r="U15" s="758">
        <f t="shared" si="0"/>
        <v>443003.03781277488</v>
      </c>
      <c r="V15" s="765">
        <v>347145.65248339355</v>
      </c>
      <c r="W15" s="766">
        <v>365503.62501818576</v>
      </c>
      <c r="X15" s="766">
        <v>369197.8959029917</v>
      </c>
      <c r="Y15" s="766">
        <v>372892.16678779764</v>
      </c>
      <c r="Z15" s="766">
        <v>375736.74937961187</v>
      </c>
      <c r="AA15" s="766">
        <v>378581.33197142603</v>
      </c>
      <c r="AB15" s="766">
        <v>380157.85098815529</v>
      </c>
      <c r="AC15" s="767">
        <v>381734.37000488449</v>
      </c>
      <c r="AD15" s="751">
        <f t="shared" si="9"/>
        <v>1.2120345941595876</v>
      </c>
      <c r="AE15" s="765">
        <f t="shared" si="10"/>
        <v>420752.54002197512</v>
      </c>
      <c r="AF15" s="766">
        <f t="shared" si="1"/>
        <v>443003.03781277488</v>
      </c>
      <c r="AG15" s="766">
        <f t="shared" si="2"/>
        <v>447480.62192535622</v>
      </c>
      <c r="AH15" s="766">
        <f t="shared" si="3"/>
        <v>451958.20603793755</v>
      </c>
      <c r="AI15" s="766">
        <f t="shared" si="4"/>
        <v>455405.93854516052</v>
      </c>
      <c r="AJ15" s="766">
        <f t="shared" si="5"/>
        <v>458853.67105238343</v>
      </c>
      <c r="AK15" s="766">
        <f t="shared" si="6"/>
        <v>460764.46663900977</v>
      </c>
      <c r="AL15" s="767">
        <f t="shared" si="7"/>
        <v>462675.26222563599</v>
      </c>
    </row>
    <row r="16" spans="2:38" x14ac:dyDescent="0.25">
      <c r="B16" s="744" t="s">
        <v>1264</v>
      </c>
      <c r="C16" s="744">
        <v>47</v>
      </c>
      <c r="D16" s="744">
        <v>229900</v>
      </c>
      <c r="R16" s="322" t="str">
        <f t="shared" si="8"/>
        <v>Passenger Car</v>
      </c>
      <c r="S16" s="259"/>
      <c r="U16" s="758">
        <f t="shared" si="0"/>
        <v>0</v>
      </c>
      <c r="V16" s="768"/>
      <c r="W16" s="769"/>
      <c r="X16" s="769"/>
      <c r="Y16" s="769"/>
      <c r="Z16" s="769"/>
      <c r="AA16" s="769"/>
      <c r="AB16" s="769"/>
      <c r="AC16" s="770"/>
      <c r="AD16" s="751" t="e">
        <f t="shared" si="9"/>
        <v>#DIV/0!</v>
      </c>
      <c r="AE16" s="768"/>
      <c r="AF16" s="769"/>
      <c r="AG16" s="769"/>
      <c r="AH16" s="769"/>
      <c r="AI16" s="769"/>
      <c r="AJ16" s="769"/>
      <c r="AK16" s="769"/>
      <c r="AL16" s="770"/>
    </row>
    <row r="17" spans="2:38" x14ac:dyDescent="0.25">
      <c r="B17" s="744" t="s">
        <v>1263</v>
      </c>
      <c r="C17" s="744">
        <v>94</v>
      </c>
      <c r="D17" s="744">
        <v>273900</v>
      </c>
      <c r="R17" s="322" t="str">
        <f t="shared" si="8"/>
        <v>Passenger Car</v>
      </c>
      <c r="S17" s="259"/>
      <c r="U17" s="758">
        <f t="shared" si="0"/>
        <v>0</v>
      </c>
      <c r="V17" s="768"/>
      <c r="W17" s="769"/>
      <c r="X17" s="769"/>
      <c r="Y17" s="769"/>
      <c r="Z17" s="769"/>
      <c r="AA17" s="769"/>
      <c r="AB17" s="769"/>
      <c r="AC17" s="770"/>
      <c r="AD17" s="751" t="e">
        <f t="shared" si="9"/>
        <v>#DIV/0!</v>
      </c>
      <c r="AE17" s="768"/>
      <c r="AF17" s="769"/>
      <c r="AG17" s="769"/>
      <c r="AH17" s="769"/>
      <c r="AI17" s="769"/>
      <c r="AJ17" s="769"/>
      <c r="AK17" s="769"/>
      <c r="AL17" s="770"/>
    </row>
    <row r="18" spans="2:38" x14ac:dyDescent="0.25">
      <c r="B18" s="744" t="s">
        <v>1262</v>
      </c>
      <c r="C18" s="744">
        <f>+C16+C17</f>
        <v>141</v>
      </c>
      <c r="D18" s="744">
        <v>310000</v>
      </c>
      <c r="R18" s="322" t="str">
        <f>S18</f>
        <v>Motorcycle or Moped</v>
      </c>
      <c r="S18" s="503" t="s">
        <v>715</v>
      </c>
      <c r="U18" s="758">
        <f t="shared" si="0"/>
        <v>0</v>
      </c>
      <c r="V18" s="771">
        <v>2010</v>
      </c>
      <c r="W18" s="759">
        <v>2020</v>
      </c>
      <c r="X18" s="759"/>
      <c r="Y18" s="759">
        <v>2030</v>
      </c>
      <c r="Z18" s="759"/>
      <c r="AA18" s="759">
        <v>2040</v>
      </c>
      <c r="AB18" s="759"/>
      <c r="AC18" s="772">
        <v>2050</v>
      </c>
      <c r="AD18" s="751">
        <f t="shared" si="9"/>
        <v>0</v>
      </c>
      <c r="AE18" s="771">
        <v>2010</v>
      </c>
      <c r="AF18" s="759">
        <v>2020</v>
      </c>
      <c r="AG18" s="759"/>
      <c r="AH18" s="759">
        <v>2030</v>
      </c>
      <c r="AI18" s="759"/>
      <c r="AJ18" s="759">
        <v>2040</v>
      </c>
      <c r="AK18" s="759"/>
      <c r="AL18" s="772">
        <v>2050</v>
      </c>
    </row>
    <row r="19" spans="2:38" x14ac:dyDescent="0.25">
      <c r="B19" s="744" t="s">
        <v>388</v>
      </c>
      <c r="C19" s="744">
        <v>187</v>
      </c>
      <c r="D19" s="744">
        <v>412500</v>
      </c>
      <c r="R19" s="322" t="str">
        <f t="shared" ref="R19:R25" si="14">R18</f>
        <v>Motorcycle or Moped</v>
      </c>
      <c r="S19" s="447" t="s">
        <v>1282</v>
      </c>
      <c r="U19" s="758">
        <f t="shared" si="0"/>
        <v>0</v>
      </c>
      <c r="V19" s="773" t="s">
        <v>1301</v>
      </c>
      <c r="W19" s="761" t="s">
        <v>1301</v>
      </c>
      <c r="X19" s="761"/>
      <c r="Y19" s="761" t="s">
        <v>1301</v>
      </c>
      <c r="Z19" s="761"/>
      <c r="AA19" s="761" t="s">
        <v>1301</v>
      </c>
      <c r="AB19" s="761"/>
      <c r="AC19" s="774" t="s">
        <v>1301</v>
      </c>
      <c r="AD19" s="751" t="e">
        <f t="shared" si="9"/>
        <v>#VALUE!</v>
      </c>
      <c r="AE19" s="773"/>
      <c r="AF19" s="761"/>
      <c r="AG19" s="761"/>
      <c r="AH19" s="761"/>
      <c r="AI19" s="761"/>
      <c r="AJ19" s="761"/>
      <c r="AK19" s="761"/>
      <c r="AL19" s="774"/>
    </row>
    <row r="20" spans="2:38" x14ac:dyDescent="0.25">
      <c r="R20" s="322" t="str">
        <f t="shared" si="14"/>
        <v>Motorcycle or Moped</v>
      </c>
      <c r="S20" s="483" t="s">
        <v>680</v>
      </c>
      <c r="T20" s="747">
        <f>D55</f>
        <v>130000</v>
      </c>
      <c r="U20" s="758">
        <f t="shared" si="0"/>
        <v>116344.23215284995</v>
      </c>
      <c r="V20" s="765">
        <v>140996.2012610439</v>
      </c>
      <c r="W20" s="766">
        <v>147551.34270646883</v>
      </c>
      <c r="X20" s="766">
        <v>149612.56096433167</v>
      </c>
      <c r="Y20" s="766">
        <v>151673.77922219451</v>
      </c>
      <c r="Z20" s="766">
        <v>154018.3082464562</v>
      </c>
      <c r="AA20" s="766">
        <v>156362.83727071786</v>
      </c>
      <c r="AB20" s="766">
        <v>157446.64112516472</v>
      </c>
      <c r="AC20" s="767">
        <v>158530.44497961161</v>
      </c>
      <c r="AD20" s="751">
        <f t="shared" si="9"/>
        <v>0.78849998935149823</v>
      </c>
      <c r="AE20" s="765">
        <f t="shared" ref="AE20:AE23" si="15">V20*$AD20</f>
        <v>111175.50319293482</v>
      </c>
      <c r="AF20" s="766">
        <f t="shared" ref="AF20:AF23" si="16">W20*$AD20</f>
        <v>116344.23215284995</v>
      </c>
      <c r="AG20" s="766">
        <f t="shared" ref="AG20:AG23" si="17">X20*$AD20</f>
        <v>117969.5027272259</v>
      </c>
      <c r="AH20" s="766">
        <f t="shared" ref="AH20:AH23" si="18">Y20*$AD20</f>
        <v>119594.77330160186</v>
      </c>
      <c r="AI20" s="766">
        <f t="shared" ref="AI20:AI23" si="19">Z20*$AD20</f>
        <v>121443.43441226649</v>
      </c>
      <c r="AJ20" s="766">
        <f t="shared" ref="AJ20:AJ23" si="20">AA20*$AD20</f>
        <v>123292.09552293109</v>
      </c>
      <c r="AK20" s="766">
        <f t="shared" ref="AK20:AK23" si="21">AB20*$AD20</f>
        <v>124146.67485062155</v>
      </c>
      <c r="AL20" s="767">
        <f t="shared" ref="AL20:AL23" si="22">AC20*$AD20</f>
        <v>125001.25417831203</v>
      </c>
    </row>
    <row r="21" spans="2:38" x14ac:dyDescent="0.25">
      <c r="B21" s="744" t="s">
        <v>1261</v>
      </c>
      <c r="C21" s="744" t="s">
        <v>1260</v>
      </c>
      <c r="D21" s="747">
        <f>1173.3*94+170766</f>
        <v>281056.2</v>
      </c>
      <c r="E21" s="744" t="s">
        <v>1256</v>
      </c>
      <c r="R21" s="322" t="str">
        <f t="shared" si="14"/>
        <v>Motorcycle or Moped</v>
      </c>
      <c r="S21" s="483" t="s">
        <v>688</v>
      </c>
      <c r="T21" s="747">
        <f>D56</f>
        <v>150000</v>
      </c>
      <c r="U21" s="758">
        <f t="shared" si="0"/>
        <v>134243.34479174993</v>
      </c>
      <c r="V21" s="765">
        <v>174409.83751082345</v>
      </c>
      <c r="W21" s="766">
        <v>159379.68232781059</v>
      </c>
      <c r="X21" s="766">
        <v>156811.16859699812</v>
      </c>
      <c r="Y21" s="766">
        <v>154242.65486618562</v>
      </c>
      <c r="Z21" s="766">
        <v>154533.27622457623</v>
      </c>
      <c r="AA21" s="766">
        <v>154823.89758296681</v>
      </c>
      <c r="AB21" s="766">
        <v>155381.98002998158</v>
      </c>
      <c r="AC21" s="767">
        <v>155940.06247699639</v>
      </c>
      <c r="AD21" s="751">
        <f t="shared" si="9"/>
        <v>0.84228643721123442</v>
      </c>
      <c r="AE21" s="765">
        <f t="shared" si="15"/>
        <v>146903.0406515818</v>
      </c>
      <c r="AF21" s="766">
        <f t="shared" si="16"/>
        <v>134243.34479174993</v>
      </c>
      <c r="AG21" s="766">
        <f t="shared" si="17"/>
        <v>132079.92051249574</v>
      </c>
      <c r="AH21" s="766">
        <f t="shared" si="18"/>
        <v>129916.49623324156</v>
      </c>
      <c r="AI21" s="766">
        <f t="shared" si="19"/>
        <v>130161.28266177786</v>
      </c>
      <c r="AJ21" s="766">
        <f t="shared" si="20"/>
        <v>130406.06909031415</v>
      </c>
      <c r="AK21" s="766">
        <f t="shared" si="21"/>
        <v>130876.13436628037</v>
      </c>
      <c r="AL21" s="767">
        <f t="shared" si="22"/>
        <v>131346.19964224659</v>
      </c>
    </row>
    <row r="22" spans="2:38" x14ac:dyDescent="0.25">
      <c r="B22" s="744" t="s">
        <v>1259</v>
      </c>
      <c r="D22" s="744">
        <f>AVERAGE('[6]CPI-hist'!$B$26:$H$26)</f>
        <v>109.08571428571427</v>
      </c>
      <c r="R22" s="322" t="str">
        <f t="shared" si="14"/>
        <v>Motorcycle or Moped</v>
      </c>
      <c r="S22" s="483" t="s">
        <v>692</v>
      </c>
      <c r="T22" s="747">
        <f>D57</f>
        <v>130000</v>
      </c>
      <c r="U22" s="758">
        <f t="shared" si="0"/>
        <v>116344.23215284995</v>
      </c>
      <c r="V22" s="765">
        <v>227296.16263597918</v>
      </c>
      <c r="W22" s="766">
        <v>181425.66913564043</v>
      </c>
      <c r="X22" s="766">
        <v>171406.95012050911</v>
      </c>
      <c r="Y22" s="766">
        <v>161388.23110537775</v>
      </c>
      <c r="Z22" s="766">
        <v>163855.32831374026</v>
      </c>
      <c r="AA22" s="766">
        <v>166322.4255221028</v>
      </c>
      <c r="AB22" s="766">
        <v>168760.32852405298</v>
      </c>
      <c r="AC22" s="767">
        <v>171198.23152600319</v>
      </c>
      <c r="AD22" s="751">
        <f t="shared" si="9"/>
        <v>0.64127767976353311</v>
      </c>
      <c r="AE22" s="765">
        <f t="shared" si="15"/>
        <v>145759.9557943554</v>
      </c>
      <c r="AF22" s="766">
        <f t="shared" si="16"/>
        <v>116344.23215284995</v>
      </c>
      <c r="AG22" s="766">
        <f t="shared" si="17"/>
        <v>109919.45126862373</v>
      </c>
      <c r="AH22" s="766">
        <f t="shared" si="18"/>
        <v>103494.67038439751</v>
      </c>
      <c r="AI22" s="766">
        <f t="shared" si="19"/>
        <v>105076.7647579273</v>
      </c>
      <c r="AJ22" s="766">
        <f t="shared" si="20"/>
        <v>106658.85913145712</v>
      </c>
      <c r="AK22" s="766">
        <f t="shared" si="21"/>
        <v>108222.2319120363</v>
      </c>
      <c r="AL22" s="767">
        <f t="shared" si="22"/>
        <v>109785.60469261547</v>
      </c>
    </row>
    <row r="23" spans="2:38" x14ac:dyDescent="0.25">
      <c r="B23" s="744" t="s">
        <v>1258</v>
      </c>
      <c r="D23" s="744">
        <f>AVERAGE('[6]CPI-hist'!$B$25:$M$25)</f>
        <v>104.24166666666667</v>
      </c>
      <c r="R23" s="322" t="str">
        <f t="shared" si="14"/>
        <v>Motorcycle or Moped</v>
      </c>
      <c r="S23" s="483" t="s">
        <v>699</v>
      </c>
      <c r="T23" s="747">
        <f>D58</f>
        <v>3000000</v>
      </c>
      <c r="U23" s="758">
        <f t="shared" si="0"/>
        <v>2684866.8958349987</v>
      </c>
      <c r="V23" s="765">
        <v>1452431.4754462892</v>
      </c>
      <c r="W23" s="766">
        <v>537952.03122821182</v>
      </c>
      <c r="X23" s="779">
        <f>0.95*W23</f>
        <v>511054.42966680118</v>
      </c>
      <c r="Y23" s="779">
        <f t="shared" ref="Y23:AC23" si="23">0.95*X23</f>
        <v>485501.7081834611</v>
      </c>
      <c r="Z23" s="779">
        <f t="shared" si="23"/>
        <v>461226.622774288</v>
      </c>
      <c r="AA23" s="779">
        <f t="shared" si="23"/>
        <v>438165.29163557355</v>
      </c>
      <c r="AB23" s="779">
        <f t="shared" si="23"/>
        <v>416257.02705379488</v>
      </c>
      <c r="AC23" s="779">
        <f t="shared" si="23"/>
        <v>395444.17570110509</v>
      </c>
      <c r="AD23" s="751">
        <f t="shared" si="9"/>
        <v>4.990903909601589</v>
      </c>
      <c r="AE23" s="765">
        <f t="shared" si="15"/>
        <v>7248945.9292332893</v>
      </c>
      <c r="AF23" s="766">
        <f t="shared" si="16"/>
        <v>2684866.8958349987</v>
      </c>
      <c r="AG23" s="766">
        <f t="shared" si="17"/>
        <v>2550623.5510432483</v>
      </c>
      <c r="AH23" s="766">
        <f t="shared" si="18"/>
        <v>2423092.3734910856</v>
      </c>
      <c r="AI23" s="766">
        <f t="shared" si="19"/>
        <v>2301937.7548165312</v>
      </c>
      <c r="AJ23" s="766">
        <f t="shared" si="20"/>
        <v>2186840.8670757045</v>
      </c>
      <c r="AK23" s="766">
        <f t="shared" si="21"/>
        <v>2077498.8237219192</v>
      </c>
      <c r="AL23" s="767">
        <f t="shared" si="22"/>
        <v>1973623.8825358232</v>
      </c>
    </row>
    <row r="24" spans="2:38" x14ac:dyDescent="0.25">
      <c r="B24" s="751" t="s">
        <v>1310</v>
      </c>
      <c r="D24" s="744">
        <f>AVERAGE('[6]CPI-hist'!$B$23:$M$23)</f>
        <v>93.291666666666671</v>
      </c>
      <c r="R24" s="322"/>
      <c r="S24" s="322"/>
      <c r="U24" s="758">
        <f t="shared" si="0"/>
        <v>0</v>
      </c>
      <c r="V24" s="773"/>
      <c r="W24" s="761"/>
      <c r="X24" s="761"/>
      <c r="Y24" s="761"/>
      <c r="Z24" s="761"/>
      <c r="AA24" s="761"/>
      <c r="AB24" s="761"/>
      <c r="AC24" s="774"/>
      <c r="AD24" s="751" t="e">
        <f t="shared" si="9"/>
        <v>#DIV/0!</v>
      </c>
      <c r="AE24" s="773"/>
      <c r="AF24" s="761"/>
      <c r="AG24" s="761"/>
      <c r="AH24" s="761"/>
      <c r="AI24" s="761"/>
      <c r="AJ24" s="761"/>
      <c r="AK24" s="761"/>
      <c r="AL24" s="774"/>
    </row>
    <row r="25" spans="2:38" x14ac:dyDescent="0.25">
      <c r="B25" s="744" t="s">
        <v>1257</v>
      </c>
      <c r="D25" s="746">
        <v>300000</v>
      </c>
      <c r="E25" s="745" t="s">
        <v>1256</v>
      </c>
      <c r="R25" s="322">
        <f t="shared" si="14"/>
        <v>0</v>
      </c>
      <c r="S25" s="452" t="s">
        <v>832</v>
      </c>
      <c r="U25" s="758">
        <f t="shared" si="0"/>
        <v>0</v>
      </c>
      <c r="V25" s="773"/>
      <c r="W25" s="761"/>
      <c r="X25" s="761"/>
      <c r="Y25" s="761"/>
      <c r="Z25" s="761"/>
      <c r="AA25" s="761"/>
      <c r="AB25" s="761"/>
      <c r="AC25" s="774"/>
      <c r="AD25" s="751" t="e">
        <f t="shared" si="9"/>
        <v>#DIV/0!</v>
      </c>
      <c r="AE25" s="773"/>
      <c r="AF25" s="761"/>
      <c r="AG25" s="761"/>
      <c r="AH25" s="761"/>
      <c r="AI25" s="761"/>
      <c r="AJ25" s="761"/>
      <c r="AK25" s="761"/>
      <c r="AL25" s="774"/>
    </row>
    <row r="26" spans="2:38" x14ac:dyDescent="0.25">
      <c r="R26" s="322" t="str">
        <f>S26</f>
        <v xml:space="preserve">Van / LCV </v>
      </c>
      <c r="S26" s="351" t="s">
        <v>701</v>
      </c>
      <c r="U26" s="758">
        <f t="shared" si="0"/>
        <v>0</v>
      </c>
      <c r="V26" s="771">
        <v>2010</v>
      </c>
      <c r="W26" s="759">
        <v>2020</v>
      </c>
      <c r="X26" s="759"/>
      <c r="Y26" s="759">
        <v>2030</v>
      </c>
      <c r="Z26" s="759"/>
      <c r="AA26" s="759">
        <v>2040</v>
      </c>
      <c r="AB26" s="759"/>
      <c r="AC26" s="772">
        <v>2050</v>
      </c>
      <c r="AD26" s="751">
        <f t="shared" si="9"/>
        <v>0</v>
      </c>
      <c r="AE26" s="771">
        <v>2010</v>
      </c>
      <c r="AF26" s="759">
        <v>2020</v>
      </c>
      <c r="AG26" s="759"/>
      <c r="AH26" s="759">
        <v>2030</v>
      </c>
      <c r="AI26" s="759"/>
      <c r="AJ26" s="759">
        <v>2040</v>
      </c>
      <c r="AK26" s="759"/>
      <c r="AL26" s="772">
        <v>2050</v>
      </c>
    </row>
    <row r="27" spans="2:38" x14ac:dyDescent="0.25">
      <c r="B27" s="744" t="s">
        <v>1277</v>
      </c>
      <c r="R27" s="322" t="str">
        <f t="shared" ref="R27:R42" si="24">R26</f>
        <v xml:space="preserve">Van / LCV </v>
      </c>
      <c r="S27" s="447" t="s">
        <v>1282</v>
      </c>
      <c r="U27" s="758">
        <f t="shared" si="0"/>
        <v>0</v>
      </c>
      <c r="V27" s="773" t="s">
        <v>1301</v>
      </c>
      <c r="W27" s="761" t="s">
        <v>1301</v>
      </c>
      <c r="X27" s="761"/>
      <c r="Y27" s="761" t="s">
        <v>1301</v>
      </c>
      <c r="Z27" s="761"/>
      <c r="AA27" s="761" t="s">
        <v>1301</v>
      </c>
      <c r="AB27" s="761"/>
      <c r="AC27" s="774" t="s">
        <v>1301</v>
      </c>
      <c r="AD27" s="751" t="e">
        <f t="shared" si="9"/>
        <v>#VALUE!</v>
      </c>
      <c r="AE27" s="773"/>
      <c r="AF27" s="761"/>
      <c r="AG27" s="761"/>
      <c r="AH27" s="761"/>
      <c r="AI27" s="761"/>
      <c r="AJ27" s="761"/>
      <c r="AK27" s="761"/>
      <c r="AL27" s="774"/>
    </row>
    <row r="28" spans="2:38" x14ac:dyDescent="0.25">
      <c r="B28" s="752" t="s">
        <v>1278</v>
      </c>
      <c r="C28" s="752" t="s">
        <v>1260</v>
      </c>
      <c r="D28" s="753">
        <v>649890</v>
      </c>
      <c r="E28" s="752" t="s">
        <v>1279</v>
      </c>
      <c r="R28" s="322" t="str">
        <f t="shared" si="24"/>
        <v xml:space="preserve">Van / LCV </v>
      </c>
      <c r="S28" s="255" t="s">
        <v>680</v>
      </c>
      <c r="T28" s="747">
        <f>D61</f>
        <v>425000</v>
      </c>
      <c r="U28" s="758">
        <f t="shared" si="0"/>
        <v>380356.14357662486</v>
      </c>
      <c r="V28" s="765">
        <v>256661.9753328345</v>
      </c>
      <c r="W28" s="766">
        <v>279008.35302471276</v>
      </c>
      <c r="X28" s="766">
        <v>284150.0701234903</v>
      </c>
      <c r="Y28" s="766">
        <v>289291.78722226777</v>
      </c>
      <c r="Z28" s="766">
        <v>295609.37144945067</v>
      </c>
      <c r="AA28" s="766">
        <v>301926.95567663357</v>
      </c>
      <c r="AB28" s="766">
        <v>305092.2662489441</v>
      </c>
      <c r="AC28" s="767">
        <v>308257.57682125468</v>
      </c>
      <c r="AD28" s="751">
        <f t="shared" si="9"/>
        <v>1.3632428543920165</v>
      </c>
      <c r="AE28" s="765">
        <f t="shared" ref="AE28:AE40" si="25">V28*$AD28</f>
        <v>349892.60386662662</v>
      </c>
      <c r="AF28" s="766">
        <f t="shared" ref="AF28:AF40" si="26">W28*$AD28</f>
        <v>380356.14357662486</v>
      </c>
      <c r="AG28" s="766">
        <f t="shared" ref="AG28:AG40" si="27">X28*$AD28</f>
        <v>387365.55267083854</v>
      </c>
      <c r="AH28" s="766">
        <f t="shared" ref="AH28:AH40" si="28">Y28*$AD28</f>
        <v>394374.96176505223</v>
      </c>
      <c r="AI28" s="766">
        <f t="shared" ref="AI28:AI40" si="29">Z28*$AD28</f>
        <v>402987.36331977899</v>
      </c>
      <c r="AJ28" s="766">
        <f t="shared" ref="AJ28:AJ40" si="30">AA28*$AD28</f>
        <v>411599.76487450581</v>
      </c>
      <c r="AK28" s="766">
        <f t="shared" ref="AK28:AK40" si="31">AB28*$AD28</f>
        <v>415914.85189413966</v>
      </c>
      <c r="AL28" s="767">
        <f t="shared" ref="AL28:AL40" si="32">AC28*$AD28</f>
        <v>420229.93891377357</v>
      </c>
    </row>
    <row r="29" spans="2:38" x14ac:dyDescent="0.25">
      <c r="C29" s="744" t="s">
        <v>1280</v>
      </c>
      <c r="D29" s="750">
        <f>1.5*D25</f>
        <v>450000</v>
      </c>
      <c r="E29" s="751" t="s">
        <v>1284</v>
      </c>
      <c r="R29" s="322" t="str">
        <f t="shared" si="24"/>
        <v xml:space="preserve">Van / LCV </v>
      </c>
      <c r="S29" s="255" t="s">
        <v>687</v>
      </c>
      <c r="T29" s="747">
        <f>D62</f>
        <v>550000</v>
      </c>
      <c r="U29" s="758">
        <f t="shared" si="0"/>
        <v>492225.59756974981</v>
      </c>
      <c r="V29" s="765">
        <v>273963.5068382945</v>
      </c>
      <c r="W29" s="766">
        <v>302454.01055301359</v>
      </c>
      <c r="X29" s="766">
        <v>307843.23555284203</v>
      </c>
      <c r="Y29" s="766">
        <v>313232.46055267047</v>
      </c>
      <c r="Z29" s="766">
        <v>319756.39835543133</v>
      </c>
      <c r="AA29" s="766">
        <v>326280.33615819225</v>
      </c>
      <c r="AB29" s="766">
        <v>329483.28918391035</v>
      </c>
      <c r="AC29" s="767">
        <v>332686.24220962852</v>
      </c>
      <c r="AD29" s="751">
        <f t="shared" si="9"/>
        <v>1.6274394797071914</v>
      </c>
      <c r="AE29" s="765">
        <f t="shared" si="25"/>
        <v>445859.02702767157</v>
      </c>
      <c r="AF29" s="766">
        <f t="shared" si="26"/>
        <v>492225.59756974981</v>
      </c>
      <c r="AG29" s="766">
        <f t="shared" si="27"/>
        <v>500996.23509949562</v>
      </c>
      <c r="AH29" s="766">
        <f t="shared" si="28"/>
        <v>509766.87262924138</v>
      </c>
      <c r="AI29" s="766">
        <f t="shared" si="29"/>
        <v>520384.1865726086</v>
      </c>
      <c r="AJ29" s="766">
        <f t="shared" si="30"/>
        <v>531001.50051597587</v>
      </c>
      <c r="AK29" s="766">
        <f t="shared" si="31"/>
        <v>536214.11272167717</v>
      </c>
      <c r="AL29" s="767">
        <f t="shared" si="32"/>
        <v>541426.72492737847</v>
      </c>
    </row>
    <row r="30" spans="2:38" x14ac:dyDescent="0.25">
      <c r="D30" s="747"/>
      <c r="R30" s="322" t="str">
        <f t="shared" si="24"/>
        <v xml:space="preserve">Van / LCV </v>
      </c>
      <c r="S30" s="255" t="s">
        <v>688</v>
      </c>
      <c r="T30" s="747">
        <f t="shared" ref="T30:T40" si="33">D63</f>
        <v>550000</v>
      </c>
      <c r="U30" s="758">
        <f t="shared" si="0"/>
        <v>492225.59756974981</v>
      </c>
      <c r="V30" s="765">
        <v>312901.78233298892</v>
      </c>
      <c r="W30" s="766">
        <v>304843.98823993577</v>
      </c>
      <c r="X30" s="766">
        <v>302907.47306587646</v>
      </c>
      <c r="Y30" s="766">
        <v>300970.9578918172</v>
      </c>
      <c r="Z30" s="766">
        <v>303738.94959199568</v>
      </c>
      <c r="AA30" s="766">
        <v>306506.94129217422</v>
      </c>
      <c r="AB30" s="766">
        <v>307629.24987310497</v>
      </c>
      <c r="AC30" s="767">
        <v>308751.55845403566</v>
      </c>
      <c r="AD30" s="751">
        <f t="shared" si="9"/>
        <v>1.6146803498133289</v>
      </c>
      <c r="AE30" s="765">
        <f t="shared" si="25"/>
        <v>505236.35935464466</v>
      </c>
      <c r="AF30" s="766">
        <f t="shared" si="26"/>
        <v>492225.59756974981</v>
      </c>
      <c r="AG30" s="766">
        <f t="shared" si="27"/>
        <v>489098.7445710809</v>
      </c>
      <c r="AH30" s="766">
        <f t="shared" si="28"/>
        <v>485971.8915724121</v>
      </c>
      <c r="AI30" s="766">
        <f t="shared" si="29"/>
        <v>490441.31337913667</v>
      </c>
      <c r="AJ30" s="766">
        <f t="shared" si="30"/>
        <v>494910.7351858613</v>
      </c>
      <c r="AK30" s="766">
        <f t="shared" si="31"/>
        <v>496722.90479791712</v>
      </c>
      <c r="AL30" s="767">
        <f t="shared" si="32"/>
        <v>498535.07440997276</v>
      </c>
    </row>
    <row r="31" spans="2:38" x14ac:dyDescent="0.25">
      <c r="B31" s="751" t="s">
        <v>1281</v>
      </c>
      <c r="R31" s="322" t="str">
        <f t="shared" si="24"/>
        <v xml:space="preserve">Van / LCV </v>
      </c>
      <c r="S31" s="255" t="s">
        <v>689</v>
      </c>
      <c r="T31" s="747">
        <f t="shared" si="33"/>
        <v>825000</v>
      </c>
      <c r="U31" s="758">
        <f t="shared" si="0"/>
        <v>738338.39635462465</v>
      </c>
      <c r="V31" s="765">
        <v>331028.30930312449</v>
      </c>
      <c r="W31" s="766">
        <v>326716.98101003445</v>
      </c>
      <c r="X31" s="766">
        <v>324521.50162893633</v>
      </c>
      <c r="Y31" s="766">
        <v>322326.02224783826</v>
      </c>
      <c r="Z31" s="766">
        <v>325263.56979321735</v>
      </c>
      <c r="AA31" s="766">
        <v>328201.11733859644</v>
      </c>
      <c r="AB31" s="766">
        <v>329321.81828075892</v>
      </c>
      <c r="AC31" s="767">
        <v>330442.51922292134</v>
      </c>
      <c r="AD31" s="751">
        <f t="shared" si="9"/>
        <v>2.2598715073580706</v>
      </c>
      <c r="AE31" s="765">
        <f t="shared" si="25"/>
        <v>748081.44432304555</v>
      </c>
      <c r="AF31" s="766">
        <f t="shared" si="26"/>
        <v>738338.39635462465</v>
      </c>
      <c r="AG31" s="766">
        <f t="shared" si="27"/>
        <v>733376.89505628892</v>
      </c>
      <c r="AH31" s="766">
        <f t="shared" si="28"/>
        <v>728415.39375795331</v>
      </c>
      <c r="AI31" s="766">
        <f t="shared" si="29"/>
        <v>735053.87375726516</v>
      </c>
      <c r="AJ31" s="766">
        <f t="shared" si="30"/>
        <v>741692.35375657689</v>
      </c>
      <c r="AK31" s="766">
        <f t="shared" si="31"/>
        <v>744224.99388403923</v>
      </c>
      <c r="AL31" s="767">
        <f t="shared" si="32"/>
        <v>746757.63401150145</v>
      </c>
    </row>
    <row r="32" spans="2:38" x14ac:dyDescent="0.25">
      <c r="B32" s="751" t="s">
        <v>1283</v>
      </c>
      <c r="C32" s="751" t="s">
        <v>1260</v>
      </c>
      <c r="D32" s="744">
        <v>515000</v>
      </c>
      <c r="R32" s="322" t="str">
        <f t="shared" si="24"/>
        <v xml:space="preserve">Van / LCV </v>
      </c>
      <c r="S32" s="255" t="s">
        <v>691</v>
      </c>
      <c r="T32" s="747">
        <f t="shared" si="33"/>
        <v>731500</v>
      </c>
      <c r="U32" s="758">
        <f t="shared" si="0"/>
        <v>654660.04476776719</v>
      </c>
      <c r="V32" s="765">
        <v>391481.07154940313</v>
      </c>
      <c r="W32" s="766">
        <v>339982.20467586158</v>
      </c>
      <c r="X32" s="766">
        <v>331059.16492119117</v>
      </c>
      <c r="Y32" s="766">
        <v>322136.12516652065</v>
      </c>
      <c r="Z32" s="766">
        <v>323006.64147182775</v>
      </c>
      <c r="AA32" s="766">
        <v>323877.15777713485</v>
      </c>
      <c r="AB32" s="766">
        <v>323593.37485257658</v>
      </c>
      <c r="AC32" s="767">
        <v>323309.59192801826</v>
      </c>
      <c r="AD32" s="751">
        <f t="shared" si="9"/>
        <v>1.9255715027553248</v>
      </c>
      <c r="AE32" s="765">
        <f t="shared" si="25"/>
        <v>753824.79524364905</v>
      </c>
      <c r="AF32" s="766">
        <f t="shared" si="26"/>
        <v>654660.04476776719</v>
      </c>
      <c r="AG32" s="766">
        <f t="shared" si="27"/>
        <v>637478.09369822103</v>
      </c>
      <c r="AH32" s="766">
        <f t="shared" si="28"/>
        <v>620296.14262867463</v>
      </c>
      <c r="AI32" s="766">
        <f t="shared" si="29"/>
        <v>621972.38401885785</v>
      </c>
      <c r="AJ32" s="766">
        <f t="shared" si="30"/>
        <v>623648.62540904095</v>
      </c>
      <c r="AK32" s="766">
        <f t="shared" si="31"/>
        <v>623102.18109654309</v>
      </c>
      <c r="AL32" s="767">
        <f t="shared" si="32"/>
        <v>622555.736784045</v>
      </c>
    </row>
    <row r="33" spans="2:38" x14ac:dyDescent="0.25">
      <c r="C33" s="751" t="s">
        <v>1280</v>
      </c>
      <c r="D33" s="750">
        <v>515000</v>
      </c>
      <c r="E33" s="920" t="s">
        <v>1338</v>
      </c>
      <c r="F33" s="751" t="s">
        <v>1266</v>
      </c>
      <c r="G33" s="744" t="s">
        <v>1286</v>
      </c>
      <c r="R33" s="322" t="str">
        <f t="shared" si="24"/>
        <v xml:space="preserve">Van / LCV </v>
      </c>
      <c r="S33" s="255" t="s">
        <v>695</v>
      </c>
      <c r="T33" s="747">
        <f t="shared" si="33"/>
        <v>1097250</v>
      </c>
      <c r="U33" s="758">
        <f t="shared" si="0"/>
        <v>981990.06715165079</v>
      </c>
      <c r="V33" s="765">
        <v>407474.79468737578</v>
      </c>
      <c r="W33" s="766">
        <v>360682.48912301363</v>
      </c>
      <c r="X33" s="766">
        <v>351716.16664973373</v>
      </c>
      <c r="Y33" s="766">
        <v>342749.84417645383</v>
      </c>
      <c r="Z33" s="766">
        <v>343826.71405733895</v>
      </c>
      <c r="AA33" s="766">
        <v>344903.58393822401</v>
      </c>
      <c r="AB33" s="766">
        <v>344657.44346707332</v>
      </c>
      <c r="AC33" s="767">
        <v>344411.30299592268</v>
      </c>
      <c r="AD33" s="751">
        <f t="shared" si="9"/>
        <v>2.7225886943924666</v>
      </c>
      <c r="AE33" s="765">
        <f t="shared" si="25"/>
        <v>1109386.2692657409</v>
      </c>
      <c r="AF33" s="766">
        <f t="shared" si="26"/>
        <v>981990.06715165067</v>
      </c>
      <c r="AG33" s="766">
        <f t="shared" si="27"/>
        <v>957578.45895562181</v>
      </c>
      <c r="AH33" s="766">
        <f t="shared" si="28"/>
        <v>933166.85075959284</v>
      </c>
      <c r="AI33" s="766">
        <f t="shared" si="29"/>
        <v>936098.72452262242</v>
      </c>
      <c r="AJ33" s="766">
        <f t="shared" si="30"/>
        <v>939030.59828565188</v>
      </c>
      <c r="AK33" s="766">
        <f t="shared" si="31"/>
        <v>938360.45902166457</v>
      </c>
      <c r="AL33" s="767">
        <f t="shared" si="32"/>
        <v>937690.31975767738</v>
      </c>
    </row>
    <row r="34" spans="2:38" x14ac:dyDescent="0.25">
      <c r="B34" s="751"/>
      <c r="R34" s="322" t="str">
        <f t="shared" si="24"/>
        <v xml:space="preserve">Van / LCV </v>
      </c>
      <c r="S34" s="255" t="s">
        <v>839</v>
      </c>
      <c r="T34" s="747">
        <f t="shared" si="33"/>
        <v>972895</v>
      </c>
      <c r="U34" s="758">
        <f t="shared" si="0"/>
        <v>870697.85954113037</v>
      </c>
      <c r="V34" s="765">
        <v>496559.73718594579</v>
      </c>
      <c r="W34" s="766">
        <v>378588.95630492171</v>
      </c>
      <c r="X34" s="766">
        <v>360727.4622038473</v>
      </c>
      <c r="Y34" s="766">
        <v>342865.96810277284</v>
      </c>
      <c r="Z34" s="766">
        <v>342470.67215617938</v>
      </c>
      <c r="AA34" s="766">
        <v>342075.37620958587</v>
      </c>
      <c r="AB34" s="766">
        <v>340639.12087968597</v>
      </c>
      <c r="AC34" s="767">
        <v>339202.8655497859</v>
      </c>
      <c r="AD34" s="751">
        <f t="shared" si="9"/>
        <v>2.2998501277989107</v>
      </c>
      <c r="AE34" s="765">
        <f t="shared" si="25"/>
        <v>1142012.9750268909</v>
      </c>
      <c r="AF34" s="766">
        <f t="shared" si="26"/>
        <v>870697.85954113049</v>
      </c>
      <c r="AG34" s="766">
        <f t="shared" si="27"/>
        <v>829619.100050095</v>
      </c>
      <c r="AH34" s="766">
        <f t="shared" si="28"/>
        <v>788540.3405590594</v>
      </c>
      <c r="AI34" s="766">
        <f t="shared" si="29"/>
        <v>787631.21912576805</v>
      </c>
      <c r="AJ34" s="766">
        <f t="shared" si="30"/>
        <v>786722.09769247659</v>
      </c>
      <c r="AK34" s="766">
        <f t="shared" si="31"/>
        <v>783418.92568845442</v>
      </c>
      <c r="AL34" s="767">
        <f t="shared" si="32"/>
        <v>780115.75368443178</v>
      </c>
    </row>
    <row r="35" spans="2:38" x14ac:dyDescent="0.25">
      <c r="B35" s="751" t="s">
        <v>689</v>
      </c>
      <c r="D35" s="921">
        <f>D33*1.5</f>
        <v>772500</v>
      </c>
      <c r="E35" s="922" t="s">
        <v>1339</v>
      </c>
      <c r="R35" s="322" t="str">
        <f t="shared" si="24"/>
        <v xml:space="preserve">Van / LCV </v>
      </c>
      <c r="S35" s="255" t="s">
        <v>838</v>
      </c>
      <c r="T35" s="747">
        <f t="shared" si="33"/>
        <v>1459342.5</v>
      </c>
      <c r="U35" s="758">
        <f t="shared" ref="U35:U66" si="34">$D$24/$D$23*T35</f>
        <v>1306046.7893116956</v>
      </c>
      <c r="V35" s="765">
        <v>511492.56089864328</v>
      </c>
      <c r="W35" s="766">
        <v>395813.38161575678</v>
      </c>
      <c r="X35" s="766">
        <v>377420.10669636662</v>
      </c>
      <c r="Y35" s="766">
        <v>359026.83177697641</v>
      </c>
      <c r="Z35" s="766">
        <v>358837.88940596086</v>
      </c>
      <c r="AA35" s="766">
        <v>358648.94703494536</v>
      </c>
      <c r="AB35" s="766">
        <v>357250.33415845298</v>
      </c>
      <c r="AC35" s="767">
        <v>355851.72128196061</v>
      </c>
      <c r="AD35" s="751">
        <f t="shared" si="9"/>
        <v>3.2996529424555052</v>
      </c>
      <c r="AE35" s="765">
        <f t="shared" si="25"/>
        <v>1687747.9336133101</v>
      </c>
      <c r="AF35" s="766">
        <f t="shared" si="26"/>
        <v>1306046.7893116956</v>
      </c>
      <c r="AG35" s="766">
        <f t="shared" si="27"/>
        <v>1245355.3656025368</v>
      </c>
      <c r="AH35" s="766">
        <f t="shared" si="28"/>
        <v>1184663.9418933778</v>
      </c>
      <c r="AI35" s="766">
        <f t="shared" si="29"/>
        <v>1184040.497642902</v>
      </c>
      <c r="AJ35" s="766">
        <f t="shared" si="30"/>
        <v>1183417.0533924261</v>
      </c>
      <c r="AK35" s="766">
        <f t="shared" si="31"/>
        <v>1178802.1162991519</v>
      </c>
      <c r="AL35" s="767">
        <f t="shared" si="32"/>
        <v>1174187.1792058777</v>
      </c>
    </row>
    <row r="36" spans="2:38" x14ac:dyDescent="0.25">
      <c r="B36" s="751"/>
      <c r="R36" s="322" t="str">
        <f t="shared" si="24"/>
        <v xml:space="preserve">Van / LCV </v>
      </c>
      <c r="S36" s="255" t="s">
        <v>692</v>
      </c>
      <c r="T36" s="747">
        <f t="shared" si="33"/>
        <v>950000</v>
      </c>
      <c r="U36" s="758">
        <f t="shared" si="34"/>
        <v>850207.85034774966</v>
      </c>
      <c r="V36" s="765">
        <v>687128.15488599741</v>
      </c>
      <c r="W36" s="766">
        <v>469949.59053506178</v>
      </c>
      <c r="X36" s="766">
        <v>432380.94769067498</v>
      </c>
      <c r="Y36" s="766">
        <v>394812.30484628811</v>
      </c>
      <c r="Z36" s="766">
        <v>398727.68873224943</v>
      </c>
      <c r="AA36" s="766">
        <v>402643.07261821086</v>
      </c>
      <c r="AB36" s="766">
        <v>404655.09436187055</v>
      </c>
      <c r="AC36" s="767">
        <v>406667.11610553024</v>
      </c>
      <c r="AD36" s="751">
        <f t="shared" si="9"/>
        <v>1.8091469116501289</v>
      </c>
      <c r="AE36" s="765">
        <f t="shared" si="25"/>
        <v>1243115.7793198535</v>
      </c>
      <c r="AF36" s="766">
        <f t="shared" si="26"/>
        <v>850207.85034774966</v>
      </c>
      <c r="AG36" s="766">
        <f t="shared" si="27"/>
        <v>782240.65617094061</v>
      </c>
      <c r="AH36" s="766">
        <f t="shared" si="28"/>
        <v>714273.46199413133</v>
      </c>
      <c r="AI36" s="766">
        <f t="shared" si="29"/>
        <v>721356.96665934299</v>
      </c>
      <c r="AJ36" s="766">
        <f t="shared" si="30"/>
        <v>728440.47132455476</v>
      </c>
      <c r="AK36" s="766">
        <f t="shared" si="31"/>
        <v>732080.51424826961</v>
      </c>
      <c r="AL36" s="767">
        <f t="shared" si="32"/>
        <v>735720.55717198446</v>
      </c>
    </row>
    <row r="37" spans="2:38" x14ac:dyDescent="0.25">
      <c r="B37" s="751" t="s">
        <v>1285</v>
      </c>
      <c r="D37" s="921">
        <f>D33*1.33</f>
        <v>684950</v>
      </c>
      <c r="E37" s="923"/>
      <c r="R37" s="322" t="str">
        <f t="shared" si="24"/>
        <v xml:space="preserve">Van / LCV </v>
      </c>
      <c r="S37" s="255" t="s">
        <v>699</v>
      </c>
      <c r="T37" s="747">
        <f t="shared" si="33"/>
        <v>4000000</v>
      </c>
      <c r="U37" s="758">
        <f t="shared" si="34"/>
        <v>3579822.5277799983</v>
      </c>
      <c r="V37" s="765">
        <v>2029535.5581229187</v>
      </c>
      <c r="W37" s="766">
        <v>811440.95954608021</v>
      </c>
      <c r="X37" s="766">
        <v>622919.2856946364</v>
      </c>
      <c r="Y37" s="766">
        <v>434397.61184319266</v>
      </c>
      <c r="Z37" s="766">
        <v>413664.79392003053</v>
      </c>
      <c r="AA37" s="766">
        <v>392931.97599686834</v>
      </c>
      <c r="AB37" s="766">
        <v>387589.42716879566</v>
      </c>
      <c r="AC37" s="767">
        <v>382246.87834072293</v>
      </c>
      <c r="AD37" s="751">
        <f t="shared" si="9"/>
        <v>4.4116857618113707</v>
      </c>
      <c r="AE37" s="765">
        <f t="shared" si="25"/>
        <v>8953673.1248607747</v>
      </c>
      <c r="AF37" s="766">
        <f t="shared" si="26"/>
        <v>3579822.5277799987</v>
      </c>
      <c r="AG37" s="766">
        <f t="shared" si="27"/>
        <v>2748124.143456737</v>
      </c>
      <c r="AH37" s="766">
        <f t="shared" si="28"/>
        <v>1916425.7591334756</v>
      </c>
      <c r="AI37" s="766">
        <f t="shared" si="29"/>
        <v>1824959.0814996336</v>
      </c>
      <c r="AJ37" s="766">
        <f t="shared" si="30"/>
        <v>1733492.4038657914</v>
      </c>
      <c r="AK37" s="766">
        <f t="shared" si="31"/>
        <v>1709922.7572692011</v>
      </c>
      <c r="AL37" s="767">
        <f t="shared" si="32"/>
        <v>1686353.1106726106</v>
      </c>
    </row>
    <row r="38" spans="2:38" x14ac:dyDescent="0.25">
      <c r="B38" s="751" t="s">
        <v>695</v>
      </c>
      <c r="D38" s="921">
        <f>D35*1.33</f>
        <v>1027425</v>
      </c>
      <c r="E38" s="923"/>
      <c r="R38" s="322" t="str">
        <f t="shared" si="24"/>
        <v xml:space="preserve">Van / LCV </v>
      </c>
      <c r="S38" s="255" t="s">
        <v>837</v>
      </c>
      <c r="T38" s="747">
        <f t="shared" si="33"/>
        <v>4400000</v>
      </c>
      <c r="U38" s="758">
        <f t="shared" si="34"/>
        <v>3937804.7805579985</v>
      </c>
      <c r="V38" s="765">
        <v>2114672.9625383778</v>
      </c>
      <c r="W38" s="766">
        <v>850128.3240129943</v>
      </c>
      <c r="X38" s="766">
        <v>655524.58181147499</v>
      </c>
      <c r="Y38" s="766">
        <v>460920.8396099559</v>
      </c>
      <c r="Z38" s="766">
        <v>439117.74429542525</v>
      </c>
      <c r="AA38" s="766">
        <v>417314.64898089459</v>
      </c>
      <c r="AB38" s="766">
        <v>410990.01008050452</v>
      </c>
      <c r="AC38" s="767">
        <v>404665.37118011439</v>
      </c>
      <c r="AD38" s="751">
        <f t="shared" si="9"/>
        <v>4.6320122143087294</v>
      </c>
      <c r="AE38" s="765">
        <f t="shared" si="25"/>
        <v>9795190.9917461928</v>
      </c>
      <c r="AF38" s="766">
        <f t="shared" si="26"/>
        <v>3937804.7805579989</v>
      </c>
      <c r="AG38" s="766">
        <f t="shared" si="27"/>
        <v>3036397.8697303743</v>
      </c>
      <c r="AH38" s="766">
        <f t="shared" si="28"/>
        <v>2134990.9589027506</v>
      </c>
      <c r="AI38" s="766">
        <f t="shared" si="29"/>
        <v>2033998.7550961073</v>
      </c>
      <c r="AJ38" s="766">
        <f t="shared" si="30"/>
        <v>1933006.5512894636</v>
      </c>
      <c r="AK38" s="766">
        <f t="shared" si="31"/>
        <v>1903710.7466517647</v>
      </c>
      <c r="AL38" s="767">
        <f t="shared" si="32"/>
        <v>1874414.9420140656</v>
      </c>
    </row>
    <row r="39" spans="2:38" x14ac:dyDescent="0.25">
      <c r="D39" s="924"/>
      <c r="E39" s="924"/>
      <c r="R39" s="322" t="str">
        <f t="shared" si="24"/>
        <v xml:space="preserve">Van / LCV </v>
      </c>
      <c r="S39" s="255" t="s">
        <v>836</v>
      </c>
      <c r="T39" s="747">
        <f t="shared" si="33"/>
        <v>4400000</v>
      </c>
      <c r="U39" s="758">
        <f t="shared" si="34"/>
        <v>3937804.7805579985</v>
      </c>
      <c r="V39" s="765">
        <v>1450504.470819857</v>
      </c>
      <c r="W39" s="766">
        <v>654484.66361127386</v>
      </c>
      <c r="X39" s="766">
        <v>534980.27749698469</v>
      </c>
      <c r="Y39" s="766">
        <v>415475.89138269558</v>
      </c>
      <c r="Z39" s="766">
        <v>402645.7854288643</v>
      </c>
      <c r="AA39" s="766">
        <v>389815.67947503307</v>
      </c>
      <c r="AB39" s="766">
        <v>384665.56853580126</v>
      </c>
      <c r="AC39" s="767">
        <v>379515.4575965695</v>
      </c>
      <c r="AD39" s="751">
        <f t="shared" si="9"/>
        <v>6.0166494335103735</v>
      </c>
      <c r="AE39" s="765">
        <f t="shared" si="25"/>
        <v>8727176.9026625566</v>
      </c>
      <c r="AF39" s="766">
        <f t="shared" si="26"/>
        <v>3937804.7805579985</v>
      </c>
      <c r="AG39" s="766">
        <f t="shared" si="27"/>
        <v>3218788.7835414554</v>
      </c>
      <c r="AH39" s="766">
        <f t="shared" si="28"/>
        <v>2499772.7865249128</v>
      </c>
      <c r="AI39" s="766">
        <f t="shared" si="29"/>
        <v>2422578.5368059156</v>
      </c>
      <c r="AJ39" s="766">
        <f t="shared" si="30"/>
        <v>2345384.287086919</v>
      </c>
      <c r="AK39" s="766">
        <f t="shared" si="31"/>
        <v>2314397.8750218744</v>
      </c>
      <c r="AL39" s="767">
        <f t="shared" si="32"/>
        <v>2283411.4629568299</v>
      </c>
    </row>
    <row r="40" spans="2:38" x14ac:dyDescent="0.25">
      <c r="B40" s="751" t="s">
        <v>839</v>
      </c>
      <c r="D40" s="921">
        <f>D37*1.33</f>
        <v>910983.5</v>
      </c>
      <c r="E40" s="923"/>
      <c r="R40" s="322" t="str">
        <f t="shared" si="24"/>
        <v xml:space="preserve">Van / LCV </v>
      </c>
      <c r="S40" s="255" t="s">
        <v>700</v>
      </c>
      <c r="T40" s="747">
        <f t="shared" si="33"/>
        <v>605000</v>
      </c>
      <c r="U40" s="758">
        <f t="shared" si="34"/>
        <v>541448.15732672473</v>
      </c>
      <c r="V40" s="765">
        <v>299496.70074222406</v>
      </c>
      <c r="W40" s="766">
        <v>314789.02729539643</v>
      </c>
      <c r="X40" s="766">
        <v>318102.56056284037</v>
      </c>
      <c r="Y40" s="766">
        <v>321416.09383028437</v>
      </c>
      <c r="Z40" s="766">
        <v>326165.12299253611</v>
      </c>
      <c r="AA40" s="766">
        <v>330914.15215478779</v>
      </c>
      <c r="AB40" s="766">
        <v>332996.62735681463</v>
      </c>
      <c r="AC40" s="767">
        <v>335079.10255884152</v>
      </c>
      <c r="AD40" s="751">
        <f t="shared" si="9"/>
        <v>1.7200350405436227</v>
      </c>
      <c r="AE40" s="765">
        <f t="shared" si="25"/>
        <v>515144.81980383256</v>
      </c>
      <c r="AF40" s="766">
        <f t="shared" si="26"/>
        <v>541448.15732672473</v>
      </c>
      <c r="AG40" s="766">
        <f t="shared" si="27"/>
        <v>547147.5506547353</v>
      </c>
      <c r="AH40" s="766">
        <f t="shared" si="28"/>
        <v>552846.94398274599</v>
      </c>
      <c r="AI40" s="766">
        <f t="shared" si="29"/>
        <v>561015.44055038248</v>
      </c>
      <c r="AJ40" s="766">
        <f t="shared" si="30"/>
        <v>569183.93711801898</v>
      </c>
      <c r="AK40" s="766">
        <f t="shared" si="31"/>
        <v>572765.86743656825</v>
      </c>
      <c r="AL40" s="767">
        <f t="shared" si="32"/>
        <v>576347.79775511764</v>
      </c>
    </row>
    <row r="41" spans="2:38" x14ac:dyDescent="0.25">
      <c r="B41" s="751" t="s">
        <v>838</v>
      </c>
      <c r="D41" s="921">
        <f>D38*1.33</f>
        <v>1366475.25</v>
      </c>
      <c r="E41" s="923"/>
      <c r="R41" s="322" t="str">
        <f t="shared" si="24"/>
        <v xml:space="preserve">Van / LCV </v>
      </c>
      <c r="S41" s="259"/>
      <c r="U41" s="758">
        <f t="shared" si="34"/>
        <v>0</v>
      </c>
      <c r="V41" s="768"/>
      <c r="W41" s="769"/>
      <c r="X41" s="769"/>
      <c r="Y41" s="769"/>
      <c r="Z41" s="769"/>
      <c r="AA41" s="769"/>
      <c r="AB41" s="769"/>
      <c r="AC41" s="770"/>
      <c r="AD41" s="751" t="e">
        <f t="shared" si="9"/>
        <v>#DIV/0!</v>
      </c>
      <c r="AE41" s="768"/>
      <c r="AF41" s="769"/>
      <c r="AG41" s="769"/>
      <c r="AH41" s="769"/>
      <c r="AI41" s="769"/>
      <c r="AJ41" s="769"/>
      <c r="AK41" s="769"/>
      <c r="AL41" s="770"/>
    </row>
    <row r="42" spans="2:38" x14ac:dyDescent="0.25">
      <c r="R42" s="322" t="str">
        <f t="shared" si="24"/>
        <v xml:space="preserve">Van / LCV </v>
      </c>
      <c r="S42" s="452" t="s">
        <v>832</v>
      </c>
      <c r="U42" s="758">
        <f t="shared" si="34"/>
        <v>0</v>
      </c>
      <c r="V42" s="775"/>
      <c r="W42" s="776"/>
      <c r="X42" s="776"/>
      <c r="Y42" s="776"/>
      <c r="Z42" s="776"/>
      <c r="AA42" s="776"/>
      <c r="AB42" s="776"/>
      <c r="AC42" s="777"/>
      <c r="AD42" s="751" t="e">
        <f t="shared" si="9"/>
        <v>#DIV/0!</v>
      </c>
      <c r="AE42" s="775"/>
      <c r="AF42" s="776"/>
      <c r="AG42" s="776"/>
      <c r="AH42" s="776"/>
      <c r="AI42" s="776"/>
      <c r="AJ42" s="776"/>
      <c r="AK42" s="776"/>
      <c r="AL42" s="777"/>
    </row>
    <row r="43" spans="2:38" x14ac:dyDescent="0.25">
      <c r="B43" s="751" t="s">
        <v>1288</v>
      </c>
      <c r="D43" s="751" t="s">
        <v>1289</v>
      </c>
      <c r="R43" s="322" t="str">
        <f>S43</f>
        <v>Small Rigid Truck</v>
      </c>
      <c r="S43" s="351" t="s">
        <v>725</v>
      </c>
      <c r="U43" s="758">
        <f t="shared" si="34"/>
        <v>0</v>
      </c>
      <c r="V43" s="771">
        <v>2010</v>
      </c>
      <c r="W43" s="759">
        <v>2020</v>
      </c>
      <c r="X43" s="759"/>
      <c r="Y43" s="759">
        <v>2030</v>
      </c>
      <c r="Z43" s="759"/>
      <c r="AA43" s="759">
        <v>2040</v>
      </c>
      <c r="AB43" s="759"/>
      <c r="AC43" s="772">
        <v>2050</v>
      </c>
      <c r="AD43" s="751">
        <f t="shared" si="9"/>
        <v>0</v>
      </c>
      <c r="AE43" s="771">
        <v>2010</v>
      </c>
      <c r="AF43" s="759">
        <v>2020</v>
      </c>
      <c r="AG43" s="759"/>
      <c r="AH43" s="759">
        <v>2030</v>
      </c>
      <c r="AI43" s="759"/>
      <c r="AJ43" s="759">
        <v>2040</v>
      </c>
      <c r="AK43" s="759"/>
      <c r="AL43" s="772">
        <v>2050</v>
      </c>
    </row>
    <row r="44" spans="2:38" x14ac:dyDescent="0.25">
      <c r="D44" s="897">
        <v>725000</v>
      </c>
      <c r="E44" s="757" t="s">
        <v>1330</v>
      </c>
      <c r="R44" s="322" t="str">
        <f>R43</f>
        <v>Small Rigid Truck</v>
      </c>
      <c r="S44" s="447" t="s">
        <v>1282</v>
      </c>
      <c r="U44" s="758">
        <f t="shared" si="34"/>
        <v>0</v>
      </c>
      <c r="V44" s="773" t="s">
        <v>1301</v>
      </c>
      <c r="W44" s="761" t="s">
        <v>1301</v>
      </c>
      <c r="X44" s="761"/>
      <c r="Y44" s="761" t="s">
        <v>1301</v>
      </c>
      <c r="Z44" s="761"/>
      <c r="AA44" s="761" t="s">
        <v>1301</v>
      </c>
      <c r="AB44" s="761"/>
      <c r="AC44" s="774" t="s">
        <v>1301</v>
      </c>
      <c r="AD44" s="751" t="e">
        <f t="shared" si="9"/>
        <v>#VALUE!</v>
      </c>
      <c r="AE44" s="773"/>
      <c r="AF44" s="761"/>
      <c r="AG44" s="761"/>
      <c r="AH44" s="761"/>
      <c r="AI44" s="761"/>
      <c r="AJ44" s="761"/>
      <c r="AK44" s="761"/>
      <c r="AL44" s="774"/>
    </row>
    <row r="45" spans="2:38" x14ac:dyDescent="0.25">
      <c r="R45" s="322" t="str">
        <f>R44</f>
        <v>Small Rigid Truck</v>
      </c>
      <c r="S45" s="255" t="s">
        <v>687</v>
      </c>
      <c r="T45" s="747">
        <f>D77</f>
        <v>600000</v>
      </c>
      <c r="U45" s="758">
        <f t="shared" si="34"/>
        <v>536973.37916699972</v>
      </c>
      <c r="V45" s="765">
        <v>665630.86833121476</v>
      </c>
      <c r="W45" s="766">
        <v>800945.7513197927</v>
      </c>
      <c r="X45" s="766">
        <v>826287.49318747991</v>
      </c>
      <c r="Y45" s="766">
        <v>851629.23505516711</v>
      </c>
      <c r="Z45" s="766">
        <v>874323.18709736317</v>
      </c>
      <c r="AA45" s="766">
        <v>897017.13913955924</v>
      </c>
      <c r="AB45" s="766">
        <v>911917.84375750553</v>
      </c>
      <c r="AC45" s="767">
        <v>926818.54837545205</v>
      </c>
      <c r="AD45" s="751">
        <f t="shared" si="9"/>
        <v>0.67042415579604342</v>
      </c>
      <c r="AE45" s="765">
        <f t="shared" ref="AE45:AE53" si="35">V45*$AD45</f>
        <v>446255.01297274197</v>
      </c>
      <c r="AF45" s="766">
        <f t="shared" ref="AF45:AF53" si="36">W45*$AD45</f>
        <v>536973.37916699972</v>
      </c>
      <c r="AG45" s="766">
        <f t="shared" ref="AG45:AG53" si="37">X45*$AD45</f>
        <v>553963.09506504517</v>
      </c>
      <c r="AH45" s="766">
        <f t="shared" ref="AH45:AH53" si="38">Y45*$AD45</f>
        <v>570952.81096309063</v>
      </c>
      <c r="AI45" s="766">
        <f t="shared" ref="AI45:AI53" si="39">Z45*$AD45</f>
        <v>586167.38460265577</v>
      </c>
      <c r="AJ45" s="766">
        <f t="shared" ref="AJ45:AJ53" si="40">AA45*$AD45</f>
        <v>601381.95824222104</v>
      </c>
      <c r="AK45" s="766">
        <f t="shared" ref="AK45:AK53" si="41">AB45*$AD45</f>
        <v>611371.75055647385</v>
      </c>
      <c r="AL45" s="767">
        <f t="shared" ref="AL45:AL53" si="42">AC45*$AD45</f>
        <v>621361.5428707269</v>
      </c>
    </row>
    <row r="46" spans="2:38" x14ac:dyDescent="0.25">
      <c r="B46" s="751" t="s">
        <v>699</v>
      </c>
      <c r="D46" s="921">
        <v>3000000</v>
      </c>
      <c r="E46" s="923"/>
      <c r="R46" s="322" t="str">
        <f>R45</f>
        <v>Small Rigid Truck</v>
      </c>
      <c r="S46" s="461" t="s">
        <v>680</v>
      </c>
      <c r="T46" s="747">
        <f t="shared" ref="T46:T53" si="43">D78</f>
        <v>600000</v>
      </c>
      <c r="U46" s="758">
        <f t="shared" si="34"/>
        <v>536973.37916699972</v>
      </c>
      <c r="V46" s="765">
        <v>524441.75232732459</v>
      </c>
      <c r="W46" s="766">
        <v>631054.55790289911</v>
      </c>
      <c r="X46" s="766">
        <v>651020.98095271387</v>
      </c>
      <c r="Y46" s="766">
        <v>670987.40400252875</v>
      </c>
      <c r="Z46" s="766">
        <v>688867.66848918016</v>
      </c>
      <c r="AA46" s="766">
        <v>706747.93297583144</v>
      </c>
      <c r="AB46" s="766">
        <v>718488.00095125346</v>
      </c>
      <c r="AC46" s="767">
        <v>730228.06892667571</v>
      </c>
      <c r="AD46" s="751">
        <f t="shared" si="9"/>
        <v>0.85091435033993412</v>
      </c>
      <c r="AE46" s="765">
        <f t="shared" si="35"/>
        <v>446255.01297274203</v>
      </c>
      <c r="AF46" s="766">
        <f t="shared" si="36"/>
        <v>536973.37916699972</v>
      </c>
      <c r="AG46" s="766">
        <f t="shared" si="37"/>
        <v>553963.09506504517</v>
      </c>
      <c r="AH46" s="766">
        <f t="shared" si="38"/>
        <v>570952.81096309063</v>
      </c>
      <c r="AI46" s="766">
        <f t="shared" si="39"/>
        <v>586167.38460265589</v>
      </c>
      <c r="AJ46" s="766">
        <f t="shared" si="40"/>
        <v>601381.95824222092</v>
      </c>
      <c r="AK46" s="766">
        <f t="shared" si="41"/>
        <v>611371.75055647385</v>
      </c>
      <c r="AL46" s="767">
        <f t="shared" si="42"/>
        <v>621361.5428707269</v>
      </c>
    </row>
    <row r="47" spans="2:38" x14ac:dyDescent="0.25">
      <c r="B47" s="751" t="s">
        <v>837</v>
      </c>
      <c r="D47" s="921">
        <f>D46</f>
        <v>3000000</v>
      </c>
      <c r="E47" s="923"/>
      <c r="R47" s="322" t="str">
        <f>R45</f>
        <v>Small Rigid Truck</v>
      </c>
      <c r="S47" s="255" t="s">
        <v>829</v>
      </c>
      <c r="T47" s="747">
        <f t="shared" si="43"/>
        <v>0</v>
      </c>
      <c r="U47" s="758">
        <f t="shared" si="34"/>
        <v>0</v>
      </c>
      <c r="V47" s="765">
        <v>809781.47955487901</v>
      </c>
      <c r="W47" s="766">
        <v>905485.27878454118</v>
      </c>
      <c r="X47" s="766">
        <v>913269.92469678773</v>
      </c>
      <c r="Y47" s="766">
        <v>921054.57060903416</v>
      </c>
      <c r="Z47" s="766">
        <v>935029.30465434329</v>
      </c>
      <c r="AA47" s="766">
        <v>949004.03869965253</v>
      </c>
      <c r="AB47" s="766">
        <v>958231.93363923894</v>
      </c>
      <c r="AC47" s="767">
        <v>967459.82857882523</v>
      </c>
      <c r="AD47" s="751">
        <f t="shared" si="9"/>
        <v>0</v>
      </c>
      <c r="AE47" s="765">
        <f t="shared" si="35"/>
        <v>0</v>
      </c>
      <c r="AF47" s="766">
        <f t="shared" si="36"/>
        <v>0</v>
      </c>
      <c r="AG47" s="766">
        <f t="shared" si="37"/>
        <v>0</v>
      </c>
      <c r="AH47" s="766">
        <f t="shared" si="38"/>
        <v>0</v>
      </c>
      <c r="AI47" s="766">
        <f t="shared" si="39"/>
        <v>0</v>
      </c>
      <c r="AJ47" s="766">
        <f t="shared" si="40"/>
        <v>0</v>
      </c>
      <c r="AK47" s="766">
        <f t="shared" si="41"/>
        <v>0</v>
      </c>
      <c r="AL47" s="767">
        <f t="shared" si="42"/>
        <v>0</v>
      </c>
    </row>
    <row r="48" spans="2:38" x14ac:dyDescent="0.25">
      <c r="B48" s="751" t="s">
        <v>836</v>
      </c>
      <c r="D48" s="921">
        <f>D47</f>
        <v>3000000</v>
      </c>
      <c r="E48" s="923"/>
      <c r="R48" s="322" t="str">
        <f t="shared" ref="R48:R55" si="44">R47</f>
        <v>Small Rigid Truck</v>
      </c>
      <c r="S48" s="255" t="s">
        <v>828</v>
      </c>
      <c r="T48" s="747">
        <f t="shared" si="43"/>
        <v>0</v>
      </c>
      <c r="U48" s="758">
        <f t="shared" si="34"/>
        <v>0</v>
      </c>
      <c r="V48" s="765">
        <v>822054.4421285463</v>
      </c>
      <c r="W48" s="766">
        <v>867855.65580572386</v>
      </c>
      <c r="X48" s="766">
        <v>883566.63350437384</v>
      </c>
      <c r="Y48" s="766">
        <v>899277.61120302393</v>
      </c>
      <c r="Z48" s="766">
        <v>919122.33011158789</v>
      </c>
      <c r="AA48" s="766">
        <v>938967.04902015161</v>
      </c>
      <c r="AB48" s="766">
        <v>949220.9609977334</v>
      </c>
      <c r="AC48" s="767">
        <v>959474.87297531543</v>
      </c>
      <c r="AD48" s="751">
        <f t="shared" si="9"/>
        <v>0</v>
      </c>
      <c r="AE48" s="765">
        <f t="shared" si="35"/>
        <v>0</v>
      </c>
      <c r="AF48" s="766">
        <f t="shared" si="36"/>
        <v>0</v>
      </c>
      <c r="AG48" s="766">
        <f t="shared" si="37"/>
        <v>0</v>
      </c>
      <c r="AH48" s="766">
        <f t="shared" si="38"/>
        <v>0</v>
      </c>
      <c r="AI48" s="766">
        <f t="shared" si="39"/>
        <v>0</v>
      </c>
      <c r="AJ48" s="766">
        <f t="shared" si="40"/>
        <v>0</v>
      </c>
      <c r="AK48" s="766">
        <f t="shared" si="41"/>
        <v>0</v>
      </c>
      <c r="AL48" s="767">
        <f t="shared" si="42"/>
        <v>0</v>
      </c>
    </row>
    <row r="49" spans="2:38" x14ac:dyDescent="0.25">
      <c r="R49" s="322" t="str">
        <f t="shared" si="44"/>
        <v>Small Rigid Truck</v>
      </c>
      <c r="S49" s="255" t="s">
        <v>689</v>
      </c>
      <c r="T49" s="747">
        <f t="shared" si="43"/>
        <v>900000</v>
      </c>
      <c r="U49" s="758">
        <f t="shared" si="34"/>
        <v>805460.06875049963</v>
      </c>
      <c r="V49" s="765">
        <v>843813.12099593447</v>
      </c>
      <c r="W49" s="766">
        <v>885377.7159720764</v>
      </c>
      <c r="X49" s="766">
        <v>887934.07694784389</v>
      </c>
      <c r="Y49" s="766">
        <v>890490.43792361103</v>
      </c>
      <c r="Z49" s="766">
        <v>897019.22104842484</v>
      </c>
      <c r="AA49" s="766">
        <v>903548.00417323865</v>
      </c>
      <c r="AB49" s="766">
        <v>910472.04174300213</v>
      </c>
      <c r="AC49" s="767">
        <v>917396.07931276597</v>
      </c>
      <c r="AD49" s="751">
        <f t="shared" si="9"/>
        <v>0.90973609818738954</v>
      </c>
      <c r="AE49" s="765">
        <f t="shared" si="35"/>
        <v>767647.25629416504</v>
      </c>
      <c r="AF49" s="766">
        <f t="shared" si="36"/>
        <v>805460.06875049963</v>
      </c>
      <c r="AG49" s="766">
        <f t="shared" si="37"/>
        <v>807785.68261015275</v>
      </c>
      <c r="AH49" s="766">
        <f t="shared" si="38"/>
        <v>810111.29646980576</v>
      </c>
      <c r="AI49" s="766">
        <f t="shared" si="39"/>
        <v>816050.76615568553</v>
      </c>
      <c r="AJ49" s="766">
        <f t="shared" si="40"/>
        <v>821990.2358415653</v>
      </c>
      <c r="AK49" s="766">
        <f t="shared" si="41"/>
        <v>828289.28276398487</v>
      </c>
      <c r="AL49" s="767">
        <f t="shared" si="42"/>
        <v>834588.32968640467</v>
      </c>
    </row>
    <row r="50" spans="2:38" x14ac:dyDescent="0.25">
      <c r="B50" s="751" t="s">
        <v>524</v>
      </c>
      <c r="D50" s="750">
        <f>D29*1.1</f>
        <v>495000.00000000006</v>
      </c>
      <c r="E50" s="751" t="s">
        <v>1296</v>
      </c>
      <c r="R50" s="322" t="str">
        <f t="shared" si="44"/>
        <v>Small Rigid Truck</v>
      </c>
      <c r="S50" s="255" t="s">
        <v>692</v>
      </c>
      <c r="T50" s="747">
        <f t="shared" si="43"/>
        <v>1200000</v>
      </c>
      <c r="U50" s="758">
        <f t="shared" si="34"/>
        <v>1073946.7583339994</v>
      </c>
      <c r="V50" s="765">
        <v>2230718.2521627168</v>
      </c>
      <c r="W50" s="766">
        <v>1464212.0349055484</v>
      </c>
      <c r="X50" s="766">
        <v>1329574.4709027691</v>
      </c>
      <c r="Y50" s="766">
        <v>1194936.9068999893</v>
      </c>
      <c r="Z50" s="766">
        <v>1204521.7652840337</v>
      </c>
      <c r="AA50" s="766">
        <v>1214106.6236680776</v>
      </c>
      <c r="AB50" s="766">
        <v>1217089.6391281676</v>
      </c>
      <c r="AC50" s="767">
        <v>1220072.6545882572</v>
      </c>
      <c r="AD50" s="751">
        <f t="shared" si="9"/>
        <v>0.73346396063687336</v>
      </c>
      <c r="AE50" s="765">
        <f t="shared" si="35"/>
        <v>1636151.4442962299</v>
      </c>
      <c r="AF50" s="766">
        <f t="shared" si="36"/>
        <v>1073946.7583339994</v>
      </c>
      <c r="AG50" s="766">
        <f t="shared" si="37"/>
        <v>975194.95739002037</v>
      </c>
      <c r="AH50" s="766">
        <f t="shared" si="38"/>
        <v>876443.15644604096</v>
      </c>
      <c r="AI50" s="766">
        <f t="shared" si="39"/>
        <v>883473.30463854573</v>
      </c>
      <c r="AJ50" s="766">
        <f t="shared" si="40"/>
        <v>890503.45283105015</v>
      </c>
      <c r="AK50" s="766">
        <f t="shared" si="41"/>
        <v>892691.38716504874</v>
      </c>
      <c r="AL50" s="767">
        <f t="shared" si="42"/>
        <v>894879.3214990471</v>
      </c>
    </row>
    <row r="51" spans="2:38" x14ac:dyDescent="0.25">
      <c r="D51" s="751"/>
      <c r="R51" s="322" t="str">
        <f t="shared" si="44"/>
        <v>Small Rigid Truck</v>
      </c>
      <c r="S51" s="255" t="s">
        <v>699</v>
      </c>
      <c r="T51" s="747">
        <f t="shared" si="43"/>
        <v>4000000</v>
      </c>
      <c r="U51" s="758">
        <f t="shared" si="34"/>
        <v>3579822.5277799983</v>
      </c>
      <c r="V51" s="765">
        <v>4238674.4146435475</v>
      </c>
      <c r="W51" s="766">
        <v>1816072.504069217</v>
      </c>
      <c r="X51" s="766">
        <v>1430827.4184126148</v>
      </c>
      <c r="Y51" s="766">
        <v>1045582.3327560129</v>
      </c>
      <c r="Z51" s="766">
        <v>997862.38106442767</v>
      </c>
      <c r="AA51" s="766">
        <v>950142.42937284242</v>
      </c>
      <c r="AB51" s="766">
        <v>933225.19539688097</v>
      </c>
      <c r="AC51" s="767">
        <v>916307.9614209194</v>
      </c>
      <c r="AD51" s="751">
        <f t="shared" si="9"/>
        <v>1.9711892117516243</v>
      </c>
      <c r="AE51" s="765">
        <f t="shared" si="35"/>
        <v>8355229.278272992</v>
      </c>
      <c r="AF51" s="766">
        <f t="shared" si="36"/>
        <v>3579822.5277799983</v>
      </c>
      <c r="AG51" s="766">
        <f t="shared" si="37"/>
        <v>2820431.5710533736</v>
      </c>
      <c r="AH51" s="766">
        <f t="shared" si="38"/>
        <v>2061040.6143267497</v>
      </c>
      <c r="AI51" s="766">
        <f t="shared" si="39"/>
        <v>1966975.5603669882</v>
      </c>
      <c r="AJ51" s="766">
        <f t="shared" si="40"/>
        <v>1872910.5064072267</v>
      </c>
      <c r="AK51" s="766">
        <f t="shared" si="41"/>
        <v>1839563.4373011333</v>
      </c>
      <c r="AL51" s="767">
        <f t="shared" si="42"/>
        <v>1806216.3681950399</v>
      </c>
    </row>
    <row r="52" spans="2:38" x14ac:dyDescent="0.25">
      <c r="E52" s="751"/>
      <c r="R52" s="322" t="str">
        <f t="shared" si="44"/>
        <v>Small Rigid Truck</v>
      </c>
      <c r="S52" s="255" t="s">
        <v>827</v>
      </c>
      <c r="T52" s="747">
        <f t="shared" si="43"/>
        <v>772984.21786097449</v>
      </c>
      <c r="U52" s="758">
        <f t="shared" si="34"/>
        <v>691786.57917927962</v>
      </c>
      <c r="V52" s="765">
        <v>1051516.7511577115</v>
      </c>
      <c r="W52" s="766">
        <v>1031864.0418883342</v>
      </c>
      <c r="X52" s="766">
        <v>1035882.9494916156</v>
      </c>
      <c r="Y52" s="766">
        <v>1039901.8570948968</v>
      </c>
      <c r="Z52" s="766">
        <v>1050748.8162426385</v>
      </c>
      <c r="AA52" s="766">
        <v>1061595.7753903801</v>
      </c>
      <c r="AB52" s="766">
        <v>1069132.5628851603</v>
      </c>
      <c r="AC52" s="767">
        <v>1076669.3503799401</v>
      </c>
      <c r="AD52" s="751">
        <f t="shared" si="9"/>
        <v>0.67042415579604342</v>
      </c>
      <c r="AE52" s="765">
        <f t="shared" si="35"/>
        <v>704962.23020030698</v>
      </c>
      <c r="AF52" s="766">
        <f t="shared" si="36"/>
        <v>691786.57917927962</v>
      </c>
      <c r="AG52" s="766">
        <f t="shared" si="37"/>
        <v>694480.95191643189</v>
      </c>
      <c r="AH52" s="766">
        <f t="shared" si="38"/>
        <v>697175.32465358404</v>
      </c>
      <c r="AI52" s="766">
        <f t="shared" si="39"/>
        <v>704447.38808316283</v>
      </c>
      <c r="AJ52" s="766">
        <f t="shared" si="40"/>
        <v>711719.45151274162</v>
      </c>
      <c r="AK52" s="766">
        <f t="shared" si="41"/>
        <v>716772.29590634396</v>
      </c>
      <c r="AL52" s="767">
        <f t="shared" si="42"/>
        <v>721825.14029994584</v>
      </c>
    </row>
    <row r="53" spans="2:38" x14ac:dyDescent="0.25">
      <c r="E53" s="751"/>
      <c r="R53" s="322" t="str">
        <f t="shared" si="44"/>
        <v>Small Rigid Truck</v>
      </c>
      <c r="S53" s="255" t="s">
        <v>700</v>
      </c>
      <c r="T53" s="747">
        <f t="shared" si="43"/>
        <v>741260.98792960495</v>
      </c>
      <c r="U53" s="758">
        <f t="shared" si="34"/>
        <v>663395.69588871428</v>
      </c>
      <c r="V53" s="765">
        <v>1005171.5263628296</v>
      </c>
      <c r="W53" s="766">
        <v>989516.39816888212</v>
      </c>
      <c r="X53" s="766">
        <v>992950.77775874839</v>
      </c>
      <c r="Y53" s="766">
        <v>996385.15734861477</v>
      </c>
      <c r="Z53" s="766">
        <v>1007345.0964593297</v>
      </c>
      <c r="AA53" s="766">
        <v>1018305.0355700447</v>
      </c>
      <c r="AB53" s="766">
        <v>1025944.9247305429</v>
      </c>
      <c r="AC53" s="767">
        <v>1033584.813891041</v>
      </c>
      <c r="AD53" s="751">
        <f t="shared" si="9"/>
        <v>0.67042415579604331</v>
      </c>
      <c r="AE53" s="765">
        <f t="shared" si="35"/>
        <v>673891.27199202031</v>
      </c>
      <c r="AF53" s="766">
        <f t="shared" si="36"/>
        <v>663395.69588871428</v>
      </c>
      <c r="AG53" s="766">
        <f t="shared" si="37"/>
        <v>665698.18692593346</v>
      </c>
      <c r="AH53" s="766">
        <f t="shared" si="38"/>
        <v>668000.67796315288</v>
      </c>
      <c r="AI53" s="766">
        <f t="shared" si="39"/>
        <v>675348.48588902992</v>
      </c>
      <c r="AJ53" s="766">
        <f t="shared" si="40"/>
        <v>682696.29381490708</v>
      </c>
      <c r="AK53" s="766">
        <f t="shared" si="41"/>
        <v>687818.2600557094</v>
      </c>
      <c r="AL53" s="767">
        <f t="shared" si="42"/>
        <v>692940.22629651171</v>
      </c>
    </row>
    <row r="54" spans="2:38" x14ac:dyDescent="0.25">
      <c r="B54" s="751" t="s">
        <v>1290</v>
      </c>
      <c r="R54" s="322" t="str">
        <f t="shared" si="44"/>
        <v>Small Rigid Truck</v>
      </c>
      <c r="S54" s="259"/>
      <c r="U54" s="758">
        <f t="shared" si="34"/>
        <v>0</v>
      </c>
      <c r="V54" s="768"/>
      <c r="W54" s="769"/>
      <c r="X54" s="769"/>
      <c r="Y54" s="769"/>
      <c r="Z54" s="769"/>
      <c r="AA54" s="769"/>
      <c r="AB54" s="769"/>
      <c r="AC54" s="770"/>
      <c r="AD54" s="751" t="e">
        <f t="shared" si="9"/>
        <v>#DIV/0!</v>
      </c>
      <c r="AE54" s="768"/>
      <c r="AF54" s="769"/>
      <c r="AG54" s="769"/>
      <c r="AH54" s="769"/>
      <c r="AI54" s="769"/>
      <c r="AJ54" s="769"/>
      <c r="AK54" s="769"/>
      <c r="AL54" s="770"/>
    </row>
    <row r="55" spans="2:38" x14ac:dyDescent="0.25">
      <c r="B55" s="744" t="s">
        <v>715</v>
      </c>
      <c r="C55" s="744" t="s">
        <v>680</v>
      </c>
      <c r="D55" s="921">
        <v>130000</v>
      </c>
      <c r="E55" s="924"/>
      <c r="R55" s="322" t="str">
        <f t="shared" si="44"/>
        <v>Small Rigid Truck</v>
      </c>
      <c r="S55" s="452" t="s">
        <v>832</v>
      </c>
      <c r="U55" s="758">
        <f t="shared" si="34"/>
        <v>0</v>
      </c>
      <c r="V55" s="775"/>
      <c r="W55" s="776"/>
      <c r="X55" s="776"/>
      <c r="Y55" s="776"/>
      <c r="Z55" s="776"/>
      <c r="AA55" s="776"/>
      <c r="AB55" s="776"/>
      <c r="AC55" s="777"/>
      <c r="AD55" s="751" t="e">
        <f t="shared" si="9"/>
        <v>#DIV/0!</v>
      </c>
      <c r="AE55" s="775"/>
      <c r="AF55" s="776"/>
      <c r="AG55" s="776"/>
      <c r="AH55" s="776"/>
      <c r="AI55" s="776"/>
      <c r="AJ55" s="776"/>
      <c r="AK55" s="776"/>
      <c r="AL55" s="777"/>
    </row>
    <row r="56" spans="2:38" x14ac:dyDescent="0.25">
      <c r="B56" s="744" t="s">
        <v>715</v>
      </c>
      <c r="C56" s="744" t="s">
        <v>688</v>
      </c>
      <c r="D56" s="921">
        <v>150000</v>
      </c>
      <c r="E56" s="924"/>
      <c r="R56" s="322" t="str">
        <f>S56</f>
        <v>Large Rigid Truck</v>
      </c>
      <c r="S56" s="351" t="s">
        <v>735</v>
      </c>
      <c r="U56" s="758">
        <f t="shared" si="34"/>
        <v>0</v>
      </c>
      <c r="V56" s="771">
        <v>2010</v>
      </c>
      <c r="W56" s="759">
        <v>2020</v>
      </c>
      <c r="X56" s="759"/>
      <c r="Y56" s="759">
        <v>2030</v>
      </c>
      <c r="Z56" s="759"/>
      <c r="AA56" s="759">
        <v>2040</v>
      </c>
      <c r="AB56" s="759"/>
      <c r="AC56" s="772">
        <v>2050</v>
      </c>
      <c r="AD56" s="751">
        <f t="shared" si="9"/>
        <v>0</v>
      </c>
      <c r="AE56" s="771">
        <v>2010</v>
      </c>
      <c r="AF56" s="759">
        <v>2020</v>
      </c>
      <c r="AG56" s="759"/>
      <c r="AH56" s="759">
        <v>2030</v>
      </c>
      <c r="AI56" s="759"/>
      <c r="AJ56" s="759">
        <v>2040</v>
      </c>
      <c r="AK56" s="759"/>
      <c r="AL56" s="772">
        <v>2050</v>
      </c>
    </row>
    <row r="57" spans="2:38" x14ac:dyDescent="0.25">
      <c r="B57" s="744" t="s">
        <v>715</v>
      </c>
      <c r="C57" s="744" t="s">
        <v>692</v>
      </c>
      <c r="D57" s="750">
        <v>130000</v>
      </c>
      <c r="E57" s="756"/>
      <c r="R57" s="322" t="str">
        <f t="shared" ref="R57:R67" si="45">R56</f>
        <v>Large Rigid Truck</v>
      </c>
      <c r="S57" s="447" t="s">
        <v>1282</v>
      </c>
      <c r="U57" s="758">
        <f t="shared" si="34"/>
        <v>0</v>
      </c>
      <c r="V57" s="773" t="s">
        <v>1301</v>
      </c>
      <c r="W57" s="761" t="s">
        <v>1301</v>
      </c>
      <c r="X57" s="761"/>
      <c r="Y57" s="761" t="s">
        <v>1301</v>
      </c>
      <c r="Z57" s="761"/>
      <c r="AA57" s="761" t="s">
        <v>1301</v>
      </c>
      <c r="AB57" s="761"/>
      <c r="AC57" s="774" t="s">
        <v>1301</v>
      </c>
      <c r="AD57" s="751" t="e">
        <f t="shared" si="9"/>
        <v>#VALUE!</v>
      </c>
      <c r="AE57" s="773"/>
      <c r="AF57" s="761"/>
      <c r="AG57" s="761"/>
      <c r="AH57" s="761"/>
      <c r="AI57" s="761"/>
      <c r="AJ57" s="761"/>
      <c r="AK57" s="761"/>
      <c r="AL57" s="774"/>
    </row>
    <row r="58" spans="2:38" x14ac:dyDescent="0.25">
      <c r="B58" s="744" t="s">
        <v>715</v>
      </c>
      <c r="C58" s="744" t="s">
        <v>699</v>
      </c>
      <c r="D58" s="921">
        <v>3000000</v>
      </c>
      <c r="E58" s="924"/>
      <c r="R58" s="322" t="str">
        <f t="shared" si="45"/>
        <v>Large Rigid Truck</v>
      </c>
      <c r="S58" s="255" t="s">
        <v>687</v>
      </c>
      <c r="T58" s="747">
        <f>D88</f>
        <v>1000000</v>
      </c>
      <c r="U58" s="758">
        <f t="shared" si="34"/>
        <v>894955.63194499956</v>
      </c>
      <c r="V58" s="765">
        <v>1089930.327527541</v>
      </c>
      <c r="W58" s="766">
        <v>1315389.054772544</v>
      </c>
      <c r="X58" s="766">
        <v>1357929.7395903205</v>
      </c>
      <c r="Y58" s="766">
        <v>1400470.4244080975</v>
      </c>
      <c r="Z58" s="766">
        <v>1427774.4170071429</v>
      </c>
      <c r="AA58" s="766">
        <v>1455078.4096061881</v>
      </c>
      <c r="AB58" s="766">
        <v>1478587.2547298784</v>
      </c>
      <c r="AC58" s="767">
        <v>1502096.0998535685</v>
      </c>
      <c r="AD58" s="751">
        <f t="shared" si="9"/>
        <v>0.68037333038304371</v>
      </c>
      <c r="AE58" s="765">
        <f t="shared" ref="AE58:AE65" si="46">V58*$AD58</f>
        <v>741559.52682539471</v>
      </c>
      <c r="AF58" s="766">
        <f t="shared" ref="AF58:AF65" si="47">W58*$AD58</f>
        <v>894955.63194499956</v>
      </c>
      <c r="AG58" s="766">
        <f t="shared" ref="AG58:AG65" si="48">X58*$AD58</f>
        <v>923899.17935124564</v>
      </c>
      <c r="AH58" s="766">
        <f t="shared" ref="AH58:AH65" si="49">Y58*$AD58</f>
        <v>952842.72675749194</v>
      </c>
      <c r="AI58" s="766">
        <f t="shared" ref="AI58:AI65" si="50">Z58*$AD58</f>
        <v>971419.63513485843</v>
      </c>
      <c r="AJ58" s="766">
        <f t="shared" ref="AJ58:AJ65" si="51">AA58*$AD58</f>
        <v>989996.5435122248</v>
      </c>
      <c r="AK58" s="766">
        <f t="shared" ref="AK58:AK65" si="52">AB58*$AD58</f>
        <v>1005991.3347624892</v>
      </c>
      <c r="AL58" s="767">
        <f t="shared" ref="AL58:AL65" si="53">AC58*$AD58</f>
        <v>1021986.1260127533</v>
      </c>
    </row>
    <row r="59" spans="2:38" x14ac:dyDescent="0.25">
      <c r="R59" s="322" t="str">
        <f t="shared" si="45"/>
        <v>Large Rigid Truck</v>
      </c>
      <c r="S59" s="255" t="s">
        <v>829</v>
      </c>
      <c r="T59" s="747">
        <f t="shared" ref="T59:T65" si="54">D89</f>
        <v>0</v>
      </c>
      <c r="U59" s="758">
        <f t="shared" si="34"/>
        <v>0</v>
      </c>
      <c r="V59" s="765">
        <v>1251184.4931443066</v>
      </c>
      <c r="W59" s="766">
        <v>1438328.6388271647</v>
      </c>
      <c r="X59" s="766">
        <v>1457758.3583193333</v>
      </c>
      <c r="Y59" s="766">
        <v>1477188.0778115019</v>
      </c>
      <c r="Z59" s="766">
        <v>1493178.5248990091</v>
      </c>
      <c r="AA59" s="766">
        <v>1509168.9719865166</v>
      </c>
      <c r="AB59" s="766">
        <v>1525317.1010085675</v>
      </c>
      <c r="AC59" s="767">
        <v>1541465.2300306184</v>
      </c>
      <c r="AD59" s="751">
        <f t="shared" si="9"/>
        <v>0</v>
      </c>
      <c r="AE59" s="765">
        <f t="shared" si="46"/>
        <v>0</v>
      </c>
      <c r="AF59" s="766">
        <f t="shared" si="47"/>
        <v>0</v>
      </c>
      <c r="AG59" s="766">
        <f t="shared" si="48"/>
        <v>0</v>
      </c>
      <c r="AH59" s="766">
        <f t="shared" si="49"/>
        <v>0</v>
      </c>
      <c r="AI59" s="766">
        <f t="shared" si="50"/>
        <v>0</v>
      </c>
      <c r="AJ59" s="766">
        <f t="shared" si="51"/>
        <v>0</v>
      </c>
      <c r="AK59" s="766">
        <f t="shared" si="52"/>
        <v>0</v>
      </c>
      <c r="AL59" s="767">
        <f t="shared" si="53"/>
        <v>0</v>
      </c>
    </row>
    <row r="60" spans="2:38" x14ac:dyDescent="0.25">
      <c r="B60" s="751" t="s">
        <v>1291</v>
      </c>
      <c r="G60" s="757" t="s">
        <v>1332</v>
      </c>
      <c r="R60" s="322" t="str">
        <f t="shared" si="45"/>
        <v>Large Rigid Truck</v>
      </c>
      <c r="S60" s="255" t="s">
        <v>828</v>
      </c>
      <c r="T60" s="747">
        <f t="shared" si="54"/>
        <v>0</v>
      </c>
      <c r="U60" s="758">
        <f t="shared" si="34"/>
        <v>0</v>
      </c>
      <c r="V60" s="765">
        <v>1222376.4895484564</v>
      </c>
      <c r="W60" s="766">
        <v>1372038.5110622062</v>
      </c>
      <c r="X60" s="766">
        <v>1403655.9464542887</v>
      </c>
      <c r="Y60" s="766">
        <v>1435273.3818463711</v>
      </c>
      <c r="Z60" s="766">
        <v>1464654.7994727818</v>
      </c>
      <c r="AA60" s="766">
        <v>1494036.2170991923</v>
      </c>
      <c r="AB60" s="766">
        <v>1512239.1151073836</v>
      </c>
      <c r="AC60" s="767">
        <v>1530442.0131155744</v>
      </c>
      <c r="AD60" s="751">
        <f t="shared" si="9"/>
        <v>0</v>
      </c>
      <c r="AE60" s="765">
        <f t="shared" si="46"/>
        <v>0</v>
      </c>
      <c r="AF60" s="766">
        <f t="shared" si="47"/>
        <v>0</v>
      </c>
      <c r="AG60" s="766">
        <f t="shared" si="48"/>
        <v>0</v>
      </c>
      <c r="AH60" s="766">
        <f t="shared" si="49"/>
        <v>0</v>
      </c>
      <c r="AI60" s="766">
        <f t="shared" si="50"/>
        <v>0</v>
      </c>
      <c r="AJ60" s="766">
        <f t="shared" si="51"/>
        <v>0</v>
      </c>
      <c r="AK60" s="766">
        <f t="shared" si="52"/>
        <v>0</v>
      </c>
      <c r="AL60" s="767">
        <f t="shared" si="53"/>
        <v>0</v>
      </c>
    </row>
    <row r="61" spans="2:38" x14ac:dyDescent="0.25">
      <c r="C61" s="751" t="s">
        <v>680</v>
      </c>
      <c r="D61" s="750">
        <v>425000</v>
      </c>
      <c r="E61" s="751" t="s">
        <v>1292</v>
      </c>
      <c r="R61" s="322" t="str">
        <f t="shared" si="45"/>
        <v>Large Rigid Truck</v>
      </c>
      <c r="S61" s="255" t="s">
        <v>689</v>
      </c>
      <c r="T61" s="747">
        <f t="shared" si="54"/>
        <v>1500000</v>
      </c>
      <c r="U61" s="758">
        <f t="shared" si="34"/>
        <v>1342433.4479174993</v>
      </c>
      <c r="V61" s="765">
        <v>1374599.6336241232</v>
      </c>
      <c r="W61" s="766">
        <v>1464573.7294294063</v>
      </c>
      <c r="X61" s="766">
        <v>1471747.0120627852</v>
      </c>
      <c r="Y61" s="766">
        <v>1478920.2946961639</v>
      </c>
      <c r="Z61" s="766">
        <v>1490612.6270692046</v>
      </c>
      <c r="AA61" s="766">
        <v>1502304.9594422451</v>
      </c>
      <c r="AB61" s="766">
        <v>1512718.513444247</v>
      </c>
      <c r="AC61" s="767">
        <v>1523132.0674462486</v>
      </c>
      <c r="AD61" s="751">
        <f t="shared" si="9"/>
        <v>0.91660352834575798</v>
      </c>
      <c r="AE61" s="765">
        <f t="shared" si="46"/>
        <v>1259962.8742426576</v>
      </c>
      <c r="AF61" s="766">
        <f t="shared" si="47"/>
        <v>1342433.4479174993</v>
      </c>
      <c r="AG61" s="766">
        <f t="shared" si="48"/>
        <v>1349008.5040890758</v>
      </c>
      <c r="AH61" s="766">
        <f t="shared" si="49"/>
        <v>1355583.5602606519</v>
      </c>
      <c r="AI61" s="766">
        <f t="shared" si="50"/>
        <v>1366300.7933683724</v>
      </c>
      <c r="AJ61" s="766">
        <f t="shared" si="51"/>
        <v>1377018.0264760926</v>
      </c>
      <c r="AK61" s="766">
        <f t="shared" si="52"/>
        <v>1386563.1268169468</v>
      </c>
      <c r="AL61" s="767">
        <f t="shared" si="53"/>
        <v>1396108.2271578005</v>
      </c>
    </row>
    <row r="62" spans="2:38" x14ac:dyDescent="0.25">
      <c r="C62" s="751" t="s">
        <v>687</v>
      </c>
      <c r="D62" s="750">
        <v>550000</v>
      </c>
      <c r="E62" s="751" t="s">
        <v>1293</v>
      </c>
      <c r="R62" s="322" t="str">
        <f t="shared" si="45"/>
        <v>Large Rigid Truck</v>
      </c>
      <c r="S62" s="255" t="s">
        <v>692</v>
      </c>
      <c r="T62" s="747">
        <f t="shared" si="54"/>
        <v>2000000</v>
      </c>
      <c r="U62" s="758">
        <f t="shared" si="34"/>
        <v>1789911.2638899991</v>
      </c>
      <c r="V62" s="851">
        <f>$V$98/$W$98*W62</f>
        <v>2347459.1485998328</v>
      </c>
      <c r="W62" s="779">
        <f>U62</f>
        <v>1789911.2638899991</v>
      </c>
      <c r="X62" s="779">
        <f>0.7*W62</f>
        <v>1252937.8847229993</v>
      </c>
      <c r="Y62" s="779">
        <f>(X62-Z62)/2+Z62</f>
        <v>1073946.7583339994</v>
      </c>
      <c r="Z62" s="779">
        <f>0.5*W62</f>
        <v>894955.63194499956</v>
      </c>
      <c r="AA62" s="779">
        <f>2*(Z62-AC62)/3+AC62</f>
        <v>835291.92314866628</v>
      </c>
      <c r="AB62" s="779">
        <f>(Z62-AC62)/3+AC62</f>
        <v>775628.21435233299</v>
      </c>
      <c r="AC62" s="780">
        <f>0.4*W62</f>
        <v>715964.5055559997</v>
      </c>
      <c r="AD62" s="751">
        <v>1</v>
      </c>
      <c r="AE62" s="765">
        <f t="shared" si="46"/>
        <v>2347459.1485998328</v>
      </c>
      <c r="AF62" s="766">
        <f t="shared" si="47"/>
        <v>1789911.2638899991</v>
      </c>
      <c r="AG62" s="766">
        <f t="shared" si="48"/>
        <v>1252937.8847229993</v>
      </c>
      <c r="AH62" s="766">
        <f t="shared" si="49"/>
        <v>1073946.7583339994</v>
      </c>
      <c r="AI62" s="766">
        <f t="shared" si="50"/>
        <v>894955.63194499956</v>
      </c>
      <c r="AJ62" s="766">
        <f t="shared" si="51"/>
        <v>835291.92314866628</v>
      </c>
      <c r="AK62" s="766">
        <f t="shared" si="52"/>
        <v>775628.21435233299</v>
      </c>
      <c r="AL62" s="767">
        <f t="shared" si="53"/>
        <v>715964.5055559997</v>
      </c>
    </row>
    <row r="63" spans="2:38" x14ac:dyDescent="0.25">
      <c r="C63" s="751" t="s">
        <v>688</v>
      </c>
      <c r="D63" s="897">
        <v>550000</v>
      </c>
      <c r="E63" s="757" t="s">
        <v>1294</v>
      </c>
      <c r="R63" s="322" t="str">
        <f t="shared" si="45"/>
        <v>Large Rigid Truck</v>
      </c>
      <c r="S63" s="255" t="s">
        <v>699</v>
      </c>
      <c r="T63" s="747">
        <f t="shared" si="54"/>
        <v>4000000</v>
      </c>
      <c r="U63" s="758">
        <f t="shared" si="34"/>
        <v>3579822.5277799983</v>
      </c>
      <c r="V63" s="765">
        <v>6644860.7955950676</v>
      </c>
      <c r="W63" s="766">
        <v>2881312.2182852593</v>
      </c>
      <c r="X63" s="766">
        <v>2283873.3934198092</v>
      </c>
      <c r="Y63" s="766">
        <v>1686434.5685543588</v>
      </c>
      <c r="Z63" s="766">
        <v>1608198.73521888</v>
      </c>
      <c r="AA63" s="766">
        <v>1529962.9018834007</v>
      </c>
      <c r="AB63" s="766">
        <v>1501349.5276454913</v>
      </c>
      <c r="AC63" s="767">
        <v>1472736.1534075821</v>
      </c>
      <c r="AD63" s="751">
        <f t="shared" si="9"/>
        <v>1.2424278441822039</v>
      </c>
      <c r="AE63" s="765">
        <f t="shared" si="46"/>
        <v>8255760.0731620239</v>
      </c>
      <c r="AF63" s="766">
        <f t="shared" si="47"/>
        <v>3579822.5277799983</v>
      </c>
      <c r="AG63" s="766">
        <f t="shared" si="48"/>
        <v>2837547.8965716679</v>
      </c>
      <c r="AH63" s="766">
        <f t="shared" si="49"/>
        <v>2095273.265363337</v>
      </c>
      <c r="AI63" s="766">
        <f t="shared" si="50"/>
        <v>1998070.8876145401</v>
      </c>
      <c r="AJ63" s="766">
        <f t="shared" si="51"/>
        <v>1900868.5098657422</v>
      </c>
      <c r="AK63" s="766">
        <f t="shared" si="52"/>
        <v>1865318.4569965578</v>
      </c>
      <c r="AL63" s="767">
        <f t="shared" si="53"/>
        <v>1829768.4041273736</v>
      </c>
    </row>
    <row r="64" spans="2:38" x14ac:dyDescent="0.25">
      <c r="C64" s="751" t="s">
        <v>689</v>
      </c>
      <c r="D64" s="921">
        <f>D63*1.5</f>
        <v>825000</v>
      </c>
      <c r="E64" s="923" t="s">
        <v>1295</v>
      </c>
      <c r="F64" s="924"/>
      <c r="R64" s="322" t="str">
        <f t="shared" si="45"/>
        <v>Large Rigid Truck</v>
      </c>
      <c r="S64" s="255" t="s">
        <v>827</v>
      </c>
      <c r="T64" s="747">
        <f t="shared" si="54"/>
        <v>4000000</v>
      </c>
      <c r="U64" s="758">
        <f t="shared" si="34"/>
        <v>3579822.5277799983</v>
      </c>
      <c r="V64" s="765">
        <v>1562141.1336075412</v>
      </c>
      <c r="W64" s="766">
        <v>1591595.5728002738</v>
      </c>
      <c r="X64" s="766">
        <v>1602100.4306893663</v>
      </c>
      <c r="Y64" s="766">
        <v>1612605.2885784588</v>
      </c>
      <c r="Z64" s="766">
        <v>1624721.9307912919</v>
      </c>
      <c r="AA64" s="766">
        <v>1636838.5730041252</v>
      </c>
      <c r="AB64" s="766">
        <v>1650435.1852328968</v>
      </c>
      <c r="AC64" s="767">
        <v>1664031.7974616685</v>
      </c>
      <c r="AD64" s="751">
        <f t="shared" si="9"/>
        <v>2.2492036224262755</v>
      </c>
      <c r="AE64" s="765">
        <f t="shared" si="46"/>
        <v>3513573.4964511702</v>
      </c>
      <c r="AF64" s="766">
        <f t="shared" si="47"/>
        <v>3579822.5277799987</v>
      </c>
      <c r="AG64" s="766">
        <f t="shared" si="48"/>
        <v>3603450.0921972189</v>
      </c>
      <c r="AH64" s="766">
        <f t="shared" si="49"/>
        <v>3627077.6566144391</v>
      </c>
      <c r="AI64" s="766">
        <f t="shared" si="50"/>
        <v>3654330.452171186</v>
      </c>
      <c r="AJ64" s="766">
        <f t="shared" si="51"/>
        <v>3681583.2477279338</v>
      </c>
      <c r="AK64" s="766">
        <f t="shared" si="52"/>
        <v>3712164.7972056125</v>
      </c>
      <c r="AL64" s="767">
        <f t="shared" si="53"/>
        <v>3742746.3466832913</v>
      </c>
    </row>
    <row r="65" spans="2:38" x14ac:dyDescent="0.25">
      <c r="C65" s="751" t="s">
        <v>691</v>
      </c>
      <c r="D65" s="921">
        <f>D63*1.33</f>
        <v>731500</v>
      </c>
      <c r="E65" s="923" t="s">
        <v>1287</v>
      </c>
      <c r="F65" s="924"/>
      <c r="R65" s="322" t="str">
        <f t="shared" si="45"/>
        <v>Large Rigid Truck</v>
      </c>
      <c r="S65" s="255" t="s">
        <v>700</v>
      </c>
      <c r="T65" s="747">
        <f t="shared" si="54"/>
        <v>4000000</v>
      </c>
      <c r="U65" s="758">
        <f t="shared" si="34"/>
        <v>3579822.5277799983</v>
      </c>
      <c r="V65" s="765">
        <v>1486783.2282106197</v>
      </c>
      <c r="W65" s="766">
        <v>1519091.0625229813</v>
      </c>
      <c r="X65" s="766">
        <v>1527837.0652034522</v>
      </c>
      <c r="Y65" s="766">
        <v>1536583.0678839239</v>
      </c>
      <c r="Z65" s="766">
        <v>1548848.7797205006</v>
      </c>
      <c r="AA65" s="766">
        <v>1561114.491557077</v>
      </c>
      <c r="AB65" s="766">
        <v>1574767.0644580827</v>
      </c>
      <c r="AC65" s="767">
        <v>1588419.6373590883</v>
      </c>
      <c r="AD65" s="751">
        <f t="shared" si="9"/>
        <v>2.356555585176344</v>
      </c>
      <c r="AE65" s="765">
        <f t="shared" si="46"/>
        <v>3503687.3203862505</v>
      </c>
      <c r="AF65" s="766">
        <f t="shared" si="47"/>
        <v>3579822.5277799983</v>
      </c>
      <c r="AG65" s="766">
        <f t="shared" si="48"/>
        <v>3600432.9692446296</v>
      </c>
      <c r="AH65" s="766">
        <f t="shared" si="49"/>
        <v>3621043.4107092624</v>
      </c>
      <c r="AI65" s="766">
        <f t="shared" si="50"/>
        <v>3649948.2424439108</v>
      </c>
      <c r="AJ65" s="766">
        <f t="shared" si="51"/>
        <v>3678853.0741785583</v>
      </c>
      <c r="AK65" s="766">
        <f t="shared" si="52"/>
        <v>3711026.1211004504</v>
      </c>
      <c r="AL65" s="767">
        <f t="shared" si="53"/>
        <v>3743199.1680223425</v>
      </c>
    </row>
    <row r="66" spans="2:38" x14ac:dyDescent="0.25">
      <c r="C66" s="751" t="s">
        <v>695</v>
      </c>
      <c r="D66" s="921">
        <f t="shared" ref="D66:D68" si="55">D64*1.33</f>
        <v>1097250</v>
      </c>
      <c r="E66" s="923" t="s">
        <v>1287</v>
      </c>
      <c r="F66" s="924"/>
      <c r="R66" s="322" t="str">
        <f t="shared" si="45"/>
        <v>Large Rigid Truck</v>
      </c>
      <c r="S66" s="322"/>
      <c r="U66" s="758">
        <f t="shared" si="34"/>
        <v>0</v>
      </c>
      <c r="V66" s="773"/>
      <c r="W66" s="761"/>
      <c r="X66" s="761"/>
      <c r="Y66" s="761"/>
      <c r="Z66" s="761"/>
      <c r="AA66" s="761"/>
      <c r="AB66" s="761"/>
      <c r="AC66" s="774"/>
      <c r="AD66" s="751" t="e">
        <f t="shared" si="9"/>
        <v>#DIV/0!</v>
      </c>
      <c r="AE66" s="773"/>
      <c r="AF66" s="761"/>
      <c r="AG66" s="761"/>
      <c r="AH66" s="761"/>
      <c r="AI66" s="761"/>
      <c r="AJ66" s="761"/>
      <c r="AK66" s="761"/>
      <c r="AL66" s="774"/>
    </row>
    <row r="67" spans="2:38" x14ac:dyDescent="0.25">
      <c r="C67" s="751" t="s">
        <v>839</v>
      </c>
      <c r="D67" s="921">
        <f t="shared" si="55"/>
        <v>972895</v>
      </c>
      <c r="E67" s="923" t="s">
        <v>1297</v>
      </c>
      <c r="F67" s="924"/>
      <c r="R67" s="322" t="str">
        <f t="shared" si="45"/>
        <v>Large Rigid Truck</v>
      </c>
      <c r="S67" s="438" t="s">
        <v>832</v>
      </c>
      <c r="U67" s="758">
        <f t="shared" ref="U67:U98" si="56">$D$24/$D$23*T67</f>
        <v>0</v>
      </c>
      <c r="V67" s="773"/>
      <c r="W67" s="761"/>
      <c r="X67" s="761"/>
      <c r="Y67" s="761"/>
      <c r="Z67" s="761"/>
      <c r="AA67" s="761"/>
      <c r="AB67" s="761"/>
      <c r="AC67" s="774"/>
      <c r="AD67" s="751" t="e">
        <f t="shared" ref="AD67:AD101" si="57">U67/W67</f>
        <v>#DIV/0!</v>
      </c>
      <c r="AE67" s="773"/>
      <c r="AF67" s="761"/>
      <c r="AG67" s="761"/>
      <c r="AH67" s="761"/>
      <c r="AI67" s="761"/>
      <c r="AJ67" s="761"/>
      <c r="AK67" s="761"/>
      <c r="AL67" s="774"/>
    </row>
    <row r="68" spans="2:38" x14ac:dyDescent="0.25">
      <c r="C68" s="751" t="s">
        <v>838</v>
      </c>
      <c r="D68" s="921">
        <f t="shared" si="55"/>
        <v>1459342.5</v>
      </c>
      <c r="E68" s="923" t="s">
        <v>1297</v>
      </c>
      <c r="F68" s="924"/>
      <c r="R68" s="322" t="str">
        <f>S68</f>
        <v>Articulated Truck</v>
      </c>
      <c r="S68" s="436" t="s">
        <v>747</v>
      </c>
      <c r="U68" s="758">
        <f t="shared" si="56"/>
        <v>0</v>
      </c>
      <c r="V68" s="771">
        <v>2010</v>
      </c>
      <c r="W68" s="759">
        <v>2020</v>
      </c>
      <c r="X68" s="759"/>
      <c r="Y68" s="759">
        <v>2030</v>
      </c>
      <c r="Z68" s="759"/>
      <c r="AA68" s="759">
        <v>2040</v>
      </c>
      <c r="AB68" s="759"/>
      <c r="AC68" s="772">
        <v>2050</v>
      </c>
      <c r="AD68" s="751">
        <f t="shared" si="57"/>
        <v>0</v>
      </c>
      <c r="AE68" s="771">
        <v>2010</v>
      </c>
      <c r="AF68" s="759">
        <v>2020</v>
      </c>
      <c r="AG68" s="759"/>
      <c r="AH68" s="759">
        <v>2030</v>
      </c>
      <c r="AI68" s="759"/>
      <c r="AJ68" s="759">
        <v>2040</v>
      </c>
      <c r="AK68" s="759"/>
      <c r="AL68" s="772">
        <v>2050</v>
      </c>
    </row>
    <row r="69" spans="2:38" x14ac:dyDescent="0.25">
      <c r="C69" s="751" t="s">
        <v>692</v>
      </c>
      <c r="D69" s="897">
        <v>950000</v>
      </c>
      <c r="E69" s="757" t="s">
        <v>1331</v>
      </c>
      <c r="R69" s="322" t="str">
        <f t="shared" ref="R69:R79" si="58">R68</f>
        <v>Articulated Truck</v>
      </c>
      <c r="S69" s="447" t="s">
        <v>1282</v>
      </c>
      <c r="U69" s="758">
        <f t="shared" si="56"/>
        <v>0</v>
      </c>
      <c r="V69" s="773" t="s">
        <v>1301</v>
      </c>
      <c r="W69" s="761" t="s">
        <v>1301</v>
      </c>
      <c r="X69" s="761"/>
      <c r="Y69" s="761" t="s">
        <v>1301</v>
      </c>
      <c r="Z69" s="761"/>
      <c r="AA69" s="761" t="s">
        <v>1301</v>
      </c>
      <c r="AB69" s="761"/>
      <c r="AC69" s="774" t="s">
        <v>1301</v>
      </c>
      <c r="AD69" s="751" t="e">
        <f t="shared" si="57"/>
        <v>#VALUE!</v>
      </c>
      <c r="AE69" s="773"/>
      <c r="AF69" s="761"/>
      <c r="AG69" s="761"/>
      <c r="AH69" s="761"/>
      <c r="AI69" s="761"/>
      <c r="AJ69" s="761"/>
      <c r="AK69" s="761"/>
      <c r="AL69" s="774"/>
    </row>
    <row r="70" spans="2:38" x14ac:dyDescent="0.25">
      <c r="C70" s="751" t="s">
        <v>699</v>
      </c>
      <c r="D70" s="921">
        <v>4000000</v>
      </c>
      <c r="E70" s="923"/>
      <c r="F70" s="924"/>
      <c r="R70" s="322" t="str">
        <f t="shared" si="58"/>
        <v>Articulated Truck</v>
      </c>
      <c r="S70" s="410" t="s">
        <v>687</v>
      </c>
      <c r="T70" s="747">
        <f>D100</f>
        <v>1300000</v>
      </c>
      <c r="U70" s="758">
        <f t="shared" si="56"/>
        <v>1163442.3215284995</v>
      </c>
      <c r="V70" s="765">
        <v>1394803.006015125</v>
      </c>
      <c r="W70" s="766">
        <v>1729683.6457722846</v>
      </c>
      <c r="X70" s="766">
        <v>1774391.33913615</v>
      </c>
      <c r="Y70" s="766">
        <v>1819099.0325000153</v>
      </c>
      <c r="Z70" s="766">
        <v>1853992.6191889104</v>
      </c>
      <c r="AA70" s="766">
        <v>1888886.2058778054</v>
      </c>
      <c r="AB70" s="766">
        <v>1910564.3362565318</v>
      </c>
      <c r="AC70" s="767">
        <v>1932242.4666352579</v>
      </c>
      <c r="AD70" s="751">
        <f t="shared" si="57"/>
        <v>0.67263301261603559</v>
      </c>
      <c r="AE70" s="765">
        <f t="shared" ref="AE70:AE77" si="59">V70*$AD70</f>
        <v>938190.54794185585</v>
      </c>
      <c r="AF70" s="766">
        <f t="shared" ref="AF70:AF77" si="60">W70*$AD70</f>
        <v>1163442.3215284995</v>
      </c>
      <c r="AG70" s="766">
        <f t="shared" ref="AG70:AG77" si="61">X70*$AD70</f>
        <v>1193514.1920029502</v>
      </c>
      <c r="AH70" s="766">
        <f t="shared" ref="AH70:AH77" si="62">Y70*$AD70</f>
        <v>1223586.062477401</v>
      </c>
      <c r="AI70" s="766">
        <f t="shared" ref="AI70:AI77" si="63">Z70*$AD70</f>
        <v>1247056.6408129311</v>
      </c>
      <c r="AJ70" s="766">
        <f t="shared" ref="AJ70:AJ77" si="64">AA70*$AD70</f>
        <v>1270527.2191484615</v>
      </c>
      <c r="AK70" s="766">
        <f t="shared" ref="AK70:AK77" si="65">AB70*$AD70</f>
        <v>1285108.6452929873</v>
      </c>
      <c r="AL70" s="767">
        <f t="shared" ref="AL70:AL77" si="66">AC70*$AD70</f>
        <v>1299690.0714375132</v>
      </c>
    </row>
    <row r="71" spans="2:38" x14ac:dyDescent="0.25">
      <c r="C71" s="751" t="s">
        <v>837</v>
      </c>
      <c r="D71" s="921">
        <f>D70*1.1</f>
        <v>4400000</v>
      </c>
      <c r="E71" s="923"/>
      <c r="F71" s="924"/>
      <c r="R71" s="322" t="str">
        <f t="shared" si="58"/>
        <v>Articulated Truck</v>
      </c>
      <c r="S71" s="410" t="s">
        <v>829</v>
      </c>
      <c r="T71" s="747">
        <f t="shared" ref="T71:T101" si="67">D101</f>
        <v>0</v>
      </c>
      <c r="U71" s="758">
        <f t="shared" si="56"/>
        <v>0</v>
      </c>
      <c r="V71" s="765">
        <v>1623656.3943534463</v>
      </c>
      <c r="W71" s="766">
        <v>1881307.4022600672</v>
      </c>
      <c r="X71" s="766">
        <v>1896865.6479296605</v>
      </c>
      <c r="Y71" s="766">
        <v>1912423.8935992543</v>
      </c>
      <c r="Z71" s="766">
        <v>1933172.1213173277</v>
      </c>
      <c r="AA71" s="766">
        <v>1953920.3490354014</v>
      </c>
      <c r="AB71" s="766">
        <v>1966451.5529619923</v>
      </c>
      <c r="AC71" s="767">
        <v>1978982.7568885833</v>
      </c>
      <c r="AD71" s="751">
        <f t="shared" si="57"/>
        <v>0</v>
      </c>
      <c r="AE71" s="765">
        <f t="shared" si="59"/>
        <v>0</v>
      </c>
      <c r="AF71" s="766">
        <f t="shared" si="60"/>
        <v>0</v>
      </c>
      <c r="AG71" s="766">
        <f t="shared" si="61"/>
        <v>0</v>
      </c>
      <c r="AH71" s="766">
        <f t="shared" si="62"/>
        <v>0</v>
      </c>
      <c r="AI71" s="766">
        <f t="shared" si="63"/>
        <v>0</v>
      </c>
      <c r="AJ71" s="766">
        <f t="shared" si="64"/>
        <v>0</v>
      </c>
      <c r="AK71" s="766">
        <f t="shared" si="65"/>
        <v>0</v>
      </c>
      <c r="AL71" s="767">
        <f t="shared" si="66"/>
        <v>0</v>
      </c>
    </row>
    <row r="72" spans="2:38" x14ac:dyDescent="0.25">
      <c r="C72" s="751" t="s">
        <v>836</v>
      </c>
      <c r="D72" s="921">
        <f>D71</f>
        <v>4400000</v>
      </c>
      <c r="E72" s="923"/>
      <c r="F72" s="924"/>
      <c r="R72" s="322" t="str">
        <f t="shared" si="58"/>
        <v>Articulated Truck</v>
      </c>
      <c r="S72" s="410" t="s">
        <v>828</v>
      </c>
      <c r="T72" s="747">
        <f t="shared" si="67"/>
        <v>0</v>
      </c>
      <c r="U72" s="758">
        <f t="shared" si="56"/>
        <v>0</v>
      </c>
      <c r="V72" s="765">
        <v>1644345.102691914</v>
      </c>
      <c r="W72" s="766">
        <v>1830898.431238617</v>
      </c>
      <c r="X72" s="766">
        <v>1857526.1820196833</v>
      </c>
      <c r="Y72" s="766">
        <v>1884153.93280075</v>
      </c>
      <c r="Z72" s="766">
        <v>1913327.2564421173</v>
      </c>
      <c r="AA72" s="766">
        <v>1942500.5800834852</v>
      </c>
      <c r="AB72" s="766">
        <v>1956760.1309602302</v>
      </c>
      <c r="AC72" s="767">
        <v>1971019.681836975</v>
      </c>
      <c r="AD72" s="751">
        <f t="shared" si="57"/>
        <v>0</v>
      </c>
      <c r="AE72" s="765">
        <f t="shared" si="59"/>
        <v>0</v>
      </c>
      <c r="AF72" s="766">
        <f t="shared" si="60"/>
        <v>0</v>
      </c>
      <c r="AG72" s="766">
        <f t="shared" si="61"/>
        <v>0</v>
      </c>
      <c r="AH72" s="766">
        <f t="shared" si="62"/>
        <v>0</v>
      </c>
      <c r="AI72" s="766">
        <f t="shared" si="63"/>
        <v>0</v>
      </c>
      <c r="AJ72" s="766">
        <f t="shared" si="64"/>
        <v>0</v>
      </c>
      <c r="AK72" s="766">
        <f t="shared" si="65"/>
        <v>0</v>
      </c>
      <c r="AL72" s="767">
        <f t="shared" si="66"/>
        <v>0</v>
      </c>
    </row>
    <row r="73" spans="2:38" x14ac:dyDescent="0.25">
      <c r="C73" s="751" t="s">
        <v>524</v>
      </c>
      <c r="D73" s="921">
        <f>1.1*D62</f>
        <v>605000</v>
      </c>
      <c r="E73" s="923"/>
      <c r="F73" s="924"/>
      <c r="R73" s="322" t="str">
        <f t="shared" si="58"/>
        <v>Articulated Truck</v>
      </c>
      <c r="S73" s="410" t="s">
        <v>689</v>
      </c>
      <c r="T73" s="747">
        <f t="shared" si="67"/>
        <v>1900000</v>
      </c>
      <c r="U73" s="758">
        <f t="shared" si="56"/>
        <v>1700415.7006954993</v>
      </c>
      <c r="V73" s="765">
        <v>1783475.1840649548</v>
      </c>
      <c r="W73" s="766">
        <v>1896564.6673059126</v>
      </c>
      <c r="X73" s="766">
        <v>1902507.9210785097</v>
      </c>
      <c r="Y73" s="766">
        <v>1908451.1748511069</v>
      </c>
      <c r="Z73" s="766">
        <v>1922319.7681714082</v>
      </c>
      <c r="AA73" s="766">
        <v>1936188.3614917099</v>
      </c>
      <c r="AB73" s="766">
        <v>1947352.6226984155</v>
      </c>
      <c r="AC73" s="767">
        <v>1958516.8839051214</v>
      </c>
      <c r="AD73" s="751">
        <f t="shared" si="57"/>
        <v>0.8965767052440955</v>
      </c>
      <c r="AE73" s="765">
        <f t="shared" si="59"/>
        <v>1599022.3044135638</v>
      </c>
      <c r="AF73" s="766">
        <f t="shared" si="60"/>
        <v>1700415.7006954993</v>
      </c>
      <c r="AG73" s="766">
        <f t="shared" si="61"/>
        <v>1705744.2835813637</v>
      </c>
      <c r="AH73" s="766">
        <f t="shared" si="62"/>
        <v>1711072.8664672286</v>
      </c>
      <c r="AI73" s="766">
        <f t="shared" si="63"/>
        <v>1723507.1241727145</v>
      </c>
      <c r="AJ73" s="766">
        <f t="shared" si="64"/>
        <v>1735941.3818782012</v>
      </c>
      <c r="AK73" s="766">
        <f t="shared" si="65"/>
        <v>1745950.9984073937</v>
      </c>
      <c r="AL73" s="767">
        <f t="shared" si="66"/>
        <v>1755960.6149365865</v>
      </c>
    </row>
    <row r="74" spans="2:38" x14ac:dyDescent="0.25">
      <c r="R74" s="322" t="str">
        <f t="shared" si="58"/>
        <v>Articulated Truck</v>
      </c>
      <c r="S74" s="410" t="s">
        <v>692</v>
      </c>
      <c r="T74" s="747">
        <f t="shared" si="67"/>
        <v>3000000</v>
      </c>
      <c r="U74" s="758">
        <f t="shared" si="56"/>
        <v>2684866.8958349987</v>
      </c>
      <c r="V74" s="851">
        <f>$V$98/$W$98*W74</f>
        <v>3521188.7228997489</v>
      </c>
      <c r="W74" s="779">
        <f>U74</f>
        <v>2684866.8958349987</v>
      </c>
      <c r="X74" s="779">
        <f>0.7*W74</f>
        <v>1879406.8270844989</v>
      </c>
      <c r="Y74" s="779">
        <f>(X74-Z74)/2+Z74</f>
        <v>1610920.137500999</v>
      </c>
      <c r="Z74" s="779">
        <f>0.5*W74</f>
        <v>1342433.4479174993</v>
      </c>
      <c r="AA74" s="779">
        <f>2*(Z74-AC74)/3+AC74</f>
        <v>1252937.8847229993</v>
      </c>
      <c r="AB74" s="779">
        <f>(Z74-AC74)/3+AC74</f>
        <v>1163442.3215284995</v>
      </c>
      <c r="AC74" s="780">
        <f>0.4*W74</f>
        <v>1073946.7583339994</v>
      </c>
      <c r="AD74" s="751">
        <v>1</v>
      </c>
      <c r="AE74" s="765">
        <f t="shared" si="59"/>
        <v>3521188.7228997489</v>
      </c>
      <c r="AF74" s="766">
        <f t="shared" si="60"/>
        <v>2684866.8958349987</v>
      </c>
      <c r="AG74" s="766">
        <f t="shared" si="61"/>
        <v>1879406.8270844989</v>
      </c>
      <c r="AH74" s="766">
        <f t="shared" si="62"/>
        <v>1610920.137500999</v>
      </c>
      <c r="AI74" s="766">
        <f t="shared" si="63"/>
        <v>1342433.4479174993</v>
      </c>
      <c r="AJ74" s="766">
        <f t="shared" si="64"/>
        <v>1252937.8847229993</v>
      </c>
      <c r="AK74" s="766">
        <f t="shared" si="65"/>
        <v>1163442.3215284995</v>
      </c>
      <c r="AL74" s="767">
        <f t="shared" si="66"/>
        <v>1073946.7583339994</v>
      </c>
    </row>
    <row r="75" spans="2:38" x14ac:dyDescent="0.25">
      <c r="G75" s="751" t="s">
        <v>1302</v>
      </c>
      <c r="R75" s="322" t="str">
        <f t="shared" si="58"/>
        <v>Articulated Truck</v>
      </c>
      <c r="S75" s="410" t="s">
        <v>699</v>
      </c>
      <c r="T75" s="747">
        <f t="shared" si="67"/>
        <v>4000000</v>
      </c>
      <c r="U75" s="758">
        <f t="shared" si="56"/>
        <v>3579822.5277799983</v>
      </c>
      <c r="V75" s="765">
        <v>9333066.2203088477</v>
      </c>
      <c r="W75" s="766">
        <v>3916456.1540345564</v>
      </c>
      <c r="X75" s="766">
        <v>3067405.1292542205</v>
      </c>
      <c r="Y75" s="766">
        <v>2218354.1044738842</v>
      </c>
      <c r="Z75" s="766">
        <v>2106680.0881784153</v>
      </c>
      <c r="AA75" s="766">
        <v>1995006.0718829464</v>
      </c>
      <c r="AB75" s="766">
        <v>1956907.2936069358</v>
      </c>
      <c r="AC75" s="767">
        <v>1918808.5153309256</v>
      </c>
      <c r="AD75" s="751">
        <f t="shared" si="57"/>
        <v>0.91404636921371551</v>
      </c>
      <c r="AE75" s="765">
        <f t="shared" si="59"/>
        <v>8530855.2923044767</v>
      </c>
      <c r="AF75" s="766">
        <f t="shared" si="60"/>
        <v>3579822.5277799983</v>
      </c>
      <c r="AG75" s="766">
        <f t="shared" si="61"/>
        <v>2803750.521302348</v>
      </c>
      <c r="AH75" s="766">
        <f t="shared" si="62"/>
        <v>2027678.5148246973</v>
      </c>
      <c r="AI75" s="766">
        <f t="shared" si="63"/>
        <v>1925603.2856943107</v>
      </c>
      <c r="AJ75" s="766">
        <f t="shared" si="64"/>
        <v>1823528.0565639238</v>
      </c>
      <c r="AK75" s="766">
        <f t="shared" si="65"/>
        <v>1788704.006609258</v>
      </c>
      <c r="AL75" s="767">
        <f t="shared" si="66"/>
        <v>1753879.9566545924</v>
      </c>
    </row>
    <row r="76" spans="2:38" x14ac:dyDescent="0.25">
      <c r="B76" s="751" t="s">
        <v>1298</v>
      </c>
      <c r="G76" s="744" t="s">
        <v>1301</v>
      </c>
      <c r="R76" s="322" t="str">
        <f t="shared" si="58"/>
        <v>Articulated Truck</v>
      </c>
      <c r="S76" s="410" t="s">
        <v>827</v>
      </c>
      <c r="T76" s="747">
        <f t="shared" si="67"/>
        <v>4000000</v>
      </c>
      <c r="U76" s="758">
        <f t="shared" si="56"/>
        <v>3579822.5277799983</v>
      </c>
      <c r="V76" s="765">
        <v>2046079.6933285356</v>
      </c>
      <c r="W76" s="766">
        <v>2108333.6144666532</v>
      </c>
      <c r="X76" s="766">
        <v>2105849.3538714363</v>
      </c>
      <c r="Y76" s="766">
        <v>2103365.0932762185</v>
      </c>
      <c r="Z76" s="766">
        <v>2118312.1801417214</v>
      </c>
      <c r="AA76" s="766">
        <v>2133259.2670072243</v>
      </c>
      <c r="AB76" s="766">
        <v>2142083.1737169772</v>
      </c>
      <c r="AC76" s="767">
        <v>2150907.0804267302</v>
      </c>
      <c r="AD76" s="751">
        <f t="shared" si="57"/>
        <v>1.6979393124581892</v>
      </c>
      <c r="AE76" s="765">
        <f t="shared" si="59"/>
        <v>3474119.1477249162</v>
      </c>
      <c r="AF76" s="766">
        <f t="shared" si="60"/>
        <v>3579822.5277799983</v>
      </c>
      <c r="AG76" s="766">
        <f t="shared" si="61"/>
        <v>3575604.4040529886</v>
      </c>
      <c r="AH76" s="766">
        <f t="shared" si="62"/>
        <v>3571386.2803259776</v>
      </c>
      <c r="AI76" s="766">
        <f t="shared" si="63"/>
        <v>3596765.5267216424</v>
      </c>
      <c r="AJ76" s="766">
        <f t="shared" si="64"/>
        <v>3622144.7731173071</v>
      </c>
      <c r="AK76" s="766">
        <f t="shared" si="65"/>
        <v>3637127.2312092599</v>
      </c>
      <c r="AL76" s="767">
        <f t="shared" si="66"/>
        <v>3652109.6893012132</v>
      </c>
    </row>
    <row r="77" spans="2:38" x14ac:dyDescent="0.25">
      <c r="B77" s="744" t="s">
        <v>725</v>
      </c>
      <c r="C77" s="744" t="s">
        <v>687</v>
      </c>
      <c r="D77" s="750">
        <v>600000</v>
      </c>
      <c r="E77" s="751" t="s">
        <v>1299</v>
      </c>
      <c r="G77" s="744">
        <v>800945.7513197927</v>
      </c>
      <c r="R77" s="322" t="str">
        <f t="shared" si="58"/>
        <v>Articulated Truck</v>
      </c>
      <c r="S77" s="410" t="s">
        <v>700</v>
      </c>
      <c r="T77" s="747">
        <f t="shared" si="67"/>
        <v>5281989.1903442871</v>
      </c>
      <c r="U77" s="758">
        <f t="shared" si="56"/>
        <v>4727145.9737712285</v>
      </c>
      <c r="V77" s="765">
        <v>1933800.165050887</v>
      </c>
      <c r="W77" s="766">
        <v>2005955.6428487513</v>
      </c>
      <c r="X77" s="766">
        <v>2000166.9362324402</v>
      </c>
      <c r="Y77" s="766">
        <v>1994378.2296161293</v>
      </c>
      <c r="Z77" s="766">
        <v>2009358.1927547844</v>
      </c>
      <c r="AA77" s="766">
        <v>2024338.1558934394</v>
      </c>
      <c r="AB77" s="766">
        <v>2033149.3307904822</v>
      </c>
      <c r="AC77" s="767">
        <v>2041960.5056875255</v>
      </c>
      <c r="AD77" s="751">
        <f t="shared" si="57"/>
        <v>2.356555585176344</v>
      </c>
      <c r="AE77" s="765">
        <f t="shared" si="59"/>
        <v>4557107.5795656033</v>
      </c>
      <c r="AF77" s="766">
        <f t="shared" si="60"/>
        <v>4727145.9737712285</v>
      </c>
      <c r="AG77" s="766">
        <f t="shared" si="61"/>
        <v>4713504.5648636129</v>
      </c>
      <c r="AH77" s="766">
        <f t="shared" si="62"/>
        <v>4699863.1559559982</v>
      </c>
      <c r="AI77" s="766">
        <f t="shared" si="63"/>
        <v>4735164.2717561321</v>
      </c>
      <c r="AJ77" s="766">
        <f t="shared" si="64"/>
        <v>4770465.3875562651</v>
      </c>
      <c r="AK77" s="766">
        <f t="shared" si="65"/>
        <v>4791229.4109718567</v>
      </c>
      <c r="AL77" s="767">
        <f t="shared" si="66"/>
        <v>4811993.4343874501</v>
      </c>
    </row>
    <row r="78" spans="2:38" x14ac:dyDescent="0.25">
      <c r="B78" s="744" t="s">
        <v>725</v>
      </c>
      <c r="C78" s="744" t="s">
        <v>680</v>
      </c>
      <c r="D78" s="750">
        <v>600000</v>
      </c>
      <c r="E78" s="751"/>
      <c r="G78" s="744">
        <v>631054.55790289911</v>
      </c>
      <c r="R78" s="322" t="str">
        <f t="shared" si="58"/>
        <v>Articulated Truck</v>
      </c>
      <c r="S78" s="322"/>
      <c r="T78" s="747"/>
      <c r="U78" s="758">
        <f t="shared" si="56"/>
        <v>0</v>
      </c>
      <c r="V78" s="773"/>
      <c r="W78" s="761"/>
      <c r="X78" s="761"/>
      <c r="Y78" s="761"/>
      <c r="Z78" s="761"/>
      <c r="AA78" s="761"/>
      <c r="AB78" s="761"/>
      <c r="AC78" s="774"/>
      <c r="AD78" s="751" t="e">
        <f t="shared" si="57"/>
        <v>#DIV/0!</v>
      </c>
      <c r="AE78" s="773"/>
      <c r="AF78" s="761"/>
      <c r="AG78" s="761"/>
      <c r="AH78" s="761"/>
      <c r="AI78" s="761"/>
      <c r="AJ78" s="761"/>
      <c r="AK78" s="761"/>
      <c r="AL78" s="774"/>
    </row>
    <row r="79" spans="2:38" x14ac:dyDescent="0.25">
      <c r="B79" s="744" t="s">
        <v>725</v>
      </c>
      <c r="C79" s="744" t="s">
        <v>829</v>
      </c>
      <c r="D79" s="750"/>
      <c r="E79" s="751"/>
      <c r="G79" s="744">
        <v>905485.27878454118</v>
      </c>
      <c r="R79" s="322" t="str">
        <f t="shared" si="58"/>
        <v>Articulated Truck</v>
      </c>
      <c r="S79" s="398" t="s">
        <v>832</v>
      </c>
      <c r="T79" s="747"/>
      <c r="U79" s="758">
        <f t="shared" si="56"/>
        <v>0</v>
      </c>
      <c r="V79" s="773"/>
      <c r="W79" s="761"/>
      <c r="X79" s="761"/>
      <c r="Y79" s="761"/>
      <c r="Z79" s="761"/>
      <c r="AA79" s="761"/>
      <c r="AB79" s="761"/>
      <c r="AC79" s="774"/>
      <c r="AD79" s="751" t="e">
        <f t="shared" si="57"/>
        <v>#DIV/0!</v>
      </c>
      <c r="AE79" s="773"/>
      <c r="AF79" s="761"/>
      <c r="AG79" s="761"/>
      <c r="AH79" s="761"/>
      <c r="AI79" s="761"/>
      <c r="AJ79" s="761"/>
      <c r="AK79" s="761"/>
      <c r="AL79" s="774"/>
    </row>
    <row r="80" spans="2:38" x14ac:dyDescent="0.25">
      <c r="B80" s="744" t="s">
        <v>725</v>
      </c>
      <c r="C80" s="744" t="s">
        <v>828</v>
      </c>
      <c r="D80" s="750"/>
      <c r="E80" s="751"/>
      <c r="G80" s="744">
        <v>867855.65580572386</v>
      </c>
      <c r="R80" s="322" t="str">
        <f>S80</f>
        <v>Construction Truck</v>
      </c>
      <c r="S80" s="397" t="s">
        <v>733</v>
      </c>
      <c r="T80" s="747"/>
      <c r="U80" s="758">
        <f t="shared" si="56"/>
        <v>0</v>
      </c>
      <c r="V80" s="771">
        <v>2010</v>
      </c>
      <c r="W80" s="759">
        <v>2020</v>
      </c>
      <c r="X80" s="759"/>
      <c r="Y80" s="759">
        <v>2030</v>
      </c>
      <c r="Z80" s="759"/>
      <c r="AA80" s="759">
        <v>2040</v>
      </c>
      <c r="AB80" s="759"/>
      <c r="AC80" s="772">
        <v>2050</v>
      </c>
      <c r="AD80" s="751">
        <f t="shared" si="57"/>
        <v>0</v>
      </c>
      <c r="AE80" s="771">
        <v>2010</v>
      </c>
      <c r="AF80" s="759">
        <v>2020</v>
      </c>
      <c r="AG80" s="759"/>
      <c r="AH80" s="759">
        <v>2030</v>
      </c>
      <c r="AI80" s="759"/>
      <c r="AJ80" s="759">
        <v>2040</v>
      </c>
      <c r="AK80" s="759"/>
      <c r="AL80" s="772">
        <v>2050</v>
      </c>
    </row>
    <row r="81" spans="2:38" x14ac:dyDescent="0.25">
      <c r="B81" s="744" t="s">
        <v>725</v>
      </c>
      <c r="C81" s="744" t="s">
        <v>689</v>
      </c>
      <c r="D81" s="921">
        <v>900000</v>
      </c>
      <c r="E81" s="923"/>
      <c r="F81" s="924"/>
      <c r="G81" s="744">
        <v>885377.7159720764</v>
      </c>
      <c r="R81" s="322" t="str">
        <f t="shared" ref="R81:R91" si="68">R80</f>
        <v>Construction Truck</v>
      </c>
      <c r="S81" s="447" t="s">
        <v>1282</v>
      </c>
      <c r="T81" s="747"/>
      <c r="U81" s="758">
        <f t="shared" si="56"/>
        <v>0</v>
      </c>
      <c r="V81" s="773" t="s">
        <v>1301</v>
      </c>
      <c r="W81" s="761" t="s">
        <v>1301</v>
      </c>
      <c r="X81" s="761"/>
      <c r="Y81" s="761" t="s">
        <v>1301</v>
      </c>
      <c r="Z81" s="761"/>
      <c r="AA81" s="761" t="s">
        <v>1301</v>
      </c>
      <c r="AB81" s="761"/>
      <c r="AC81" s="774" t="s">
        <v>1301</v>
      </c>
      <c r="AD81" s="751" t="e">
        <f t="shared" si="57"/>
        <v>#VALUE!</v>
      </c>
      <c r="AE81" s="773"/>
      <c r="AF81" s="761"/>
      <c r="AG81" s="761"/>
      <c r="AH81" s="761"/>
      <c r="AI81" s="761"/>
      <c r="AJ81" s="761"/>
      <c r="AK81" s="761"/>
      <c r="AL81" s="774"/>
    </row>
    <row r="82" spans="2:38" x14ac:dyDescent="0.25">
      <c r="B82" s="744" t="s">
        <v>725</v>
      </c>
      <c r="C82" s="744" t="s">
        <v>692</v>
      </c>
      <c r="D82" s="921">
        <v>1200000</v>
      </c>
      <c r="E82" s="923"/>
      <c r="F82" s="924"/>
      <c r="G82" s="744">
        <v>1464212.0349055484</v>
      </c>
      <c r="R82" s="322" t="str">
        <f t="shared" si="68"/>
        <v>Construction Truck</v>
      </c>
      <c r="S82" s="372" t="s">
        <v>687</v>
      </c>
      <c r="T82" s="747">
        <f t="shared" si="67"/>
        <v>1300000</v>
      </c>
      <c r="U82" s="758">
        <f t="shared" si="56"/>
        <v>1163442.3215284995</v>
      </c>
      <c r="V82" s="765">
        <v>1137344.8503307651</v>
      </c>
      <c r="W82" s="766">
        <v>1383611.7088645061</v>
      </c>
      <c r="X82" s="766">
        <v>1421742.7272348688</v>
      </c>
      <c r="Y82" s="766">
        <v>1459873.7456052315</v>
      </c>
      <c r="Z82" s="766">
        <v>1490827.5195919413</v>
      </c>
      <c r="AA82" s="766">
        <v>1521781.2935786508</v>
      </c>
      <c r="AB82" s="766">
        <v>1550292.485324691</v>
      </c>
      <c r="AC82" s="767">
        <v>1578803.6770707315</v>
      </c>
      <c r="AD82" s="751">
        <f t="shared" si="57"/>
        <v>0.84087342863216019</v>
      </c>
      <c r="AE82" s="765">
        <f t="shared" ref="AE82:AE89" si="69">V82*$AD82</f>
        <v>956363.0638347615</v>
      </c>
      <c r="AF82" s="766">
        <f t="shared" ref="AF82:AF89" si="70">W82*$AD82</f>
        <v>1163442.3215284995</v>
      </c>
      <c r="AG82" s="766">
        <f t="shared" ref="AG82:AG89" si="71">X82*$AD82</f>
        <v>1195505.6816828223</v>
      </c>
      <c r="AH82" s="766">
        <f t="shared" ref="AH82:AH89" si="72">Y82*$AD82</f>
        <v>1227569.0418371451</v>
      </c>
      <c r="AI82" s="766">
        <f t="shared" ref="AI82:AI89" si="73">Z82*$AD82</f>
        <v>1253597.2478984545</v>
      </c>
      <c r="AJ82" s="766">
        <f t="shared" ref="AJ82:AJ89" si="74">AA82*$AD82</f>
        <v>1279625.453959764</v>
      </c>
      <c r="AK82" s="766">
        <f t="shared" ref="AK82:AK89" si="75">AB82*$AD82</f>
        <v>1303599.7575176458</v>
      </c>
      <c r="AL82" s="767">
        <f t="shared" ref="AL82:AL89" si="76">AC82*$AD82</f>
        <v>1327574.0610755279</v>
      </c>
    </row>
    <row r="83" spans="2:38" x14ac:dyDescent="0.25">
      <c r="B83" s="744" t="s">
        <v>725</v>
      </c>
      <c r="C83" s="744" t="s">
        <v>699</v>
      </c>
      <c r="D83" s="921">
        <v>4000000</v>
      </c>
      <c r="E83" s="923"/>
      <c r="F83" s="924"/>
      <c r="G83" s="744">
        <v>1816072.504069217</v>
      </c>
      <c r="R83" s="322" t="str">
        <f t="shared" si="68"/>
        <v>Construction Truck</v>
      </c>
      <c r="S83" s="372" t="s">
        <v>829</v>
      </c>
      <c r="T83" s="747">
        <f t="shared" si="67"/>
        <v>0</v>
      </c>
      <c r="U83" s="758">
        <f t="shared" si="56"/>
        <v>0</v>
      </c>
      <c r="V83" s="765">
        <v>1346309.0076455197</v>
      </c>
      <c r="W83" s="766">
        <v>1554634.2240061136</v>
      </c>
      <c r="X83" s="766">
        <v>1564774.0762279797</v>
      </c>
      <c r="Y83" s="766">
        <v>1574913.9284498463</v>
      </c>
      <c r="Z83" s="766">
        <v>1591873.0744862277</v>
      </c>
      <c r="AA83" s="766">
        <v>1608832.2205226088</v>
      </c>
      <c r="AB83" s="766">
        <v>1628335.4060461875</v>
      </c>
      <c r="AC83" s="767">
        <v>1647838.5915697664</v>
      </c>
      <c r="AD83" s="751">
        <f t="shared" si="57"/>
        <v>0</v>
      </c>
      <c r="AE83" s="765">
        <f t="shared" si="69"/>
        <v>0</v>
      </c>
      <c r="AF83" s="766">
        <f t="shared" si="70"/>
        <v>0</v>
      </c>
      <c r="AG83" s="766">
        <f t="shared" si="71"/>
        <v>0</v>
      </c>
      <c r="AH83" s="766">
        <f t="shared" si="72"/>
        <v>0</v>
      </c>
      <c r="AI83" s="766">
        <f t="shared" si="73"/>
        <v>0</v>
      </c>
      <c r="AJ83" s="766">
        <f t="shared" si="74"/>
        <v>0</v>
      </c>
      <c r="AK83" s="766">
        <f t="shared" si="75"/>
        <v>0</v>
      </c>
      <c r="AL83" s="767">
        <f t="shared" si="76"/>
        <v>0</v>
      </c>
    </row>
    <row r="84" spans="2:38" x14ac:dyDescent="0.25">
      <c r="B84" s="744" t="s">
        <v>725</v>
      </c>
      <c r="C84" s="744" t="s">
        <v>827</v>
      </c>
      <c r="D84" s="750">
        <f t="shared" ref="D84:D85" si="77">G84/G$77*D$77</f>
        <v>772984.21786097449</v>
      </c>
      <c r="E84" s="751"/>
      <c r="G84" s="744">
        <v>1031864.0418883342</v>
      </c>
      <c r="R84" s="322" t="str">
        <f t="shared" si="68"/>
        <v>Construction Truck</v>
      </c>
      <c r="S84" s="372" t="s">
        <v>828</v>
      </c>
      <c r="T84" s="747">
        <f t="shared" si="67"/>
        <v>0</v>
      </c>
      <c r="U84" s="758">
        <f t="shared" si="56"/>
        <v>0</v>
      </c>
      <c r="V84" s="765">
        <v>1342249.3600168284</v>
      </c>
      <c r="W84" s="766">
        <v>1491260.0402134496</v>
      </c>
      <c r="X84" s="766">
        <v>1513798.9961644816</v>
      </c>
      <c r="Y84" s="766">
        <v>1536337.9521155139</v>
      </c>
      <c r="Z84" s="766">
        <v>1582717.2948413345</v>
      </c>
      <c r="AA84" s="766">
        <v>1629096.6375671551</v>
      </c>
      <c r="AB84" s="766">
        <v>1680935.4116440627</v>
      </c>
      <c r="AC84" s="767">
        <v>1732774.1857209706</v>
      </c>
      <c r="AD84" s="751">
        <f t="shared" si="57"/>
        <v>0</v>
      </c>
      <c r="AE84" s="765">
        <f t="shared" si="69"/>
        <v>0</v>
      </c>
      <c r="AF84" s="766">
        <f t="shared" si="70"/>
        <v>0</v>
      </c>
      <c r="AG84" s="766">
        <f t="shared" si="71"/>
        <v>0</v>
      </c>
      <c r="AH84" s="766">
        <f t="shared" si="72"/>
        <v>0</v>
      </c>
      <c r="AI84" s="766">
        <f t="shared" si="73"/>
        <v>0</v>
      </c>
      <c r="AJ84" s="766">
        <f t="shared" si="74"/>
        <v>0</v>
      </c>
      <c r="AK84" s="766">
        <f t="shared" si="75"/>
        <v>0</v>
      </c>
      <c r="AL84" s="767">
        <f t="shared" si="76"/>
        <v>0</v>
      </c>
    </row>
    <row r="85" spans="2:38" x14ac:dyDescent="0.25">
      <c r="B85" s="744" t="s">
        <v>725</v>
      </c>
      <c r="C85" s="744" t="s">
        <v>700</v>
      </c>
      <c r="D85" s="750">
        <f t="shared" si="77"/>
        <v>741260.98792960495</v>
      </c>
      <c r="E85" s="751"/>
      <c r="G85" s="744">
        <v>989516.39816888212</v>
      </c>
      <c r="R85" s="322" t="str">
        <f t="shared" si="68"/>
        <v>Construction Truck</v>
      </c>
      <c r="S85" s="372" t="s">
        <v>689</v>
      </c>
      <c r="T85" s="747">
        <f t="shared" si="67"/>
        <v>1900000</v>
      </c>
      <c r="U85" s="758">
        <f t="shared" si="56"/>
        <v>1700415.7006954993</v>
      </c>
      <c r="V85" s="765">
        <v>1413868.2874237234</v>
      </c>
      <c r="W85" s="766">
        <v>1502505.4928576599</v>
      </c>
      <c r="X85" s="766">
        <v>1511523.7795690347</v>
      </c>
      <c r="Y85" s="766">
        <v>1520542.066280409</v>
      </c>
      <c r="Z85" s="766">
        <v>1555267.1003705533</v>
      </c>
      <c r="AA85" s="766">
        <v>1589992.1344606976</v>
      </c>
      <c r="AB85" s="766">
        <v>1635802.1933410501</v>
      </c>
      <c r="AC85" s="767">
        <v>1681612.2522214027</v>
      </c>
      <c r="AD85" s="751">
        <f t="shared" si="57"/>
        <v>1.1317201226741793</v>
      </c>
      <c r="AE85" s="765">
        <f t="shared" si="69"/>
        <v>1600103.191688308</v>
      </c>
      <c r="AF85" s="766">
        <f t="shared" si="70"/>
        <v>1700415.7006954991</v>
      </c>
      <c r="AG85" s="766">
        <f t="shared" si="71"/>
        <v>1710621.877238807</v>
      </c>
      <c r="AH85" s="766">
        <f t="shared" si="72"/>
        <v>1720828.0537821145</v>
      </c>
      <c r="AI85" s="766">
        <f t="shared" si="73"/>
        <v>1760127.0736224777</v>
      </c>
      <c r="AJ85" s="766">
        <f t="shared" si="74"/>
        <v>1799426.0934628409</v>
      </c>
      <c r="AK85" s="766">
        <f t="shared" si="75"/>
        <v>1851270.2589186248</v>
      </c>
      <c r="AL85" s="767">
        <f t="shared" si="76"/>
        <v>1903114.4243744088</v>
      </c>
    </row>
    <row r="86" spans="2:38" x14ac:dyDescent="0.25">
      <c r="R86" s="322" t="str">
        <f t="shared" si="68"/>
        <v>Construction Truck</v>
      </c>
      <c r="S86" s="372" t="s">
        <v>692</v>
      </c>
      <c r="T86" s="747">
        <f t="shared" si="67"/>
        <v>3000000</v>
      </c>
      <c r="U86" s="758">
        <f t="shared" si="56"/>
        <v>2684866.8958349987</v>
      </c>
      <c r="V86" s="851">
        <f>$V$98/$W$98*W86</f>
        <v>3521188.7228997489</v>
      </c>
      <c r="W86" s="779">
        <f>U86</f>
        <v>2684866.8958349987</v>
      </c>
      <c r="X86" s="779">
        <f>0.7*W86</f>
        <v>1879406.8270844989</v>
      </c>
      <c r="Y86" s="779">
        <f>(X86-Z86)/2+Z86</f>
        <v>1610920.137500999</v>
      </c>
      <c r="Z86" s="779">
        <f>0.5*W86</f>
        <v>1342433.4479174993</v>
      </c>
      <c r="AA86" s="779">
        <f>2*(Z86-AC86)/3+AC86</f>
        <v>1252937.8847229993</v>
      </c>
      <c r="AB86" s="779">
        <f>(Z86-AC86)/3+AC86</f>
        <v>1163442.3215284995</v>
      </c>
      <c r="AC86" s="780">
        <f>0.4*W86</f>
        <v>1073946.7583339994</v>
      </c>
      <c r="AD86" s="751">
        <v>1</v>
      </c>
      <c r="AE86" s="765">
        <f t="shared" si="69"/>
        <v>3521188.7228997489</v>
      </c>
      <c r="AF86" s="766">
        <f t="shared" si="70"/>
        <v>2684866.8958349987</v>
      </c>
      <c r="AG86" s="766">
        <f t="shared" si="71"/>
        <v>1879406.8270844989</v>
      </c>
      <c r="AH86" s="766">
        <f t="shared" si="72"/>
        <v>1610920.137500999</v>
      </c>
      <c r="AI86" s="766">
        <f t="shared" si="73"/>
        <v>1342433.4479174993</v>
      </c>
      <c r="AJ86" s="766">
        <f t="shared" si="74"/>
        <v>1252937.8847229993</v>
      </c>
      <c r="AK86" s="766">
        <f t="shared" si="75"/>
        <v>1163442.3215284995</v>
      </c>
      <c r="AL86" s="767">
        <f t="shared" si="76"/>
        <v>1073946.7583339994</v>
      </c>
    </row>
    <row r="87" spans="2:38" x14ac:dyDescent="0.25">
      <c r="B87" s="751" t="s">
        <v>1303</v>
      </c>
      <c r="R87" s="322" t="str">
        <f t="shared" si="68"/>
        <v>Construction Truck</v>
      </c>
      <c r="S87" s="372" t="s">
        <v>699</v>
      </c>
      <c r="T87" s="747">
        <f t="shared" si="67"/>
        <v>4000000</v>
      </c>
      <c r="U87" s="758">
        <f t="shared" si="56"/>
        <v>3579822.5277799983</v>
      </c>
      <c r="V87" s="765">
        <v>6360106.1214327365</v>
      </c>
      <c r="W87" s="766">
        <v>2830881.8939991225</v>
      </c>
      <c r="X87" s="766">
        <v>2272344.3366048341</v>
      </c>
      <c r="Y87" s="766">
        <v>1713806.7792105449</v>
      </c>
      <c r="Z87" s="766">
        <v>1666904.5825543196</v>
      </c>
      <c r="AA87" s="766">
        <v>1620002.3858980946</v>
      </c>
      <c r="AB87" s="766">
        <v>1632911.0815388313</v>
      </c>
      <c r="AC87" s="767">
        <v>1645819.7771795681</v>
      </c>
      <c r="AD87" s="751">
        <f t="shared" si="57"/>
        <v>1.2645608901482162</v>
      </c>
      <c r="AE87" s="765">
        <f t="shared" si="69"/>
        <v>8042741.4583561001</v>
      </c>
      <c r="AF87" s="766">
        <f t="shared" si="70"/>
        <v>3579822.5277799987</v>
      </c>
      <c r="AG87" s="766">
        <f t="shared" si="71"/>
        <v>2873517.7770202667</v>
      </c>
      <c r="AH87" s="766">
        <f t="shared" si="72"/>
        <v>2167213.0262605338</v>
      </c>
      <c r="AI87" s="766">
        <f t="shared" si="73"/>
        <v>2107902.3427070309</v>
      </c>
      <c r="AJ87" s="766">
        <f t="shared" si="74"/>
        <v>2048591.6591535285</v>
      </c>
      <c r="AK87" s="766">
        <f t="shared" si="75"/>
        <v>2064915.490803631</v>
      </c>
      <c r="AL87" s="767">
        <f t="shared" si="76"/>
        <v>2081239.3224537333</v>
      </c>
    </row>
    <row r="88" spans="2:38" x14ac:dyDescent="0.25">
      <c r="B88" s="751" t="s">
        <v>735</v>
      </c>
      <c r="C88" s="744" t="s">
        <v>687</v>
      </c>
      <c r="D88" s="750">
        <v>1000000</v>
      </c>
      <c r="E88" s="751" t="s">
        <v>1304</v>
      </c>
      <c r="G88" s="744">
        <v>1315389.054772544</v>
      </c>
      <c r="R88" s="322" t="str">
        <f t="shared" si="68"/>
        <v>Construction Truck</v>
      </c>
      <c r="S88" s="372" t="s">
        <v>827</v>
      </c>
      <c r="T88" s="747">
        <f t="shared" si="67"/>
        <v>4000000</v>
      </c>
      <c r="U88" s="758">
        <f t="shared" si="56"/>
        <v>3579822.5277799983</v>
      </c>
      <c r="V88" s="765">
        <v>1695854.156363609</v>
      </c>
      <c r="W88" s="766">
        <v>1732356.5987769766</v>
      </c>
      <c r="X88" s="766">
        <v>1736897.2929585287</v>
      </c>
      <c r="Y88" s="766">
        <v>1741437.9871400804</v>
      </c>
      <c r="Z88" s="766">
        <v>1754044.2259131225</v>
      </c>
      <c r="AA88" s="766">
        <v>1766650.4646861646</v>
      </c>
      <c r="AB88" s="766">
        <v>1783125.9660776728</v>
      </c>
      <c r="AC88" s="767">
        <v>1799601.4674691809</v>
      </c>
      <c r="AD88" s="751">
        <f t="shared" si="57"/>
        <v>2.0664466717229644</v>
      </c>
      <c r="AE88" s="765">
        <f t="shared" si="69"/>
        <v>3504392.1771451356</v>
      </c>
      <c r="AF88" s="766">
        <f t="shared" si="70"/>
        <v>3579822.5277799978</v>
      </c>
      <c r="AG88" s="766">
        <f t="shared" si="71"/>
        <v>3589205.6301587783</v>
      </c>
      <c r="AH88" s="766">
        <f t="shared" si="72"/>
        <v>3598588.7325375578</v>
      </c>
      <c r="AI88" s="766">
        <f t="shared" si="73"/>
        <v>3624638.8526930553</v>
      </c>
      <c r="AJ88" s="766">
        <f t="shared" si="74"/>
        <v>3650688.9728485532</v>
      </c>
      <c r="AK88" s="766">
        <f t="shared" si="75"/>
        <v>3684734.7178640026</v>
      </c>
      <c r="AL88" s="767">
        <f t="shared" si="76"/>
        <v>3718780.4628794515</v>
      </c>
    </row>
    <row r="89" spans="2:38" x14ac:dyDescent="0.25">
      <c r="B89" s="751" t="s">
        <v>735</v>
      </c>
      <c r="C89" s="744" t="s">
        <v>829</v>
      </c>
      <c r="D89" s="750"/>
      <c r="E89" s="751"/>
      <c r="G89" s="744">
        <v>1438328.6388271647</v>
      </c>
      <c r="R89" s="322" t="str">
        <f t="shared" si="68"/>
        <v>Construction Truck</v>
      </c>
      <c r="S89" s="372" t="s">
        <v>700</v>
      </c>
      <c r="T89" s="747">
        <f t="shared" si="67"/>
        <v>4383833.832881134</v>
      </c>
      <c r="U89" s="758">
        <f t="shared" si="56"/>
        <v>3923336.7782480051</v>
      </c>
      <c r="V89" s="765">
        <v>1624779.2570494437</v>
      </c>
      <c r="W89" s="766">
        <v>1664860.6987788989</v>
      </c>
      <c r="X89" s="766">
        <v>1668630.0219125191</v>
      </c>
      <c r="Y89" s="766">
        <v>1672399.3450461391</v>
      </c>
      <c r="Z89" s="766">
        <v>1685256.2227432285</v>
      </c>
      <c r="AA89" s="766">
        <v>1698113.1004403182</v>
      </c>
      <c r="AB89" s="766">
        <v>1714703.5720855389</v>
      </c>
      <c r="AC89" s="767">
        <v>1731294.0437307595</v>
      </c>
      <c r="AD89" s="751">
        <f t="shared" si="57"/>
        <v>2.356555585176344</v>
      </c>
      <c r="AE89" s="765">
        <f t="shared" si="69"/>
        <v>3828882.6328785373</v>
      </c>
      <c r="AF89" s="766">
        <f t="shared" si="70"/>
        <v>3923336.7782480051</v>
      </c>
      <c r="AG89" s="766">
        <f t="shared" si="71"/>
        <v>3932219.397730872</v>
      </c>
      <c r="AH89" s="766">
        <f t="shared" si="72"/>
        <v>3941102.0172137385</v>
      </c>
      <c r="AI89" s="766">
        <f t="shared" si="73"/>
        <v>3971399.9641587441</v>
      </c>
      <c r="AJ89" s="766">
        <f t="shared" si="74"/>
        <v>4001697.9111037501</v>
      </c>
      <c r="AK89" s="766">
        <f t="shared" si="75"/>
        <v>4040794.2797200046</v>
      </c>
      <c r="AL89" s="767">
        <f t="shared" si="76"/>
        <v>4079890.6483362587</v>
      </c>
    </row>
    <row r="90" spans="2:38" x14ac:dyDescent="0.25">
      <c r="B90" s="751" t="s">
        <v>735</v>
      </c>
      <c r="C90" s="744" t="s">
        <v>828</v>
      </c>
      <c r="D90" s="750"/>
      <c r="E90" s="751"/>
      <c r="G90" s="744">
        <v>1372038.5110622062</v>
      </c>
      <c r="R90" s="322" t="str">
        <f t="shared" si="68"/>
        <v>Construction Truck</v>
      </c>
      <c r="S90" s="322"/>
      <c r="T90" s="747"/>
      <c r="U90" s="758">
        <f t="shared" si="56"/>
        <v>0</v>
      </c>
      <c r="V90" s="773"/>
      <c r="W90" s="761"/>
      <c r="X90" s="761"/>
      <c r="Y90" s="761"/>
      <c r="Z90" s="761"/>
      <c r="AA90" s="761"/>
      <c r="AB90" s="761"/>
      <c r="AC90" s="774"/>
      <c r="AD90" s="751" t="e">
        <f t="shared" si="57"/>
        <v>#DIV/0!</v>
      </c>
      <c r="AE90" s="773"/>
      <c r="AF90" s="761"/>
      <c r="AG90" s="761"/>
      <c r="AH90" s="761"/>
      <c r="AI90" s="761"/>
      <c r="AJ90" s="761"/>
      <c r="AK90" s="761"/>
      <c r="AL90" s="774"/>
    </row>
    <row r="91" spans="2:38" x14ac:dyDescent="0.25">
      <c r="B91" s="751" t="s">
        <v>735</v>
      </c>
      <c r="C91" s="744" t="s">
        <v>689</v>
      </c>
      <c r="D91" s="921">
        <v>1500000</v>
      </c>
      <c r="E91" s="923"/>
      <c r="G91" s="744">
        <v>1464573.7294294063</v>
      </c>
      <c r="R91" s="322" t="str">
        <f t="shared" si="68"/>
        <v>Construction Truck</v>
      </c>
      <c r="S91" s="360" t="s">
        <v>832</v>
      </c>
      <c r="T91" s="747"/>
      <c r="U91" s="758">
        <f t="shared" si="56"/>
        <v>0</v>
      </c>
      <c r="V91" s="773"/>
      <c r="W91" s="761"/>
      <c r="X91" s="761"/>
      <c r="Y91" s="761"/>
      <c r="Z91" s="761"/>
      <c r="AA91" s="761"/>
      <c r="AB91" s="761"/>
      <c r="AC91" s="774"/>
      <c r="AD91" s="751" t="e">
        <f t="shared" si="57"/>
        <v>#DIV/0!</v>
      </c>
      <c r="AE91" s="773"/>
      <c r="AF91" s="761"/>
      <c r="AG91" s="761"/>
      <c r="AH91" s="761"/>
      <c r="AI91" s="761"/>
      <c r="AJ91" s="761"/>
      <c r="AK91" s="761"/>
      <c r="AL91" s="774"/>
    </row>
    <row r="92" spans="2:38" x14ac:dyDescent="0.25">
      <c r="B92" s="755" t="s">
        <v>735</v>
      </c>
      <c r="C92" s="755" t="s">
        <v>692</v>
      </c>
      <c r="D92" s="925">
        <v>2000000</v>
      </c>
      <c r="E92" s="926" t="s">
        <v>1305</v>
      </c>
      <c r="F92" s="755"/>
      <c r="G92" s="755"/>
      <c r="R92" s="322" t="str">
        <f>S92</f>
        <v>Bus</v>
      </c>
      <c r="S92" s="355" t="s">
        <v>60</v>
      </c>
      <c r="T92" s="747"/>
      <c r="U92" s="758">
        <f t="shared" si="56"/>
        <v>0</v>
      </c>
      <c r="V92" s="771">
        <v>2010</v>
      </c>
      <c r="W92" s="759">
        <v>2020</v>
      </c>
      <c r="X92" s="759"/>
      <c r="Y92" s="759">
        <v>2030</v>
      </c>
      <c r="Z92" s="759"/>
      <c r="AA92" s="759">
        <v>2040</v>
      </c>
      <c r="AB92" s="759"/>
      <c r="AC92" s="772">
        <v>2050</v>
      </c>
      <c r="AD92" s="751">
        <f t="shared" si="57"/>
        <v>0</v>
      </c>
      <c r="AE92" s="771">
        <v>2010</v>
      </c>
      <c r="AF92" s="759">
        <v>2020</v>
      </c>
      <c r="AG92" s="759"/>
      <c r="AH92" s="759">
        <v>2030</v>
      </c>
      <c r="AI92" s="759"/>
      <c r="AJ92" s="759">
        <v>2040</v>
      </c>
      <c r="AK92" s="759"/>
      <c r="AL92" s="772">
        <v>2050</v>
      </c>
    </row>
    <row r="93" spans="2:38" x14ac:dyDescent="0.25">
      <c r="B93" s="751" t="s">
        <v>735</v>
      </c>
      <c r="C93" s="744" t="s">
        <v>699</v>
      </c>
      <c r="D93" s="750">
        <v>4000000</v>
      </c>
      <c r="E93" s="751" t="s">
        <v>1300</v>
      </c>
      <c r="G93" s="744">
        <v>2881312.2182852593</v>
      </c>
      <c r="R93" s="322" t="str">
        <f t="shared" ref="R93:R101" si="78">R92</f>
        <v>Bus</v>
      </c>
      <c r="S93" s="447" t="s">
        <v>1282</v>
      </c>
      <c r="T93" s="747"/>
      <c r="U93" s="758">
        <f t="shared" si="56"/>
        <v>0</v>
      </c>
      <c r="V93" s="773" t="s">
        <v>1301</v>
      </c>
      <c r="W93" s="761" t="s">
        <v>1301</v>
      </c>
      <c r="X93" s="761"/>
      <c r="Y93" s="761" t="s">
        <v>1301</v>
      </c>
      <c r="Z93" s="761"/>
      <c r="AA93" s="761" t="s">
        <v>1301</v>
      </c>
      <c r="AB93" s="761"/>
      <c r="AC93" s="774" t="s">
        <v>1301</v>
      </c>
      <c r="AD93" s="751" t="e">
        <f t="shared" si="57"/>
        <v>#VALUE!</v>
      </c>
      <c r="AE93" s="773"/>
      <c r="AF93" s="761"/>
      <c r="AG93" s="761"/>
      <c r="AH93" s="761"/>
      <c r="AI93" s="761"/>
      <c r="AJ93" s="761"/>
      <c r="AK93" s="761"/>
      <c r="AL93" s="774"/>
    </row>
    <row r="94" spans="2:38" x14ac:dyDescent="0.25">
      <c r="B94" s="751" t="s">
        <v>735</v>
      </c>
      <c r="C94" s="744" t="s">
        <v>827</v>
      </c>
      <c r="D94" s="750">
        <v>4000000</v>
      </c>
      <c r="E94" s="751" t="s">
        <v>1300</v>
      </c>
      <c r="G94" s="744">
        <v>1591595.5728002738</v>
      </c>
      <c r="R94" s="322" t="str">
        <f t="shared" si="78"/>
        <v>Bus</v>
      </c>
      <c r="S94" s="337" t="s">
        <v>687</v>
      </c>
      <c r="T94" s="747">
        <f t="shared" si="67"/>
        <v>2200000</v>
      </c>
      <c r="U94" s="758">
        <f t="shared" si="56"/>
        <v>1968902.3902789992</v>
      </c>
      <c r="V94" s="765">
        <v>2374350.3925985522</v>
      </c>
      <c r="W94" s="766">
        <v>2567125.8296431107</v>
      </c>
      <c r="X94" s="766">
        <v>2615057.9469287945</v>
      </c>
      <c r="Y94" s="766">
        <v>2662990.0642144778</v>
      </c>
      <c r="Z94" s="766">
        <v>2693807.5488051251</v>
      </c>
      <c r="AA94" s="766">
        <v>2724625.0333957719</v>
      </c>
      <c r="AB94" s="766">
        <v>2759805.6112657399</v>
      </c>
      <c r="AC94" s="767">
        <v>2794986.1891357079</v>
      </c>
      <c r="AD94" s="751">
        <f t="shared" si="57"/>
        <v>0.76696762096493021</v>
      </c>
      <c r="AE94" s="765">
        <f t="shared" ref="AE94:AE101" si="79">V94*$AD94</f>
        <v>1821049.8719484597</v>
      </c>
      <c r="AF94" s="766">
        <f t="shared" ref="AF94:AF101" si="80">W94*$AD94</f>
        <v>1968902.3902789995</v>
      </c>
      <c r="AG94" s="766">
        <f t="shared" ref="AG94:AG101" si="81">X94*$AD94</f>
        <v>2005664.7722414122</v>
      </c>
      <c r="AH94" s="766">
        <f t="shared" ref="AH94:AH101" si="82">Y94*$AD94</f>
        <v>2042427.1542038247</v>
      </c>
      <c r="AI94" s="766">
        <f t="shared" ref="AI94:AI101" si="83">Z94*$AD94</f>
        <v>2066063.1670444368</v>
      </c>
      <c r="AJ94" s="766">
        <f t="shared" ref="AJ94:AJ101" si="84">AA94*$AD94</f>
        <v>2089699.1798850487</v>
      </c>
      <c r="AK94" s="766">
        <f t="shared" ref="AK94:AK101" si="85">AB94*$AD94</f>
        <v>2116681.5439981497</v>
      </c>
      <c r="AL94" s="767">
        <f t="shared" ref="AL94:AL101" si="86">AC94*$AD94</f>
        <v>2143663.9081112505</v>
      </c>
    </row>
    <row r="95" spans="2:38" x14ac:dyDescent="0.25">
      <c r="B95" s="751" t="s">
        <v>735</v>
      </c>
      <c r="C95" s="744" t="s">
        <v>700</v>
      </c>
      <c r="D95" s="750">
        <v>4000000</v>
      </c>
      <c r="E95" s="751" t="s">
        <v>1300</v>
      </c>
      <c r="G95" s="744">
        <v>1519091.0625229813</v>
      </c>
      <c r="R95" s="322" t="str">
        <f t="shared" si="78"/>
        <v>Bus</v>
      </c>
      <c r="S95" s="337" t="s">
        <v>829</v>
      </c>
      <c r="T95" s="747">
        <f t="shared" si="67"/>
        <v>0</v>
      </c>
      <c r="U95" s="758">
        <f t="shared" si="56"/>
        <v>0</v>
      </c>
      <c r="V95" s="765">
        <v>2560421.0522702299</v>
      </c>
      <c r="W95" s="766">
        <v>2720742.9699179786</v>
      </c>
      <c r="X95" s="766">
        <v>2745447.8014628761</v>
      </c>
      <c r="Y95" s="766">
        <v>2770152.6330077737</v>
      </c>
      <c r="Z95" s="766">
        <v>2789432.1408442678</v>
      </c>
      <c r="AA95" s="766">
        <v>2808711.648680761</v>
      </c>
      <c r="AB95" s="766">
        <v>2836383.7094969568</v>
      </c>
      <c r="AC95" s="767">
        <v>2864055.7703131516</v>
      </c>
      <c r="AD95" s="751">
        <f t="shared" si="57"/>
        <v>0</v>
      </c>
      <c r="AE95" s="765">
        <f t="shared" si="79"/>
        <v>0</v>
      </c>
      <c r="AF95" s="766">
        <f t="shared" si="80"/>
        <v>0</v>
      </c>
      <c r="AG95" s="766">
        <f t="shared" si="81"/>
        <v>0</v>
      </c>
      <c r="AH95" s="766">
        <f t="shared" si="82"/>
        <v>0</v>
      </c>
      <c r="AI95" s="766">
        <f t="shared" si="83"/>
        <v>0</v>
      </c>
      <c r="AJ95" s="766">
        <f t="shared" si="84"/>
        <v>0</v>
      </c>
      <c r="AK95" s="766">
        <f t="shared" si="85"/>
        <v>0</v>
      </c>
      <c r="AL95" s="767">
        <f t="shared" si="86"/>
        <v>0</v>
      </c>
    </row>
    <row r="96" spans="2:38" x14ac:dyDescent="0.25">
      <c r="R96" s="322" t="str">
        <f t="shared" si="78"/>
        <v>Bus</v>
      </c>
      <c r="S96" s="337" t="s">
        <v>828</v>
      </c>
      <c r="T96" s="747">
        <f t="shared" si="67"/>
        <v>0</v>
      </c>
      <c r="U96" s="758">
        <f t="shared" si="56"/>
        <v>0</v>
      </c>
      <c r="V96" s="765">
        <v>2575439.5481723119</v>
      </c>
      <c r="W96" s="766">
        <v>2670939.3077800749</v>
      </c>
      <c r="X96" s="766">
        <v>2701135.5750137344</v>
      </c>
      <c r="Y96" s="766">
        <v>2731331.8422473934</v>
      </c>
      <c r="Z96" s="766">
        <v>2753508.3296443988</v>
      </c>
      <c r="AA96" s="766">
        <v>2775684.8170414036</v>
      </c>
      <c r="AB96" s="766">
        <v>2805241.7779716766</v>
      </c>
      <c r="AC96" s="767">
        <v>2834798.7389019486</v>
      </c>
      <c r="AD96" s="751">
        <f t="shared" si="57"/>
        <v>0</v>
      </c>
      <c r="AE96" s="765">
        <f t="shared" si="79"/>
        <v>0</v>
      </c>
      <c r="AF96" s="766">
        <f t="shared" si="80"/>
        <v>0</v>
      </c>
      <c r="AG96" s="766">
        <f t="shared" si="81"/>
        <v>0</v>
      </c>
      <c r="AH96" s="766">
        <f t="shared" si="82"/>
        <v>0</v>
      </c>
      <c r="AI96" s="766">
        <f t="shared" si="83"/>
        <v>0</v>
      </c>
      <c r="AJ96" s="766">
        <f t="shared" si="84"/>
        <v>0</v>
      </c>
      <c r="AK96" s="766">
        <f t="shared" si="85"/>
        <v>0</v>
      </c>
      <c r="AL96" s="767">
        <f t="shared" si="86"/>
        <v>0</v>
      </c>
    </row>
    <row r="97" spans="2:38" x14ac:dyDescent="0.25">
      <c r="B97" s="751" t="s">
        <v>1306</v>
      </c>
      <c r="R97" s="322" t="str">
        <f t="shared" si="78"/>
        <v>Bus</v>
      </c>
      <c r="S97" s="337" t="s">
        <v>689</v>
      </c>
      <c r="T97" s="747">
        <f t="shared" si="67"/>
        <v>4000000</v>
      </c>
      <c r="U97" s="758">
        <f t="shared" si="56"/>
        <v>3579822.5277799983</v>
      </c>
      <c r="V97" s="765">
        <v>2641461.6254828833</v>
      </c>
      <c r="W97" s="766">
        <v>2710157.9792400058</v>
      </c>
      <c r="X97" s="766">
        <v>2720247.4357094248</v>
      </c>
      <c r="Y97" s="766">
        <v>2730336.8921788437</v>
      </c>
      <c r="Z97" s="766">
        <v>2741428.0124211079</v>
      </c>
      <c r="AA97" s="766">
        <v>2752519.1326633729</v>
      </c>
      <c r="AB97" s="766">
        <v>2775952.6087589604</v>
      </c>
      <c r="AC97" s="767">
        <v>2799386.0848545479</v>
      </c>
      <c r="AD97" s="751">
        <f t="shared" si="57"/>
        <v>1.320890721205805</v>
      </c>
      <c r="AE97" s="765">
        <f t="shared" si="79"/>
        <v>3489082.1515215435</v>
      </c>
      <c r="AF97" s="766">
        <f t="shared" si="80"/>
        <v>3579822.5277799983</v>
      </c>
      <c r="AG97" s="766">
        <f t="shared" si="81"/>
        <v>3593149.5972124636</v>
      </c>
      <c r="AH97" s="766">
        <f t="shared" si="82"/>
        <v>3606476.666644929</v>
      </c>
      <c r="AI97" s="766">
        <f t="shared" si="83"/>
        <v>3621126.8244607137</v>
      </c>
      <c r="AJ97" s="766">
        <f t="shared" si="84"/>
        <v>3635776.9822764993</v>
      </c>
      <c r="AK97" s="766">
        <f t="shared" si="85"/>
        <v>3666730.043416759</v>
      </c>
      <c r="AL97" s="767">
        <f t="shared" si="86"/>
        <v>3697683.1045570183</v>
      </c>
    </row>
    <row r="98" spans="2:38" x14ac:dyDescent="0.25">
      <c r="G98" s="744">
        <v>2020</v>
      </c>
      <c r="R98" s="322" t="str">
        <f t="shared" si="78"/>
        <v>Bus</v>
      </c>
      <c r="S98" s="337" t="s">
        <v>692</v>
      </c>
      <c r="T98" s="747">
        <f t="shared" si="67"/>
        <v>5000000</v>
      </c>
      <c r="U98" s="758">
        <f t="shared" si="56"/>
        <v>4474778.1597249983</v>
      </c>
      <c r="V98" s="765">
        <v>4768239.6435325667</v>
      </c>
      <c r="W98" s="766">
        <v>3635729.2317425008</v>
      </c>
      <c r="X98" s="766">
        <v>3447769.0113726826</v>
      </c>
      <c r="Y98" s="766">
        <v>3259808.7910028636</v>
      </c>
      <c r="Z98" s="766">
        <v>3281975.7365715932</v>
      </c>
      <c r="AA98" s="766">
        <v>3304142.6821403229</v>
      </c>
      <c r="AB98" s="766">
        <v>3325180.0884120665</v>
      </c>
      <c r="AC98" s="767">
        <v>3346217.49468381</v>
      </c>
      <c r="AD98" s="751">
        <f t="shared" si="57"/>
        <v>1.2307787171434561</v>
      </c>
      <c r="AE98" s="765">
        <f t="shared" si="79"/>
        <v>5868647.8714995831</v>
      </c>
      <c r="AF98" s="766">
        <f t="shared" si="80"/>
        <v>4474778.1597249983</v>
      </c>
      <c r="AG98" s="766">
        <f t="shared" si="81"/>
        <v>4243440.7208242323</v>
      </c>
      <c r="AH98" s="766">
        <f t="shared" si="82"/>
        <v>4012103.281923465</v>
      </c>
      <c r="AI98" s="766">
        <f t="shared" si="83"/>
        <v>4039385.8867535349</v>
      </c>
      <c r="AJ98" s="766">
        <f t="shared" si="84"/>
        <v>4066668.4915836048</v>
      </c>
      <c r="AK98" s="766">
        <f t="shared" si="85"/>
        <v>4092560.8834867673</v>
      </c>
      <c r="AL98" s="767">
        <f t="shared" si="86"/>
        <v>4118453.2753899293</v>
      </c>
    </row>
    <row r="99" spans="2:38" x14ac:dyDescent="0.25">
      <c r="G99" s="744" t="s">
        <v>1301</v>
      </c>
      <c r="R99" s="322" t="str">
        <f t="shared" si="78"/>
        <v>Bus</v>
      </c>
      <c r="S99" s="337" t="s">
        <v>699</v>
      </c>
      <c r="T99" s="747">
        <f t="shared" si="67"/>
        <v>15000000</v>
      </c>
      <c r="U99" s="758">
        <f t="shared" ref="U99:U101" si="87">$D$24/$D$23*T99</f>
        <v>13424334.479174994</v>
      </c>
      <c r="V99" s="765">
        <v>6296317.3270356311</v>
      </c>
      <c r="W99" s="766">
        <v>3689559.6792311268</v>
      </c>
      <c r="X99" s="766">
        <v>3288765.9792292048</v>
      </c>
      <c r="Y99" s="766">
        <v>2887972.2792272815</v>
      </c>
      <c r="Z99" s="766">
        <v>2842515.1832835502</v>
      </c>
      <c r="AA99" s="766">
        <v>2797058.087339818</v>
      </c>
      <c r="AB99" s="766">
        <v>2791553.3982090442</v>
      </c>
      <c r="AC99" s="767">
        <v>2786048.7090782705</v>
      </c>
      <c r="AD99" s="751">
        <f t="shared" si="57"/>
        <v>3.6384651953841041</v>
      </c>
      <c r="AE99" s="765">
        <f t="shared" si="79"/>
        <v>22908931.453513019</v>
      </c>
      <c r="AF99" s="766">
        <f t="shared" si="80"/>
        <v>13424334.479174994</v>
      </c>
      <c r="AG99" s="766">
        <f t="shared" si="81"/>
        <v>11966060.551188784</v>
      </c>
      <c r="AH99" s="766">
        <f t="shared" si="82"/>
        <v>10507786.623202566</v>
      </c>
      <c r="AI99" s="766">
        <f t="shared" si="83"/>
        <v>10342392.561728064</v>
      </c>
      <c r="AJ99" s="766">
        <f t="shared" si="84"/>
        <v>10176998.50025356</v>
      </c>
      <c r="AK99" s="766">
        <f t="shared" si="85"/>
        <v>10156969.880439829</v>
      </c>
      <c r="AL99" s="767">
        <f t="shared" si="86"/>
        <v>10136941.2606261</v>
      </c>
    </row>
    <row r="100" spans="2:38" x14ac:dyDescent="0.25">
      <c r="B100" s="744" t="s">
        <v>747</v>
      </c>
      <c r="C100" s="744" t="s">
        <v>687</v>
      </c>
      <c r="D100" s="750">
        <v>1300000</v>
      </c>
      <c r="G100" s="744">
        <v>1729683.6457722846</v>
      </c>
      <c r="R100" s="322" t="str">
        <f t="shared" si="78"/>
        <v>Bus</v>
      </c>
      <c r="S100" s="337" t="s">
        <v>827</v>
      </c>
      <c r="T100" s="747">
        <f t="shared" si="67"/>
        <v>6959717.7237893539</v>
      </c>
      <c r="U100" s="758">
        <f t="shared" si="87"/>
        <v>6228638.5736527154</v>
      </c>
      <c r="V100" s="765">
        <v>2695816.9798145522</v>
      </c>
      <c r="W100" s="766">
        <v>2769263.9792806837</v>
      </c>
      <c r="X100" s="766">
        <v>2798446.5773164597</v>
      </c>
      <c r="Y100" s="766">
        <v>2827629.1753522358</v>
      </c>
      <c r="Z100" s="766">
        <v>2850356.1751044323</v>
      </c>
      <c r="AA100" s="766">
        <v>2873083.1748566288</v>
      </c>
      <c r="AB100" s="766">
        <v>2902681.9370413837</v>
      </c>
      <c r="AC100" s="767">
        <v>2932280.6992261386</v>
      </c>
      <c r="AD100" s="751">
        <f t="shared" si="57"/>
        <v>2.2492036224262755</v>
      </c>
      <c r="AE100" s="765">
        <f t="shared" si="79"/>
        <v>6063441.3163971528</v>
      </c>
      <c r="AF100" s="766">
        <f t="shared" si="80"/>
        <v>6228638.5736527164</v>
      </c>
      <c r="AG100" s="766">
        <f t="shared" si="81"/>
        <v>6294276.1788665932</v>
      </c>
      <c r="AH100" s="766">
        <f t="shared" si="82"/>
        <v>6359913.7840804709</v>
      </c>
      <c r="AI100" s="766">
        <f t="shared" si="83"/>
        <v>6411031.4342499925</v>
      </c>
      <c r="AJ100" s="766">
        <f t="shared" si="84"/>
        <v>6462149.0844195141</v>
      </c>
      <c r="AK100" s="766">
        <f t="shared" si="85"/>
        <v>6528722.7275447985</v>
      </c>
      <c r="AL100" s="767">
        <f t="shared" si="86"/>
        <v>6595296.370670083</v>
      </c>
    </row>
    <row r="101" spans="2:38" x14ac:dyDescent="0.25">
      <c r="B101" s="744" t="s">
        <v>747</v>
      </c>
      <c r="C101" s="744" t="s">
        <v>829</v>
      </c>
      <c r="D101" s="750">
        <f t="shared" ref="D101:D107" si="88">G101/G89*D89</f>
        <v>0</v>
      </c>
      <c r="G101" s="744">
        <v>1881307.4022600672</v>
      </c>
      <c r="R101" s="322" t="str">
        <f t="shared" si="78"/>
        <v>Bus</v>
      </c>
      <c r="S101" s="337" t="s">
        <v>700</v>
      </c>
      <c r="T101" s="747">
        <f t="shared" si="67"/>
        <v>7167187.3351558838</v>
      </c>
      <c r="U101" s="758">
        <f t="shared" si="87"/>
        <v>6414314.6708026314</v>
      </c>
      <c r="V101" s="765">
        <v>2642700.4378444701</v>
      </c>
      <c r="W101" s="766">
        <v>2721902.5560658015</v>
      </c>
      <c r="X101" s="766">
        <v>2750502.7102799211</v>
      </c>
      <c r="Y101" s="766">
        <v>2779102.8644940415</v>
      </c>
      <c r="Z101" s="766">
        <v>2802275.2782397773</v>
      </c>
      <c r="AA101" s="766">
        <v>2825447.6919855122</v>
      </c>
      <c r="AB101" s="766">
        <v>2855254.6164271832</v>
      </c>
      <c r="AC101" s="767">
        <v>2885061.5408688537</v>
      </c>
      <c r="AD101" s="751">
        <f t="shared" si="57"/>
        <v>2.356555585176344</v>
      </c>
      <c r="AE101" s="765">
        <f t="shared" si="79"/>
        <v>6227670.4767503561</v>
      </c>
      <c r="AF101" s="766">
        <f t="shared" si="80"/>
        <v>6414314.6708026314</v>
      </c>
      <c r="AG101" s="766">
        <f t="shared" si="81"/>
        <v>6481712.5239528194</v>
      </c>
      <c r="AH101" s="766">
        <f t="shared" si="82"/>
        <v>6549110.3771030102</v>
      </c>
      <c r="AI101" s="766">
        <f t="shared" si="83"/>
        <v>6603717.4581375411</v>
      </c>
      <c r="AJ101" s="766">
        <f t="shared" si="84"/>
        <v>6658324.5391720692</v>
      </c>
      <c r="AK101" s="766">
        <f t="shared" si="85"/>
        <v>6728566.2134420183</v>
      </c>
      <c r="AL101" s="767">
        <f t="shared" si="86"/>
        <v>6798807.8877119664</v>
      </c>
    </row>
    <row r="102" spans="2:38" x14ac:dyDescent="0.25">
      <c r="B102" s="744" t="s">
        <v>747</v>
      </c>
      <c r="C102" s="744" t="s">
        <v>828</v>
      </c>
      <c r="D102" s="750">
        <f t="shared" si="88"/>
        <v>0</v>
      </c>
      <c r="G102" s="744">
        <v>1830898.431238617</v>
      </c>
      <c r="T102" s="747"/>
      <c r="U102" s="758"/>
    </row>
    <row r="103" spans="2:38" x14ac:dyDescent="0.25">
      <c r="B103" s="744" t="s">
        <v>747</v>
      </c>
      <c r="C103" s="744" t="s">
        <v>689</v>
      </c>
      <c r="D103" s="921">
        <v>1900000</v>
      </c>
      <c r="E103" s="924"/>
      <c r="G103" s="744">
        <v>1896564.6673059126</v>
      </c>
    </row>
    <row r="104" spans="2:38" x14ac:dyDescent="0.25">
      <c r="B104" s="744" t="s">
        <v>747</v>
      </c>
      <c r="C104" s="744" t="s">
        <v>692</v>
      </c>
      <c r="D104" s="921">
        <v>3000000</v>
      </c>
      <c r="E104" s="924"/>
    </row>
    <row r="105" spans="2:38" x14ac:dyDescent="0.25">
      <c r="B105" s="744" t="s">
        <v>747</v>
      </c>
      <c r="C105" s="744" t="s">
        <v>699</v>
      </c>
      <c r="D105" s="921">
        <v>4000000</v>
      </c>
      <c r="E105" s="924"/>
      <c r="G105" s="744">
        <v>3916456.1540345564</v>
      </c>
    </row>
    <row r="106" spans="2:38" x14ac:dyDescent="0.25">
      <c r="B106" s="744" t="s">
        <v>747</v>
      </c>
      <c r="C106" s="744" t="s">
        <v>827</v>
      </c>
      <c r="D106" s="921">
        <v>4000000</v>
      </c>
      <c r="E106" s="924"/>
      <c r="G106" s="744">
        <v>2108333.6144666532</v>
      </c>
    </row>
    <row r="107" spans="2:38" x14ac:dyDescent="0.25">
      <c r="B107" s="744" t="s">
        <v>747</v>
      </c>
      <c r="C107" s="744" t="s">
        <v>700</v>
      </c>
      <c r="D107" s="750">
        <f t="shared" si="88"/>
        <v>5281989.1903442871</v>
      </c>
      <c r="G107" s="744">
        <v>2005955.6428487513</v>
      </c>
    </row>
    <row r="108" spans="2:38" x14ac:dyDescent="0.25">
      <c r="D108" s="756"/>
    </row>
    <row r="109" spans="2:38" x14ac:dyDescent="0.25">
      <c r="D109" s="756"/>
    </row>
    <row r="110" spans="2:38" x14ac:dyDescent="0.25">
      <c r="B110" s="744" t="s">
        <v>733</v>
      </c>
      <c r="C110" s="744" t="s">
        <v>733</v>
      </c>
      <c r="D110" s="756"/>
      <c r="G110" s="744">
        <v>2020</v>
      </c>
    </row>
    <row r="111" spans="2:38" x14ac:dyDescent="0.25">
      <c r="B111" s="744" t="s">
        <v>733</v>
      </c>
      <c r="C111" s="744" t="s">
        <v>791</v>
      </c>
      <c r="D111" s="756"/>
      <c r="G111" s="744" t="s">
        <v>1301</v>
      </c>
    </row>
    <row r="112" spans="2:38" x14ac:dyDescent="0.25">
      <c r="B112" s="744" t="s">
        <v>733</v>
      </c>
      <c r="C112" s="744" t="s">
        <v>687</v>
      </c>
      <c r="D112" s="750">
        <v>1300000</v>
      </c>
      <c r="G112" s="744">
        <v>1383611.7088645061</v>
      </c>
    </row>
    <row r="113" spans="2:7" x14ac:dyDescent="0.25">
      <c r="B113" s="744" t="s">
        <v>733</v>
      </c>
      <c r="C113" s="744" t="s">
        <v>829</v>
      </c>
      <c r="D113" s="750">
        <f t="shared" ref="D113:D119" si="89">G113/G89*D89</f>
        <v>0</v>
      </c>
      <c r="G113" s="744">
        <v>1554634.2240061136</v>
      </c>
    </row>
    <row r="114" spans="2:7" x14ac:dyDescent="0.25">
      <c r="B114" s="744" t="s">
        <v>733</v>
      </c>
      <c r="C114" s="744" t="s">
        <v>828</v>
      </c>
      <c r="D114" s="750">
        <f t="shared" si="89"/>
        <v>0</v>
      </c>
      <c r="G114" s="744">
        <v>1491260.0402134496</v>
      </c>
    </row>
    <row r="115" spans="2:7" x14ac:dyDescent="0.25">
      <c r="B115" s="744" t="s">
        <v>733</v>
      </c>
      <c r="C115" s="744" t="s">
        <v>689</v>
      </c>
      <c r="D115" s="921">
        <v>1900000</v>
      </c>
      <c r="E115" s="924"/>
      <c r="G115" s="744">
        <v>1502505.4928576599</v>
      </c>
    </row>
    <row r="116" spans="2:7" x14ac:dyDescent="0.25">
      <c r="B116" s="744" t="s">
        <v>733</v>
      </c>
      <c r="C116" s="744" t="s">
        <v>692</v>
      </c>
      <c r="D116" s="921">
        <v>3000000</v>
      </c>
      <c r="E116" s="924"/>
    </row>
    <row r="117" spans="2:7" x14ac:dyDescent="0.25">
      <c r="B117" s="744" t="s">
        <v>733</v>
      </c>
      <c r="C117" s="744" t="s">
        <v>699</v>
      </c>
      <c r="D117" s="921">
        <v>4000000</v>
      </c>
      <c r="E117" s="924"/>
      <c r="G117" s="744">
        <v>2830881.8939991225</v>
      </c>
    </row>
    <row r="118" spans="2:7" x14ac:dyDescent="0.25">
      <c r="B118" s="744" t="s">
        <v>733</v>
      </c>
      <c r="C118" s="744" t="s">
        <v>827</v>
      </c>
      <c r="D118" s="921">
        <v>4000000</v>
      </c>
      <c r="E118" s="924"/>
      <c r="G118" s="744">
        <v>1732356.5987769766</v>
      </c>
    </row>
    <row r="119" spans="2:7" x14ac:dyDescent="0.25">
      <c r="B119" s="744" t="s">
        <v>733</v>
      </c>
      <c r="C119" s="744" t="s">
        <v>700</v>
      </c>
      <c r="D119" s="750">
        <f t="shared" si="89"/>
        <v>4383833.832881134</v>
      </c>
      <c r="G119" s="744">
        <v>1664860.6987788989</v>
      </c>
    </row>
    <row r="120" spans="2:7" x14ac:dyDescent="0.25">
      <c r="B120" s="744" t="s">
        <v>733</v>
      </c>
      <c r="D120" s="756"/>
    </row>
    <row r="121" spans="2:7" x14ac:dyDescent="0.25">
      <c r="B121" s="744" t="s">
        <v>733</v>
      </c>
      <c r="C121" s="744" t="s">
        <v>832</v>
      </c>
      <c r="D121" s="756"/>
    </row>
    <row r="122" spans="2:7" x14ac:dyDescent="0.25">
      <c r="B122" s="744" t="s">
        <v>60</v>
      </c>
      <c r="C122" s="744" t="s">
        <v>60</v>
      </c>
      <c r="D122" s="756"/>
      <c r="G122" s="744">
        <v>2020</v>
      </c>
    </row>
    <row r="123" spans="2:7" x14ac:dyDescent="0.25">
      <c r="B123" s="744" t="s">
        <v>60</v>
      </c>
      <c r="C123" s="744" t="s">
        <v>791</v>
      </c>
      <c r="D123" s="756"/>
      <c r="G123" s="744" t="s">
        <v>1301</v>
      </c>
    </row>
    <row r="124" spans="2:7" x14ac:dyDescent="0.25">
      <c r="B124" s="744" t="s">
        <v>60</v>
      </c>
      <c r="C124" s="744" t="s">
        <v>687</v>
      </c>
      <c r="D124" s="921">
        <v>2200000</v>
      </c>
      <c r="E124" s="924"/>
      <c r="G124" s="744">
        <v>2567125.8296431107</v>
      </c>
    </row>
    <row r="125" spans="2:7" x14ac:dyDescent="0.25">
      <c r="B125" s="744" t="s">
        <v>60</v>
      </c>
      <c r="C125" s="744" t="s">
        <v>829</v>
      </c>
      <c r="D125" s="921">
        <f t="shared" ref="D125:D131" si="90">G125/G89*D89</f>
        <v>0</v>
      </c>
      <c r="E125" s="924"/>
      <c r="G125" s="744">
        <v>2720742.9699179786</v>
      </c>
    </row>
    <row r="126" spans="2:7" x14ac:dyDescent="0.25">
      <c r="B126" s="744" t="s">
        <v>60</v>
      </c>
      <c r="C126" s="744" t="s">
        <v>828</v>
      </c>
      <c r="D126" s="921">
        <f t="shared" si="90"/>
        <v>0</v>
      </c>
      <c r="E126" s="924"/>
      <c r="G126" s="744">
        <v>2670939.3077800749</v>
      </c>
    </row>
    <row r="127" spans="2:7" x14ac:dyDescent="0.25">
      <c r="B127" s="744" t="s">
        <v>60</v>
      </c>
      <c r="C127" s="744" t="s">
        <v>689</v>
      </c>
      <c r="D127" s="921">
        <v>4000000</v>
      </c>
      <c r="E127" s="924"/>
      <c r="G127" s="744">
        <v>2710157.9792400058</v>
      </c>
    </row>
    <row r="128" spans="2:7" x14ac:dyDescent="0.25">
      <c r="B128" s="744" t="s">
        <v>60</v>
      </c>
      <c r="C128" s="744" t="s">
        <v>692</v>
      </c>
      <c r="D128" s="927">
        <v>5000000</v>
      </c>
      <c r="E128" s="924"/>
      <c r="G128" s="744">
        <v>3635729.2317425008</v>
      </c>
    </row>
    <row r="129" spans="2:7" x14ac:dyDescent="0.25">
      <c r="B129" s="744" t="s">
        <v>60</v>
      </c>
      <c r="C129" s="744" t="s">
        <v>699</v>
      </c>
      <c r="D129" s="927">
        <v>15000000</v>
      </c>
      <c r="E129" s="924"/>
      <c r="G129" s="744">
        <v>3689559.6792311268</v>
      </c>
    </row>
    <row r="130" spans="2:7" x14ac:dyDescent="0.25">
      <c r="B130" s="744" t="s">
        <v>60</v>
      </c>
      <c r="C130" s="744" t="s">
        <v>827</v>
      </c>
      <c r="D130" s="921">
        <f t="shared" si="90"/>
        <v>6959717.7237893539</v>
      </c>
      <c r="E130" s="924"/>
      <c r="G130" s="744">
        <v>2769263.9792806837</v>
      </c>
    </row>
    <row r="131" spans="2:7" x14ac:dyDescent="0.25">
      <c r="B131" s="744" t="s">
        <v>60</v>
      </c>
      <c r="C131" s="744" t="s">
        <v>700</v>
      </c>
      <c r="D131" s="921">
        <f t="shared" si="90"/>
        <v>7167187.3351558838</v>
      </c>
      <c r="E131" s="924"/>
      <c r="G131" s="744">
        <v>2721902.5560658015</v>
      </c>
    </row>
  </sheetData>
  <phoneticPr fontId="126"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workbookViewId="0"/>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 update'!L3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workbookViewId="0"/>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7">
        <f t="shared" ref="K6:R18" si="5">C6*$B$2*$K$3</f>
        <v>320262.66919658618</v>
      </c>
      <c r="L6" s="728">
        <f t="shared" si="5"/>
        <v>346795.75846684008</v>
      </c>
      <c r="M6" s="728">
        <f t="shared" si="5"/>
        <v>352701.48057385266</v>
      </c>
      <c r="N6" s="728">
        <f t="shared" si="5"/>
        <v>358607.20268086524</v>
      </c>
      <c r="O6" s="728">
        <f t="shared" si="5"/>
        <v>362536.77263877826</v>
      </c>
      <c r="P6" s="728">
        <f t="shared" si="5"/>
        <v>366466.34259669122</v>
      </c>
      <c r="Q6" s="728">
        <f t="shared" si="5"/>
        <v>368757.27234685927</v>
      </c>
      <c r="R6" s="729">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30">
        <f t="shared" si="5"/>
        <v>330565.03764846618</v>
      </c>
      <c r="L7" s="731">
        <f t="shared" si="5"/>
        <v>362874.06927397067</v>
      </c>
      <c r="M7" s="731">
        <f t="shared" si="5"/>
        <v>368516.17150263488</v>
      </c>
      <c r="N7" s="731">
        <f t="shared" si="5"/>
        <v>374158.27373129909</v>
      </c>
      <c r="O7" s="731">
        <f t="shared" si="5"/>
        <v>378274.98804105673</v>
      </c>
      <c r="P7" s="731">
        <f t="shared" si="5"/>
        <v>382391.70235081442</v>
      </c>
      <c r="Q7" s="731">
        <f t="shared" si="5"/>
        <v>384737.65217329492</v>
      </c>
      <c r="R7" s="732">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30">
        <f t="shared" si="5"/>
        <v>394510.70272290101</v>
      </c>
      <c r="L8" s="731">
        <f t="shared" si="5"/>
        <v>374543.90974527999</v>
      </c>
      <c r="M8" s="731">
        <f t="shared" si="5"/>
        <v>371312.21028277103</v>
      </c>
      <c r="N8" s="731">
        <f t="shared" si="5"/>
        <v>368080.51082026208</v>
      </c>
      <c r="O8" s="731">
        <f t="shared" si="5"/>
        <v>368595.17976320512</v>
      </c>
      <c r="P8" s="731">
        <f t="shared" si="5"/>
        <v>369109.84870614816</v>
      </c>
      <c r="Q8" s="731">
        <f t="shared" si="5"/>
        <v>369271.49063353211</v>
      </c>
      <c r="R8" s="732">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30">
        <f t="shared" si="5"/>
        <v>395481.43398802093</v>
      </c>
      <c r="L9" s="731">
        <f t="shared" si="5"/>
        <v>386013.68604714214</v>
      </c>
      <c r="M9" s="731">
        <f t="shared" si="5"/>
        <v>382958.30177482724</v>
      </c>
      <c r="N9" s="731">
        <f t="shared" si="5"/>
        <v>379902.91750251234</v>
      </c>
      <c r="O9" s="731">
        <f t="shared" si="5"/>
        <v>380663.70247783005</v>
      </c>
      <c r="P9" s="731">
        <f t="shared" si="5"/>
        <v>381424.48745314771</v>
      </c>
      <c r="Q9" s="731">
        <f t="shared" si="5"/>
        <v>381675.02828246955</v>
      </c>
      <c r="R9" s="732">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30">
        <f t="shared" si="5"/>
        <v>526171.82631130482</v>
      </c>
      <c r="L10" s="731">
        <f t="shared" si="5"/>
        <v>427333.54114544444</v>
      </c>
      <c r="M10" s="731">
        <f t="shared" si="5"/>
        <v>414093.61090799741</v>
      </c>
      <c r="N10" s="731">
        <f t="shared" si="5"/>
        <v>400853.68067055038</v>
      </c>
      <c r="O10" s="731">
        <f t="shared" si="5"/>
        <v>399527.55714761006</v>
      </c>
      <c r="P10" s="731">
        <f t="shared" si="5"/>
        <v>398201.43362466968</v>
      </c>
      <c r="Q10" s="731">
        <f t="shared" si="5"/>
        <v>396667.52129939443</v>
      </c>
      <c r="R10" s="732">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30">
        <f t="shared" si="5"/>
        <v>532428.30225914449</v>
      </c>
      <c r="L11" s="731">
        <f t="shared" si="5"/>
        <v>440029.45085484016</v>
      </c>
      <c r="M11" s="731">
        <f t="shared" si="5"/>
        <v>426660.11179427273</v>
      </c>
      <c r="N11" s="731">
        <f t="shared" si="5"/>
        <v>413290.77273370523</v>
      </c>
      <c r="O11" s="731">
        <f t="shared" si="5"/>
        <v>412151.79356260953</v>
      </c>
      <c r="P11" s="731">
        <f t="shared" si="5"/>
        <v>411012.81439151382</v>
      </c>
      <c r="Q11" s="731">
        <f t="shared" si="5"/>
        <v>409533.92213855108</v>
      </c>
      <c r="R11" s="732">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30">
        <f t="shared" si="5"/>
        <v>706853.58881499863</v>
      </c>
      <c r="L12" s="731">
        <f t="shared" si="5"/>
        <v>487918.3911366309</v>
      </c>
      <c r="M12" s="731">
        <f t="shared" si="5"/>
        <v>459639.29374443309</v>
      </c>
      <c r="N12" s="731">
        <f t="shared" si="5"/>
        <v>431360.19635223533</v>
      </c>
      <c r="O12" s="731">
        <f t="shared" si="5"/>
        <v>428119.37781269115</v>
      </c>
      <c r="P12" s="731">
        <f t="shared" si="5"/>
        <v>424878.55927314708</v>
      </c>
      <c r="Q12" s="731">
        <f t="shared" si="5"/>
        <v>421601.55996549304</v>
      </c>
      <c r="R12" s="732">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30">
        <f t="shared" si="5"/>
        <v>706989.87665374181</v>
      </c>
      <c r="L13" s="731">
        <f t="shared" si="5"/>
        <v>495608.70952664141</v>
      </c>
      <c r="M13" s="731">
        <f t="shared" si="5"/>
        <v>467425.66397272615</v>
      </c>
      <c r="N13" s="731">
        <f t="shared" si="5"/>
        <v>439242.61841881095</v>
      </c>
      <c r="O13" s="731">
        <f t="shared" si="5"/>
        <v>436188.94423111144</v>
      </c>
      <c r="P13" s="731">
        <f t="shared" si="5"/>
        <v>433135.27004341205</v>
      </c>
      <c r="Q13" s="731">
        <f t="shared" si="5"/>
        <v>429913.29080807028</v>
      </c>
      <c r="R13" s="732">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30">
        <f t="shared" si="5"/>
        <v>822704.66197061795</v>
      </c>
      <c r="L14" s="731">
        <f t="shared" si="5"/>
        <v>558548.57595396275</v>
      </c>
      <c r="M14" s="731">
        <f t="shared" si="5"/>
        <v>510538.78588041413</v>
      </c>
      <c r="N14" s="731">
        <f t="shared" si="5"/>
        <v>462528.99580686545</v>
      </c>
      <c r="O14" s="731">
        <f t="shared" si="5"/>
        <v>465643.43099478865</v>
      </c>
      <c r="P14" s="731">
        <f t="shared" si="5"/>
        <v>468757.86618271179</v>
      </c>
      <c r="Q14" s="731">
        <f t="shared" si="5"/>
        <v>470350.94411613682</v>
      </c>
      <c r="R14" s="732">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30">
        <f t="shared" si="5"/>
        <v>2484175.8049663589</v>
      </c>
      <c r="L15" s="731">
        <f t="shared" si="5"/>
        <v>982112.7518947263</v>
      </c>
      <c r="M15" s="731">
        <f t="shared" si="5"/>
        <v>749223.93872757931</v>
      </c>
      <c r="N15" s="731">
        <f t="shared" si="5"/>
        <v>516335.12556043221</v>
      </c>
      <c r="O15" s="731">
        <f t="shared" si="5"/>
        <v>488716.56129250687</v>
      </c>
      <c r="P15" s="731">
        <f t="shared" si="5"/>
        <v>461097.99702458159</v>
      </c>
      <c r="Q15" s="731">
        <f t="shared" si="5"/>
        <v>454114.11403926561</v>
      </c>
      <c r="R15" s="732">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30">
        <f t="shared" si="5"/>
        <v>2631614.9920631466</v>
      </c>
      <c r="L16" s="731">
        <f t="shared" si="5"/>
        <v>1040715.6985942443</v>
      </c>
      <c r="M16" s="731">
        <f t="shared" si="5"/>
        <v>797544.7354478729</v>
      </c>
      <c r="N16" s="731">
        <f t="shared" si="5"/>
        <v>554373.77230150148</v>
      </c>
      <c r="O16" s="731">
        <f t="shared" si="5"/>
        <v>525072.61435889918</v>
      </c>
      <c r="P16" s="731">
        <f t="shared" si="5"/>
        <v>495771.45641629689</v>
      </c>
      <c r="Q16" s="731">
        <f t="shared" si="5"/>
        <v>487246.68369685335</v>
      </c>
      <c r="R16" s="732">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30">
        <f t="shared" si="5"/>
        <v>1813155.306207042</v>
      </c>
      <c r="L17" s="731">
        <f t="shared" si="5"/>
        <v>797976.63279271475</v>
      </c>
      <c r="M17" s="731">
        <f t="shared" si="5"/>
        <v>649257.67906194751</v>
      </c>
      <c r="N17" s="731">
        <f t="shared" si="5"/>
        <v>500538.72533118032</v>
      </c>
      <c r="O17" s="731">
        <f t="shared" si="5"/>
        <v>482558.39640777424</v>
      </c>
      <c r="P17" s="731">
        <f t="shared" si="5"/>
        <v>464578.0674843684</v>
      </c>
      <c r="Q17" s="731">
        <f t="shared" si="5"/>
        <v>457318.28142704588</v>
      </c>
      <c r="R17" s="732">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30">
        <f t="shared" si="5"/>
        <v>347145.65248339355</v>
      </c>
      <c r="L18" s="731">
        <f t="shared" si="5"/>
        <v>365503.62501818576</v>
      </c>
      <c r="M18" s="731">
        <f t="shared" si="5"/>
        <v>369197.8959029917</v>
      </c>
      <c r="N18" s="731">
        <f t="shared" si="5"/>
        <v>372892.16678779764</v>
      </c>
      <c r="O18" s="731">
        <f t="shared" si="5"/>
        <v>375736.74937961187</v>
      </c>
      <c r="P18" s="731">
        <f t="shared" si="5"/>
        <v>378581.33197142603</v>
      </c>
      <c r="Q18" s="731">
        <f t="shared" si="5"/>
        <v>380157.85098815529</v>
      </c>
      <c r="R18" s="732">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3"/>
      <c r="L19" s="457"/>
      <c r="M19" s="457"/>
      <c r="N19" s="457"/>
      <c r="O19" s="457"/>
      <c r="P19" s="457"/>
      <c r="Q19" s="457"/>
      <c r="R19" s="734"/>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3"/>
      <c r="L20" s="457"/>
      <c r="M20" s="457"/>
      <c r="N20" s="457"/>
      <c r="O20" s="457"/>
      <c r="P20" s="457"/>
      <c r="Q20" s="457"/>
      <c r="R20" s="734"/>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5">
        <f>C21</f>
        <v>2010</v>
      </c>
      <c r="L21" s="353">
        <f>D21</f>
        <v>2020</v>
      </c>
      <c r="M21" s="353"/>
      <c r="N21" s="353">
        <f>F21</f>
        <v>2030</v>
      </c>
      <c r="O21" s="353"/>
      <c r="P21" s="353">
        <f>H21</f>
        <v>2040</v>
      </c>
      <c r="Q21" s="353"/>
      <c r="R21" s="736">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7" t="str">
        <f>zar.base&amp;"ZAR"</f>
        <v>2015ZAR</v>
      </c>
      <c r="L22" s="322" t="str">
        <f>zar.base&amp;"ZAR"</f>
        <v>2015ZAR</v>
      </c>
      <c r="N22" s="322" t="str">
        <f>zar.base&amp;"ZAR"</f>
        <v>2015ZAR</v>
      </c>
      <c r="P22" s="322" t="str">
        <f>zar.base&amp;"ZAR"</f>
        <v>2015ZAR</v>
      </c>
      <c r="R22" s="738" t="str">
        <f>zar.base&amp;"ZAR"</f>
        <v>2015ZAR</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30">
        <f t="shared" ref="K23:R26" si="10">C23*$B$2*$K$3</f>
        <v>140996.2012610439</v>
      </c>
      <c r="L23" s="731">
        <f t="shared" si="10"/>
        <v>147551.34270646883</v>
      </c>
      <c r="M23" s="731">
        <f t="shared" si="10"/>
        <v>149612.56096433167</v>
      </c>
      <c r="N23" s="731">
        <f t="shared" si="10"/>
        <v>151673.77922219451</v>
      </c>
      <c r="O23" s="731">
        <f t="shared" si="10"/>
        <v>154018.3082464562</v>
      </c>
      <c r="P23" s="731">
        <f t="shared" si="10"/>
        <v>156362.83727071786</v>
      </c>
      <c r="Q23" s="731">
        <f t="shared" si="10"/>
        <v>157446.64112516472</v>
      </c>
      <c r="R23" s="732">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30">
        <f t="shared" si="10"/>
        <v>174409.83751082345</v>
      </c>
      <c r="L24" s="731">
        <f t="shared" si="10"/>
        <v>159379.68232781059</v>
      </c>
      <c r="M24" s="731">
        <f t="shared" si="10"/>
        <v>156811.16859699812</v>
      </c>
      <c r="N24" s="731">
        <f t="shared" si="10"/>
        <v>154242.65486618562</v>
      </c>
      <c r="O24" s="731">
        <f t="shared" si="10"/>
        <v>154533.27622457623</v>
      </c>
      <c r="P24" s="731">
        <f t="shared" si="10"/>
        <v>154823.89758296681</v>
      </c>
      <c r="Q24" s="731">
        <f t="shared" si="10"/>
        <v>155381.98002998158</v>
      </c>
      <c r="R24" s="732">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30">
        <f t="shared" si="10"/>
        <v>227296.16263597918</v>
      </c>
      <c r="L25" s="731">
        <f t="shared" si="10"/>
        <v>181425.66913564043</v>
      </c>
      <c r="M25" s="731">
        <f t="shared" si="10"/>
        <v>171406.95012050911</v>
      </c>
      <c r="N25" s="731">
        <f t="shared" si="10"/>
        <v>161388.23110537775</v>
      </c>
      <c r="O25" s="731">
        <f t="shared" si="10"/>
        <v>163855.32831374026</v>
      </c>
      <c r="P25" s="731">
        <f t="shared" si="10"/>
        <v>166322.4255221028</v>
      </c>
      <c r="Q25" s="731">
        <f t="shared" si="10"/>
        <v>168760.32852405298</v>
      </c>
      <c r="R25" s="732">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30">
        <f t="shared" si="10"/>
        <v>1452431.4754462892</v>
      </c>
      <c r="L26" s="731">
        <f t="shared" si="10"/>
        <v>537952.03122821182</v>
      </c>
      <c r="M26" s="731">
        <f t="shared" si="10"/>
        <v>394604.24163485313</v>
      </c>
      <c r="N26" s="731">
        <f t="shared" si="10"/>
        <v>251256.45204149446</v>
      </c>
      <c r="O26" s="731">
        <f t="shared" si="10"/>
        <v>234442.3325583564</v>
      </c>
      <c r="P26" s="731">
        <f t="shared" si="10"/>
        <v>217628.21307521837</v>
      </c>
      <c r="Q26" s="731">
        <f t="shared" si="10"/>
        <v>214239.89532139804</v>
      </c>
      <c r="R26" s="732">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7"/>
      <c r="R27" s="738"/>
    </row>
    <row r="28" spans="1:45" x14ac:dyDescent="0.2">
      <c r="A28" s="322" t="str">
        <f t="shared" si="9"/>
        <v>Motorcycle or Moped</v>
      </c>
      <c r="B28" s="452" t="s">
        <v>832</v>
      </c>
      <c r="C28" s="456" t="s">
        <v>831</v>
      </c>
      <c r="D28" s="455">
        <v>0.08</v>
      </c>
      <c r="E28" s="454"/>
      <c r="K28" s="737"/>
      <c r="R28" s="738"/>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5">
        <f>C29</f>
        <v>2010</v>
      </c>
      <c r="L29" s="353">
        <f>D29</f>
        <v>2020</v>
      </c>
      <c r="M29" s="353"/>
      <c r="N29" s="353">
        <f>F29</f>
        <v>2030</v>
      </c>
      <c r="O29" s="353"/>
      <c r="P29" s="353">
        <f>H29</f>
        <v>2040</v>
      </c>
      <c r="Q29" s="353"/>
      <c r="R29" s="736">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7" t="str">
        <f>zar.base&amp;"ZAR"</f>
        <v>2015ZAR</v>
      </c>
      <c r="L30" s="322" t="str">
        <f>zar.base&amp;"ZAR"</f>
        <v>2015ZAR</v>
      </c>
      <c r="N30" s="322" t="str">
        <f>zar.base&amp;"ZAR"</f>
        <v>2015ZAR</v>
      </c>
      <c r="P30" s="322" t="str">
        <f>zar.base&amp;"ZAR"</f>
        <v>2015ZAR</v>
      </c>
      <c r="R30" s="738" t="str">
        <f>zar.base&amp;"ZAR"</f>
        <v>2015ZAR</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30">
        <f t="shared" ref="K31:R43" si="16">C31*$B$2*$K$3</f>
        <v>256661.9753328345</v>
      </c>
      <c r="L31" s="731">
        <f t="shared" si="16"/>
        <v>279008.35302471276</v>
      </c>
      <c r="M31" s="731">
        <f t="shared" si="16"/>
        <v>284150.0701234903</v>
      </c>
      <c r="N31" s="731">
        <f t="shared" si="16"/>
        <v>289291.78722226777</v>
      </c>
      <c r="O31" s="731">
        <f t="shared" si="16"/>
        <v>295609.37144945067</v>
      </c>
      <c r="P31" s="731">
        <f t="shared" si="16"/>
        <v>301926.95567663357</v>
      </c>
      <c r="Q31" s="731">
        <f t="shared" si="16"/>
        <v>305092.2662489441</v>
      </c>
      <c r="R31" s="732">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30">
        <f t="shared" si="16"/>
        <v>273963.5068382945</v>
      </c>
      <c r="L32" s="731">
        <f t="shared" si="16"/>
        <v>302454.01055301359</v>
      </c>
      <c r="M32" s="731">
        <f t="shared" si="16"/>
        <v>307843.23555284203</v>
      </c>
      <c r="N32" s="731">
        <f t="shared" si="16"/>
        <v>313232.46055267047</v>
      </c>
      <c r="O32" s="731">
        <f t="shared" si="16"/>
        <v>319756.39835543133</v>
      </c>
      <c r="P32" s="731">
        <f t="shared" si="16"/>
        <v>326280.33615819225</v>
      </c>
      <c r="Q32" s="731">
        <f t="shared" si="16"/>
        <v>329483.28918391035</v>
      </c>
      <c r="R32" s="732">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30">
        <f t="shared" si="16"/>
        <v>312901.78233298892</v>
      </c>
      <c r="L33" s="731">
        <f t="shared" si="16"/>
        <v>304843.98823993577</v>
      </c>
      <c r="M33" s="731">
        <f t="shared" si="16"/>
        <v>302907.47306587646</v>
      </c>
      <c r="N33" s="731">
        <f t="shared" si="16"/>
        <v>300970.9578918172</v>
      </c>
      <c r="O33" s="731">
        <f t="shared" si="16"/>
        <v>303738.94959199568</v>
      </c>
      <c r="P33" s="731">
        <f t="shared" si="16"/>
        <v>306506.94129217422</v>
      </c>
      <c r="Q33" s="731">
        <f t="shared" si="16"/>
        <v>307629.24987310497</v>
      </c>
      <c r="R33" s="732">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30">
        <f t="shared" si="16"/>
        <v>331028.30930312449</v>
      </c>
      <c r="L34" s="731">
        <f t="shared" si="16"/>
        <v>326716.98101003445</v>
      </c>
      <c r="M34" s="731">
        <f t="shared" si="16"/>
        <v>324521.50162893633</v>
      </c>
      <c r="N34" s="731">
        <f t="shared" si="16"/>
        <v>322326.02224783826</v>
      </c>
      <c r="O34" s="731">
        <f t="shared" si="16"/>
        <v>325263.56979321735</v>
      </c>
      <c r="P34" s="731">
        <f t="shared" si="16"/>
        <v>328201.11733859644</v>
      </c>
      <c r="Q34" s="731">
        <f t="shared" si="16"/>
        <v>329321.81828075892</v>
      </c>
      <c r="R34" s="732">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30">
        <f t="shared" si="16"/>
        <v>391481.07154940313</v>
      </c>
      <c r="L35" s="731">
        <f t="shared" si="16"/>
        <v>339982.20467586158</v>
      </c>
      <c r="M35" s="731">
        <f t="shared" si="16"/>
        <v>331059.16492119117</v>
      </c>
      <c r="N35" s="731">
        <f t="shared" si="16"/>
        <v>322136.12516652065</v>
      </c>
      <c r="O35" s="731">
        <f t="shared" si="16"/>
        <v>323006.64147182775</v>
      </c>
      <c r="P35" s="731">
        <f t="shared" si="16"/>
        <v>323877.15777713485</v>
      </c>
      <c r="Q35" s="731">
        <f t="shared" si="16"/>
        <v>323593.37485257658</v>
      </c>
      <c r="R35" s="732">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30">
        <f t="shared" si="16"/>
        <v>407474.79468737578</v>
      </c>
      <c r="L36" s="731">
        <f t="shared" si="16"/>
        <v>360682.48912301363</v>
      </c>
      <c r="M36" s="731">
        <f t="shared" si="16"/>
        <v>351716.16664973373</v>
      </c>
      <c r="N36" s="731">
        <f t="shared" si="16"/>
        <v>342749.84417645383</v>
      </c>
      <c r="O36" s="731">
        <f t="shared" si="16"/>
        <v>343826.71405733895</v>
      </c>
      <c r="P36" s="731">
        <f t="shared" si="16"/>
        <v>344903.58393822401</v>
      </c>
      <c r="Q36" s="731">
        <f t="shared" si="16"/>
        <v>344657.44346707332</v>
      </c>
      <c r="R36" s="732">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30">
        <f t="shared" si="16"/>
        <v>496559.73718594579</v>
      </c>
      <c r="L37" s="731">
        <f t="shared" si="16"/>
        <v>378588.95630492171</v>
      </c>
      <c r="M37" s="731">
        <f t="shared" si="16"/>
        <v>360727.4622038473</v>
      </c>
      <c r="N37" s="731">
        <f t="shared" si="16"/>
        <v>342865.96810277284</v>
      </c>
      <c r="O37" s="731">
        <f t="shared" si="16"/>
        <v>342470.67215617938</v>
      </c>
      <c r="P37" s="731">
        <f t="shared" si="16"/>
        <v>342075.37620958587</v>
      </c>
      <c r="Q37" s="731">
        <f t="shared" si="16"/>
        <v>340639.12087968597</v>
      </c>
      <c r="R37" s="732">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30">
        <f t="shared" si="16"/>
        <v>511492.56089864328</v>
      </c>
      <c r="L38" s="731">
        <f t="shared" si="16"/>
        <v>395813.38161575678</v>
      </c>
      <c r="M38" s="731">
        <f t="shared" si="16"/>
        <v>377420.10669636662</v>
      </c>
      <c r="N38" s="731">
        <f t="shared" si="16"/>
        <v>359026.83177697641</v>
      </c>
      <c r="O38" s="731">
        <f t="shared" si="16"/>
        <v>358837.88940596086</v>
      </c>
      <c r="P38" s="731">
        <f t="shared" si="16"/>
        <v>358648.94703494536</v>
      </c>
      <c r="Q38" s="731">
        <f t="shared" si="16"/>
        <v>357250.33415845298</v>
      </c>
      <c r="R38" s="732">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30">
        <f t="shared" si="16"/>
        <v>687128.15488599741</v>
      </c>
      <c r="L39" s="731">
        <f t="shared" si="16"/>
        <v>469949.59053506178</v>
      </c>
      <c r="M39" s="731">
        <f t="shared" si="16"/>
        <v>432380.94769067498</v>
      </c>
      <c r="N39" s="731">
        <f t="shared" si="16"/>
        <v>394812.30484628811</v>
      </c>
      <c r="O39" s="731">
        <f t="shared" si="16"/>
        <v>398727.68873224943</v>
      </c>
      <c r="P39" s="731">
        <f t="shared" si="16"/>
        <v>402643.07261821086</v>
      </c>
      <c r="Q39" s="731">
        <f t="shared" si="16"/>
        <v>404655.09436187055</v>
      </c>
      <c r="R39" s="732">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30">
        <f t="shared" si="16"/>
        <v>2029535.5581229187</v>
      </c>
      <c r="L40" s="731">
        <f t="shared" si="16"/>
        <v>811440.95954608021</v>
      </c>
      <c r="M40" s="731">
        <f t="shared" si="16"/>
        <v>622919.2856946364</v>
      </c>
      <c r="N40" s="731">
        <f t="shared" si="16"/>
        <v>434397.61184319266</v>
      </c>
      <c r="O40" s="731">
        <f t="shared" si="16"/>
        <v>413664.79392003053</v>
      </c>
      <c r="P40" s="731">
        <f t="shared" si="16"/>
        <v>392931.97599686834</v>
      </c>
      <c r="Q40" s="731">
        <f t="shared" si="16"/>
        <v>387589.42716879566</v>
      </c>
      <c r="R40" s="732">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30">
        <f t="shared" si="16"/>
        <v>2114672.9625383778</v>
      </c>
      <c r="L41" s="731">
        <f t="shared" si="16"/>
        <v>850128.3240129943</v>
      </c>
      <c r="M41" s="731">
        <f t="shared" si="16"/>
        <v>655524.58181147499</v>
      </c>
      <c r="N41" s="731">
        <f t="shared" si="16"/>
        <v>460920.8396099559</v>
      </c>
      <c r="O41" s="731">
        <f t="shared" si="16"/>
        <v>439117.74429542525</v>
      </c>
      <c r="P41" s="731">
        <f t="shared" si="16"/>
        <v>417314.64898089459</v>
      </c>
      <c r="Q41" s="731">
        <f t="shared" si="16"/>
        <v>410990.01008050452</v>
      </c>
      <c r="R41" s="732">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30">
        <f t="shared" si="16"/>
        <v>1450504.470819857</v>
      </c>
      <c r="L42" s="731">
        <f t="shared" si="16"/>
        <v>654484.66361127386</v>
      </c>
      <c r="M42" s="731">
        <f t="shared" si="16"/>
        <v>534980.27749698469</v>
      </c>
      <c r="N42" s="731">
        <f t="shared" si="16"/>
        <v>415475.89138269558</v>
      </c>
      <c r="O42" s="731">
        <f t="shared" si="16"/>
        <v>402645.7854288643</v>
      </c>
      <c r="P42" s="731">
        <f t="shared" si="16"/>
        <v>389815.67947503307</v>
      </c>
      <c r="Q42" s="731">
        <f t="shared" si="16"/>
        <v>384665.56853580126</v>
      </c>
      <c r="R42" s="732">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30">
        <f t="shared" si="16"/>
        <v>299496.70074222406</v>
      </c>
      <c r="L43" s="731">
        <f t="shared" si="16"/>
        <v>314789.02729539643</v>
      </c>
      <c r="M43" s="731">
        <f t="shared" si="16"/>
        <v>318102.56056284037</v>
      </c>
      <c r="N43" s="731">
        <f t="shared" si="16"/>
        <v>321416.09383028437</v>
      </c>
      <c r="O43" s="731">
        <f t="shared" si="16"/>
        <v>326165.12299253611</v>
      </c>
      <c r="P43" s="731">
        <f t="shared" si="16"/>
        <v>330914.15215478779</v>
      </c>
      <c r="Q43" s="731">
        <f t="shared" si="16"/>
        <v>332996.62735681463</v>
      </c>
      <c r="R43" s="732">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3"/>
      <c r="L44" s="457"/>
      <c r="M44" s="457"/>
      <c r="N44" s="457"/>
      <c r="O44" s="457"/>
      <c r="P44" s="457"/>
      <c r="Q44" s="457"/>
      <c r="R44" s="734"/>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39"/>
      <c r="L45" s="453"/>
      <c r="M45" s="453"/>
      <c r="N45" s="453"/>
      <c r="O45" s="453"/>
      <c r="P45" s="453"/>
      <c r="Q45" s="453"/>
      <c r="R45" s="740"/>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5">
        <f>C46</f>
        <v>2010</v>
      </c>
      <c r="L46" s="353">
        <f>D46</f>
        <v>2020</v>
      </c>
      <c r="M46" s="353"/>
      <c r="N46" s="353">
        <f>F46</f>
        <v>2030</v>
      </c>
      <c r="O46" s="353"/>
      <c r="P46" s="353">
        <f>H46</f>
        <v>2040</v>
      </c>
      <c r="Q46" s="353"/>
      <c r="R46" s="736">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7" t="str">
        <f>zar.base&amp;"ZAR"</f>
        <v>2015ZAR</v>
      </c>
      <c r="L47" s="322" t="str">
        <f>zar.base&amp;"ZAR"</f>
        <v>2015ZAR</v>
      </c>
      <c r="N47" s="322" t="str">
        <f>zar.base&amp;"ZAR"</f>
        <v>2015ZAR</v>
      </c>
      <c r="P47" s="322" t="str">
        <f>zar.base&amp;"ZAR"</f>
        <v>2015ZAR</v>
      </c>
      <c r="R47" s="738" t="str">
        <f>zar.base&amp;"ZAR"</f>
        <v>2015ZAR</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30">
        <f t="shared" ref="K48:R56" si="18">C48*$B$2*$K$3</f>
        <v>665630.86833121476</v>
      </c>
      <c r="L48" s="731">
        <f t="shared" si="18"/>
        <v>800945.7513197927</v>
      </c>
      <c r="M48" s="731">
        <f t="shared" si="18"/>
        <v>826287.49318747991</v>
      </c>
      <c r="N48" s="731">
        <f t="shared" si="18"/>
        <v>851629.23505516711</v>
      </c>
      <c r="O48" s="731">
        <f t="shared" si="18"/>
        <v>874323.18709736317</v>
      </c>
      <c r="P48" s="731">
        <f t="shared" si="18"/>
        <v>897017.13913955924</v>
      </c>
      <c r="Q48" s="731">
        <f t="shared" si="18"/>
        <v>911917.84375750553</v>
      </c>
      <c r="R48" s="732">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442">
        <f>J48*'Vehicle data-proc2023'!$H$106</f>
        <v>32165.176311322364</v>
      </c>
      <c r="K49" s="730">
        <f t="shared" si="18"/>
        <v>524441.75232732459</v>
      </c>
      <c r="L49" s="731">
        <f t="shared" si="18"/>
        <v>631054.55790289911</v>
      </c>
      <c r="M49" s="731">
        <f t="shared" si="18"/>
        <v>651020.98095271387</v>
      </c>
      <c r="N49" s="731">
        <f t="shared" si="18"/>
        <v>670987.40400252875</v>
      </c>
      <c r="O49" s="731">
        <f t="shared" si="18"/>
        <v>688867.66848918016</v>
      </c>
      <c r="P49" s="731">
        <f t="shared" si="18"/>
        <v>706747.93297583144</v>
      </c>
      <c r="Q49" s="731">
        <f t="shared" si="18"/>
        <v>718488.00095125346</v>
      </c>
      <c r="R49" s="732">
        <f t="shared" si="18"/>
        <v>730228.06892667571</v>
      </c>
      <c r="S49" s="330">
        <f t="shared" si="19"/>
        <v>0.78788676619240683</v>
      </c>
      <c r="T49" s="330">
        <f t="shared" si="19"/>
        <v>0.78788676619240683</v>
      </c>
      <c r="U49" s="330">
        <f t="shared" si="19"/>
        <v>0.78788676619240683</v>
      </c>
      <c r="V49" s="330">
        <f t="shared" si="19"/>
        <v>0.78788676619240683</v>
      </c>
      <c r="W49" s="330">
        <f t="shared" si="19"/>
        <v>0.78788676619240683</v>
      </c>
      <c r="X49" s="330">
        <f t="shared" si="19"/>
        <v>0.78788676619240683</v>
      </c>
      <c r="Y49" s="330">
        <f t="shared" si="19"/>
        <v>0.78788676619240683</v>
      </c>
      <c r="Z49" s="330">
        <f t="shared" si="19"/>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30">
        <f t="shared" si="18"/>
        <v>809781.47955487901</v>
      </c>
      <c r="L50" s="731">
        <f t="shared" si="18"/>
        <v>905485.27878454118</v>
      </c>
      <c r="M50" s="731">
        <f t="shared" si="18"/>
        <v>913269.92469678773</v>
      </c>
      <c r="N50" s="731">
        <f t="shared" si="18"/>
        <v>921054.57060903416</v>
      </c>
      <c r="O50" s="731">
        <f t="shared" si="18"/>
        <v>935029.30465434329</v>
      </c>
      <c r="P50" s="731">
        <f t="shared" si="18"/>
        <v>949004.03869965253</v>
      </c>
      <c r="Q50" s="731">
        <f t="shared" si="18"/>
        <v>958231.93363923894</v>
      </c>
      <c r="R50" s="732">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30">
        <f t="shared" si="18"/>
        <v>822054.4421285463</v>
      </c>
      <c r="L51" s="731">
        <f t="shared" si="18"/>
        <v>867855.65580572386</v>
      </c>
      <c r="M51" s="731">
        <f t="shared" si="18"/>
        <v>883566.63350437384</v>
      </c>
      <c r="N51" s="731">
        <f t="shared" si="18"/>
        <v>899277.61120302393</v>
      </c>
      <c r="O51" s="731">
        <f t="shared" si="18"/>
        <v>919122.33011158789</v>
      </c>
      <c r="P51" s="731">
        <f t="shared" si="18"/>
        <v>938967.04902015161</v>
      </c>
      <c r="Q51" s="731">
        <f t="shared" si="18"/>
        <v>949220.9609977334</v>
      </c>
      <c r="R51" s="732">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30">
        <f t="shared" si="18"/>
        <v>843813.12099593447</v>
      </c>
      <c r="L52" s="731">
        <f t="shared" si="18"/>
        <v>885377.7159720764</v>
      </c>
      <c r="M52" s="731">
        <f t="shared" si="18"/>
        <v>887934.07694784389</v>
      </c>
      <c r="N52" s="731">
        <f t="shared" si="18"/>
        <v>890490.43792361103</v>
      </c>
      <c r="O52" s="731">
        <f t="shared" si="18"/>
        <v>897019.22104842484</v>
      </c>
      <c r="P52" s="731">
        <f t="shared" si="18"/>
        <v>903548.00417323865</v>
      </c>
      <c r="Q52" s="731">
        <f t="shared" si="18"/>
        <v>910472.04174300213</v>
      </c>
      <c r="R52" s="732">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30">
        <f t="shared" si="18"/>
        <v>2230718.2521627168</v>
      </c>
      <c r="L53" s="731">
        <f t="shared" si="18"/>
        <v>1464212.0349055484</v>
      </c>
      <c r="M53" s="731">
        <f t="shared" si="18"/>
        <v>1329574.4709027691</v>
      </c>
      <c r="N53" s="731">
        <f t="shared" si="18"/>
        <v>1194936.9068999893</v>
      </c>
      <c r="O53" s="731">
        <f t="shared" si="18"/>
        <v>1204521.7652840337</v>
      </c>
      <c r="P53" s="731">
        <f t="shared" si="18"/>
        <v>1214106.6236680776</v>
      </c>
      <c r="Q53" s="731">
        <f t="shared" si="18"/>
        <v>1217089.6391281676</v>
      </c>
      <c r="R53" s="732">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30">
        <f t="shared" si="18"/>
        <v>4238674.4146435475</v>
      </c>
      <c r="L54" s="731">
        <f t="shared" si="18"/>
        <v>1816072.504069217</v>
      </c>
      <c r="M54" s="731">
        <f t="shared" si="18"/>
        <v>1430827.4184126148</v>
      </c>
      <c r="N54" s="731">
        <f t="shared" si="18"/>
        <v>1045582.3327560129</v>
      </c>
      <c r="O54" s="731">
        <f t="shared" si="18"/>
        <v>997862.38106442767</v>
      </c>
      <c r="P54" s="731">
        <f t="shared" si="18"/>
        <v>950142.42937284242</v>
      </c>
      <c r="Q54" s="731">
        <f t="shared" si="18"/>
        <v>933225.19539688097</v>
      </c>
      <c r="R54" s="732">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30">
        <f t="shared" si="18"/>
        <v>1051516.7511577115</v>
      </c>
      <c r="L55" s="731">
        <f t="shared" si="18"/>
        <v>1031864.0418883342</v>
      </c>
      <c r="M55" s="731">
        <f t="shared" si="18"/>
        <v>1035882.9494916156</v>
      </c>
      <c r="N55" s="731">
        <f t="shared" si="18"/>
        <v>1039901.8570948968</v>
      </c>
      <c r="O55" s="731">
        <f t="shared" si="18"/>
        <v>1050748.8162426385</v>
      </c>
      <c r="P55" s="731">
        <f t="shared" si="18"/>
        <v>1061595.7753903801</v>
      </c>
      <c r="Q55" s="731">
        <f t="shared" si="18"/>
        <v>1069132.5628851603</v>
      </c>
      <c r="R55" s="732">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30">
        <f t="shared" si="18"/>
        <v>1005171.5263628296</v>
      </c>
      <c r="L56" s="731">
        <f t="shared" si="18"/>
        <v>989516.39816888212</v>
      </c>
      <c r="M56" s="731">
        <f t="shared" si="18"/>
        <v>992950.77775874839</v>
      </c>
      <c r="N56" s="731">
        <f t="shared" si="18"/>
        <v>996385.15734861477</v>
      </c>
      <c r="O56" s="731">
        <f t="shared" si="18"/>
        <v>1007345.0964593297</v>
      </c>
      <c r="P56" s="731">
        <f t="shared" si="18"/>
        <v>1018305.0355700447</v>
      </c>
      <c r="Q56" s="731">
        <f t="shared" si="18"/>
        <v>1025944.9247305429</v>
      </c>
      <c r="R56" s="732">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3"/>
      <c r="L57" s="457"/>
      <c r="M57" s="457"/>
      <c r="N57" s="457"/>
      <c r="O57" s="457"/>
      <c r="P57" s="457"/>
      <c r="Q57" s="457"/>
      <c r="R57" s="734"/>
    </row>
    <row r="58" spans="1:33" x14ac:dyDescent="0.2">
      <c r="A58" s="322" t="str">
        <f t="shared" si="23"/>
        <v>Small Rigid Truck</v>
      </c>
      <c r="B58" s="452" t="s">
        <v>832</v>
      </c>
      <c r="C58" s="456" t="s">
        <v>831</v>
      </c>
      <c r="D58" s="455">
        <v>0.08</v>
      </c>
      <c r="E58" s="454"/>
      <c r="F58" s="453"/>
      <c r="G58" s="453"/>
      <c r="H58" s="453"/>
      <c r="I58" s="453"/>
      <c r="J58" s="453"/>
      <c r="K58" s="739"/>
      <c r="L58" s="453"/>
      <c r="M58" s="453"/>
      <c r="N58" s="453"/>
      <c r="O58" s="453"/>
      <c r="P58" s="453"/>
      <c r="Q58" s="453"/>
      <c r="R58" s="740"/>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5">
        <f>C59</f>
        <v>2010</v>
      </c>
      <c r="L59" s="353">
        <f>D59</f>
        <v>2020</v>
      </c>
      <c r="M59" s="353"/>
      <c r="N59" s="353">
        <f>F59</f>
        <v>2030</v>
      </c>
      <c r="O59" s="353"/>
      <c r="P59" s="353">
        <f>H59</f>
        <v>2040</v>
      </c>
      <c r="Q59" s="353"/>
      <c r="R59" s="736">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7" t="str">
        <f>zar.base&amp;"ZAR"</f>
        <v>2015ZAR</v>
      </c>
      <c r="L60" s="322" t="str">
        <f>zar.base&amp;"ZAR"</f>
        <v>2015ZAR</v>
      </c>
      <c r="N60" s="322" t="str">
        <f>zar.base&amp;"ZAR"</f>
        <v>2015ZAR</v>
      </c>
      <c r="P60" s="322" t="str">
        <f>zar.base&amp;"ZAR"</f>
        <v>2015ZAR</v>
      </c>
      <c r="R60" s="738" t="str">
        <f>zar.base&amp;"ZAR"</f>
        <v>2015ZAR</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30">
        <f t="shared" ref="K61:R68" si="25">C61*$B$2*$K$3</f>
        <v>1089930.327527541</v>
      </c>
      <c r="L61" s="731">
        <f t="shared" si="25"/>
        <v>1315389.054772544</v>
      </c>
      <c r="M61" s="731">
        <f t="shared" si="25"/>
        <v>1357929.7395903205</v>
      </c>
      <c r="N61" s="731">
        <f t="shared" si="25"/>
        <v>1400470.4244080975</v>
      </c>
      <c r="O61" s="731">
        <f t="shared" si="25"/>
        <v>1427774.4170071429</v>
      </c>
      <c r="P61" s="731">
        <f t="shared" si="25"/>
        <v>1455078.4096061881</v>
      </c>
      <c r="Q61" s="731">
        <f t="shared" si="25"/>
        <v>1478587.2547298784</v>
      </c>
      <c r="R61" s="732">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30">
        <f t="shared" si="25"/>
        <v>1251184.4931443066</v>
      </c>
      <c r="L62" s="731">
        <f t="shared" si="25"/>
        <v>1438328.6388271647</v>
      </c>
      <c r="M62" s="731">
        <f t="shared" si="25"/>
        <v>1457758.3583193333</v>
      </c>
      <c r="N62" s="731">
        <f t="shared" si="25"/>
        <v>1477188.0778115019</v>
      </c>
      <c r="O62" s="731">
        <f t="shared" si="25"/>
        <v>1493178.5248990091</v>
      </c>
      <c r="P62" s="731">
        <f t="shared" si="25"/>
        <v>1509168.9719865166</v>
      </c>
      <c r="Q62" s="731">
        <f t="shared" si="25"/>
        <v>1525317.1010085675</v>
      </c>
      <c r="R62" s="732">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30">
        <f t="shared" si="25"/>
        <v>1222376.4895484564</v>
      </c>
      <c r="L63" s="731">
        <f t="shared" si="25"/>
        <v>1372038.5110622062</v>
      </c>
      <c r="M63" s="731">
        <f t="shared" si="25"/>
        <v>1403655.9464542887</v>
      </c>
      <c r="N63" s="731">
        <f t="shared" si="25"/>
        <v>1435273.3818463711</v>
      </c>
      <c r="O63" s="731">
        <f t="shared" si="25"/>
        <v>1464654.7994727818</v>
      </c>
      <c r="P63" s="731">
        <f t="shared" si="25"/>
        <v>1494036.2170991923</v>
      </c>
      <c r="Q63" s="731">
        <f t="shared" si="25"/>
        <v>1512239.1151073836</v>
      </c>
      <c r="R63" s="732">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30">
        <f t="shared" si="25"/>
        <v>1374599.6336241232</v>
      </c>
      <c r="L64" s="731">
        <f t="shared" si="25"/>
        <v>1464573.7294294063</v>
      </c>
      <c r="M64" s="731">
        <f t="shared" si="25"/>
        <v>1471747.0120627852</v>
      </c>
      <c r="N64" s="731">
        <f t="shared" si="25"/>
        <v>1478920.2946961639</v>
      </c>
      <c r="O64" s="731">
        <f t="shared" si="25"/>
        <v>1490612.6270692046</v>
      </c>
      <c r="P64" s="731">
        <f t="shared" si="25"/>
        <v>1502304.9594422451</v>
      </c>
      <c r="Q64" s="731">
        <f t="shared" si="25"/>
        <v>1512718.513444247</v>
      </c>
      <c r="R64" s="732">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30">
        <f t="shared" si="25"/>
        <v>0</v>
      </c>
      <c r="L65" s="731">
        <f t="shared" si="25"/>
        <v>0</v>
      </c>
      <c r="M65" s="731">
        <f t="shared" si="25"/>
        <v>0</v>
      </c>
      <c r="N65" s="731">
        <f t="shared" si="25"/>
        <v>0</v>
      </c>
      <c r="O65" s="731">
        <f t="shared" si="25"/>
        <v>0</v>
      </c>
      <c r="P65" s="731">
        <f t="shared" si="25"/>
        <v>0</v>
      </c>
      <c r="Q65" s="731">
        <f t="shared" si="25"/>
        <v>0</v>
      </c>
      <c r="R65" s="732">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30">
        <f t="shared" si="25"/>
        <v>6644860.7955950676</v>
      </c>
      <c r="L66" s="731">
        <f t="shared" si="25"/>
        <v>2881312.2182852593</v>
      </c>
      <c r="M66" s="731">
        <f t="shared" si="25"/>
        <v>2283873.3934198092</v>
      </c>
      <c r="N66" s="731">
        <f t="shared" si="25"/>
        <v>1686434.5685543588</v>
      </c>
      <c r="O66" s="731">
        <f t="shared" si="25"/>
        <v>1608198.73521888</v>
      </c>
      <c r="P66" s="731">
        <f t="shared" si="25"/>
        <v>1529962.9018834007</v>
      </c>
      <c r="Q66" s="731">
        <f t="shared" si="25"/>
        <v>1501349.5276454913</v>
      </c>
      <c r="R66" s="732">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30">
        <f t="shared" si="25"/>
        <v>1562141.1336075412</v>
      </c>
      <c r="L67" s="731">
        <f t="shared" si="25"/>
        <v>1591595.5728002738</v>
      </c>
      <c r="M67" s="731">
        <f t="shared" si="25"/>
        <v>1602100.4306893663</v>
      </c>
      <c r="N67" s="731">
        <f t="shared" si="25"/>
        <v>1612605.2885784588</v>
      </c>
      <c r="O67" s="731">
        <f t="shared" si="25"/>
        <v>1624721.9307912919</v>
      </c>
      <c r="P67" s="731">
        <f t="shared" si="25"/>
        <v>1636838.5730041252</v>
      </c>
      <c r="Q67" s="731">
        <f t="shared" si="25"/>
        <v>1650435.1852328968</v>
      </c>
      <c r="R67" s="732">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30">
        <f t="shared" si="25"/>
        <v>1486783.2282106197</v>
      </c>
      <c r="L68" s="731">
        <f t="shared" si="25"/>
        <v>1519091.0625229813</v>
      </c>
      <c r="M68" s="731">
        <f t="shared" si="25"/>
        <v>1527837.0652034522</v>
      </c>
      <c r="N68" s="731">
        <f t="shared" si="25"/>
        <v>1536583.0678839239</v>
      </c>
      <c r="O68" s="731">
        <f t="shared" si="25"/>
        <v>1548848.7797205006</v>
      </c>
      <c r="P68" s="731">
        <f t="shared" si="25"/>
        <v>1561114.491557077</v>
      </c>
      <c r="Q68" s="731">
        <f t="shared" si="25"/>
        <v>1574767.0644580827</v>
      </c>
      <c r="R68" s="732">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7"/>
      <c r="R69" s="738"/>
      <c r="Z69" s="422"/>
      <c r="AA69" s="422"/>
    </row>
    <row r="70" spans="1:33" ht="15" x14ac:dyDescent="0.2">
      <c r="A70" s="322" t="str">
        <f t="shared" si="24"/>
        <v>Large Rigid Truck</v>
      </c>
      <c r="B70" s="438" t="s">
        <v>832</v>
      </c>
      <c r="C70" s="359" t="s">
        <v>831</v>
      </c>
      <c r="D70" s="358">
        <v>0.08</v>
      </c>
      <c r="E70" s="357"/>
      <c r="K70" s="737"/>
      <c r="R70" s="738"/>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5">
        <f>C71</f>
        <v>2010</v>
      </c>
      <c r="L71" s="353">
        <f>D71</f>
        <v>2020</v>
      </c>
      <c r="M71" s="353"/>
      <c r="N71" s="353">
        <f>F71</f>
        <v>2030</v>
      </c>
      <c r="O71" s="353"/>
      <c r="P71" s="353">
        <f>H71</f>
        <v>2040</v>
      </c>
      <c r="Q71" s="353"/>
      <c r="R71" s="736">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7" t="str">
        <f>zar.base&amp;"ZAR"</f>
        <v>2015ZAR</v>
      </c>
      <c r="L72" s="322" t="str">
        <f>zar.base&amp;"ZAR"</f>
        <v>2015ZAR</v>
      </c>
      <c r="N72" s="322" t="str">
        <f>zar.base&amp;"ZAR"</f>
        <v>2015ZAR</v>
      </c>
      <c r="P72" s="322" t="str">
        <f>zar.base&amp;"ZAR"</f>
        <v>2015ZAR</v>
      </c>
      <c r="R72" s="738" t="str">
        <f>zar.base&amp;"ZAR"</f>
        <v>2015ZAR</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30">
        <f t="shared" ref="K73:R80" si="28">C73*$B$2*$K$3</f>
        <v>1394803.006015125</v>
      </c>
      <c r="L73" s="731">
        <f t="shared" si="28"/>
        <v>1729683.6457722846</v>
      </c>
      <c r="M73" s="731">
        <f t="shared" si="28"/>
        <v>1774391.33913615</v>
      </c>
      <c r="N73" s="731">
        <f t="shared" si="28"/>
        <v>1819099.0325000153</v>
      </c>
      <c r="O73" s="731">
        <f t="shared" si="28"/>
        <v>1853992.6191889104</v>
      </c>
      <c r="P73" s="731">
        <f t="shared" si="28"/>
        <v>1888886.2058778054</v>
      </c>
      <c r="Q73" s="731">
        <f t="shared" si="28"/>
        <v>1910564.3362565318</v>
      </c>
      <c r="R73" s="732">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30">
        <f t="shared" si="28"/>
        <v>1623656.3943534463</v>
      </c>
      <c r="L74" s="731">
        <f t="shared" si="28"/>
        <v>1881307.4022600672</v>
      </c>
      <c r="M74" s="731">
        <f t="shared" si="28"/>
        <v>1896865.6479296605</v>
      </c>
      <c r="N74" s="731">
        <f t="shared" si="28"/>
        <v>1912423.8935992543</v>
      </c>
      <c r="O74" s="731">
        <f t="shared" si="28"/>
        <v>1933172.1213173277</v>
      </c>
      <c r="P74" s="731">
        <f t="shared" si="28"/>
        <v>1953920.3490354014</v>
      </c>
      <c r="Q74" s="731">
        <f t="shared" si="28"/>
        <v>1966451.5529619923</v>
      </c>
      <c r="R74" s="732">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30">
        <f t="shared" si="28"/>
        <v>1644345.102691914</v>
      </c>
      <c r="L75" s="731">
        <f t="shared" si="28"/>
        <v>1830898.431238617</v>
      </c>
      <c r="M75" s="731">
        <f t="shared" si="28"/>
        <v>1857526.1820196833</v>
      </c>
      <c r="N75" s="731">
        <f t="shared" si="28"/>
        <v>1884153.93280075</v>
      </c>
      <c r="O75" s="731">
        <f t="shared" si="28"/>
        <v>1913327.2564421173</v>
      </c>
      <c r="P75" s="731">
        <f t="shared" si="28"/>
        <v>1942500.5800834852</v>
      </c>
      <c r="Q75" s="731">
        <f t="shared" si="28"/>
        <v>1956760.1309602302</v>
      </c>
      <c r="R75" s="732">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30">
        <f t="shared" si="28"/>
        <v>1783475.1840649548</v>
      </c>
      <c r="L76" s="731">
        <f t="shared" si="28"/>
        <v>1896564.6673059126</v>
      </c>
      <c r="M76" s="731">
        <f t="shared" si="28"/>
        <v>1902507.9210785097</v>
      </c>
      <c r="N76" s="731">
        <f t="shared" si="28"/>
        <v>1908451.1748511069</v>
      </c>
      <c r="O76" s="731">
        <f t="shared" si="28"/>
        <v>1922319.7681714082</v>
      </c>
      <c r="P76" s="731">
        <f t="shared" si="28"/>
        <v>1936188.3614917099</v>
      </c>
      <c r="Q76" s="731">
        <f t="shared" si="28"/>
        <v>1947352.6226984155</v>
      </c>
      <c r="R76" s="732">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30">
        <f t="shared" si="28"/>
        <v>0</v>
      </c>
      <c r="L77" s="731">
        <f t="shared" si="28"/>
        <v>0</v>
      </c>
      <c r="M77" s="731">
        <f t="shared" si="28"/>
        <v>0</v>
      </c>
      <c r="N77" s="731">
        <f t="shared" si="28"/>
        <v>0</v>
      </c>
      <c r="O77" s="731">
        <f t="shared" si="28"/>
        <v>0</v>
      </c>
      <c r="P77" s="731">
        <f t="shared" si="28"/>
        <v>0</v>
      </c>
      <c r="Q77" s="731">
        <f t="shared" si="28"/>
        <v>0</v>
      </c>
      <c r="R77" s="732">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30">
        <f t="shared" si="28"/>
        <v>9333066.2203088477</v>
      </c>
      <c r="L78" s="731">
        <f t="shared" si="28"/>
        <v>3916456.1540345564</v>
      </c>
      <c r="M78" s="731">
        <f t="shared" si="28"/>
        <v>3067405.1292542205</v>
      </c>
      <c r="N78" s="731">
        <f t="shared" si="28"/>
        <v>2218354.1044738842</v>
      </c>
      <c r="O78" s="731">
        <f t="shared" si="28"/>
        <v>2106680.0881784153</v>
      </c>
      <c r="P78" s="731">
        <f t="shared" si="28"/>
        <v>1995006.0718829464</v>
      </c>
      <c r="Q78" s="731">
        <f t="shared" si="28"/>
        <v>1956907.2936069358</v>
      </c>
      <c r="R78" s="732">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30">
        <f t="shared" si="28"/>
        <v>2046079.6933285356</v>
      </c>
      <c r="L79" s="731">
        <f t="shared" si="28"/>
        <v>2108333.6144666532</v>
      </c>
      <c r="M79" s="731">
        <f t="shared" si="28"/>
        <v>2105849.3538714363</v>
      </c>
      <c r="N79" s="731">
        <f t="shared" si="28"/>
        <v>2103365.0932762185</v>
      </c>
      <c r="O79" s="731">
        <f t="shared" si="28"/>
        <v>2118312.1801417214</v>
      </c>
      <c r="P79" s="731">
        <f t="shared" si="28"/>
        <v>2133259.2670072243</v>
      </c>
      <c r="Q79" s="731">
        <f t="shared" si="28"/>
        <v>2142083.1737169772</v>
      </c>
      <c r="R79" s="732">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30">
        <f t="shared" si="28"/>
        <v>1933800.165050887</v>
      </c>
      <c r="L80" s="731">
        <f t="shared" si="28"/>
        <v>2005955.6428487513</v>
      </c>
      <c r="M80" s="731">
        <f t="shared" si="28"/>
        <v>2000166.9362324402</v>
      </c>
      <c r="N80" s="731">
        <f t="shared" si="28"/>
        <v>1994378.2296161293</v>
      </c>
      <c r="O80" s="731">
        <f t="shared" si="28"/>
        <v>2009358.1927547844</v>
      </c>
      <c r="P80" s="731">
        <f t="shared" si="28"/>
        <v>2024338.1558934394</v>
      </c>
      <c r="Q80" s="731">
        <f t="shared" si="28"/>
        <v>2033149.3307904822</v>
      </c>
      <c r="R80" s="732">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7"/>
      <c r="R81" s="738"/>
      <c r="T81" s="330"/>
      <c r="U81" s="330"/>
      <c r="V81" s="330"/>
      <c r="W81" s="330"/>
      <c r="X81" s="330"/>
      <c r="Y81" s="330"/>
      <c r="Z81" s="330"/>
    </row>
    <row r="82" spans="1:33" x14ac:dyDescent="0.2">
      <c r="A82" s="322" t="str">
        <f t="shared" si="27"/>
        <v>Articulated Truck</v>
      </c>
      <c r="B82" s="398" t="s">
        <v>832</v>
      </c>
      <c r="C82" s="359" t="s">
        <v>831</v>
      </c>
      <c r="D82" s="358">
        <v>0.08</v>
      </c>
      <c r="E82" s="357"/>
      <c r="K82" s="737"/>
      <c r="R82" s="738"/>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5">
        <f>C83</f>
        <v>2010</v>
      </c>
      <c r="L83" s="353">
        <f>D83</f>
        <v>2020</v>
      </c>
      <c r="M83" s="353"/>
      <c r="N83" s="353">
        <f>F83</f>
        <v>2030</v>
      </c>
      <c r="O83" s="353"/>
      <c r="P83" s="353">
        <f>H83</f>
        <v>2040</v>
      </c>
      <c r="Q83" s="353"/>
      <c r="R83" s="736">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7" t="str">
        <f>zar.base&amp;"ZAR"</f>
        <v>2015ZAR</v>
      </c>
      <c r="L84" s="322" t="str">
        <f>zar.base&amp;"ZAR"</f>
        <v>2015ZAR</v>
      </c>
      <c r="N84" s="322" t="str">
        <f>zar.base&amp;"ZAR"</f>
        <v>2015ZAR</v>
      </c>
      <c r="P84" s="322" t="str">
        <f>zar.base&amp;"ZAR"</f>
        <v>2015ZAR</v>
      </c>
      <c r="R84" s="738" t="str">
        <f>zar.base&amp;"ZAR"</f>
        <v>2015ZAR</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30">
        <f t="shared" ref="K85:R92" si="31">C85*$B$2*$K$3</f>
        <v>1137344.8503307651</v>
      </c>
      <c r="L85" s="731">
        <f t="shared" si="31"/>
        <v>1383611.7088645061</v>
      </c>
      <c r="M85" s="731">
        <f t="shared" si="31"/>
        <v>1421742.7272348688</v>
      </c>
      <c r="N85" s="731">
        <f t="shared" si="31"/>
        <v>1459873.7456052315</v>
      </c>
      <c r="O85" s="731">
        <f t="shared" si="31"/>
        <v>1490827.5195919413</v>
      </c>
      <c r="P85" s="731">
        <f t="shared" si="31"/>
        <v>1521781.2935786508</v>
      </c>
      <c r="Q85" s="731">
        <f t="shared" si="31"/>
        <v>1550292.485324691</v>
      </c>
      <c r="R85" s="732">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30">
        <f t="shared" si="31"/>
        <v>1346309.0076455197</v>
      </c>
      <c r="L86" s="731">
        <f t="shared" si="31"/>
        <v>1554634.2240061136</v>
      </c>
      <c r="M86" s="731">
        <f t="shared" si="31"/>
        <v>1564774.0762279797</v>
      </c>
      <c r="N86" s="731">
        <f t="shared" si="31"/>
        <v>1574913.9284498463</v>
      </c>
      <c r="O86" s="731">
        <f t="shared" si="31"/>
        <v>1591873.0744862277</v>
      </c>
      <c r="P86" s="731">
        <f t="shared" si="31"/>
        <v>1608832.2205226088</v>
      </c>
      <c r="Q86" s="731">
        <f t="shared" si="31"/>
        <v>1628335.4060461875</v>
      </c>
      <c r="R86" s="732">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30">
        <f t="shared" si="31"/>
        <v>1342249.3600168284</v>
      </c>
      <c r="L87" s="731">
        <f t="shared" si="31"/>
        <v>1491260.0402134496</v>
      </c>
      <c r="M87" s="731">
        <f t="shared" si="31"/>
        <v>1513798.9961644816</v>
      </c>
      <c r="N87" s="731">
        <f t="shared" si="31"/>
        <v>1536337.9521155139</v>
      </c>
      <c r="O87" s="731">
        <f t="shared" si="31"/>
        <v>1582717.2948413345</v>
      </c>
      <c r="P87" s="731">
        <f t="shared" si="31"/>
        <v>1629096.6375671551</v>
      </c>
      <c r="Q87" s="731">
        <f t="shared" si="31"/>
        <v>1680935.4116440627</v>
      </c>
      <c r="R87" s="732">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30">
        <f t="shared" si="31"/>
        <v>1413868.2874237234</v>
      </c>
      <c r="L88" s="731">
        <f t="shared" si="31"/>
        <v>1502505.4928576599</v>
      </c>
      <c r="M88" s="731">
        <f t="shared" si="31"/>
        <v>1511523.7795690347</v>
      </c>
      <c r="N88" s="731">
        <f t="shared" si="31"/>
        <v>1520542.066280409</v>
      </c>
      <c r="O88" s="731">
        <f t="shared" si="31"/>
        <v>1555267.1003705533</v>
      </c>
      <c r="P88" s="731">
        <f t="shared" si="31"/>
        <v>1589992.1344606976</v>
      </c>
      <c r="Q88" s="731">
        <f t="shared" si="31"/>
        <v>1635802.1933410501</v>
      </c>
      <c r="R88" s="732">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30">
        <f t="shared" si="31"/>
        <v>0</v>
      </c>
      <c r="L89" s="731">
        <f t="shared" si="31"/>
        <v>0</v>
      </c>
      <c r="M89" s="731">
        <f t="shared" si="31"/>
        <v>0</v>
      </c>
      <c r="N89" s="731">
        <f t="shared" si="31"/>
        <v>0</v>
      </c>
      <c r="O89" s="731">
        <f t="shared" si="31"/>
        <v>0</v>
      </c>
      <c r="P89" s="731">
        <f t="shared" si="31"/>
        <v>0</v>
      </c>
      <c r="Q89" s="731">
        <f t="shared" si="31"/>
        <v>0</v>
      </c>
      <c r="R89" s="732">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30">
        <f t="shared" si="31"/>
        <v>6360106.1214327365</v>
      </c>
      <c r="L90" s="731">
        <f t="shared" si="31"/>
        <v>2830881.8939991225</v>
      </c>
      <c r="M90" s="731">
        <f t="shared" si="31"/>
        <v>2272344.3366048341</v>
      </c>
      <c r="N90" s="731">
        <f t="shared" si="31"/>
        <v>1713806.7792105449</v>
      </c>
      <c r="O90" s="731">
        <f t="shared" si="31"/>
        <v>1666904.5825543196</v>
      </c>
      <c r="P90" s="731">
        <f t="shared" si="31"/>
        <v>1620002.3858980946</v>
      </c>
      <c r="Q90" s="731">
        <f t="shared" si="31"/>
        <v>1632911.0815388313</v>
      </c>
      <c r="R90" s="732">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30">
        <f t="shared" si="31"/>
        <v>1695854.156363609</v>
      </c>
      <c r="L91" s="731">
        <f t="shared" si="31"/>
        <v>1732356.5987769766</v>
      </c>
      <c r="M91" s="731">
        <f t="shared" si="31"/>
        <v>1736897.2929585287</v>
      </c>
      <c r="N91" s="731">
        <f t="shared" si="31"/>
        <v>1741437.9871400804</v>
      </c>
      <c r="O91" s="731">
        <f t="shared" si="31"/>
        <v>1754044.2259131225</v>
      </c>
      <c r="P91" s="731">
        <f t="shared" si="31"/>
        <v>1766650.4646861646</v>
      </c>
      <c r="Q91" s="731">
        <f t="shared" si="31"/>
        <v>1783125.9660776728</v>
      </c>
      <c r="R91" s="732">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30">
        <f t="shared" si="31"/>
        <v>1624779.2570494437</v>
      </c>
      <c r="L92" s="731">
        <f t="shared" si="31"/>
        <v>1664860.6987788989</v>
      </c>
      <c r="M92" s="731">
        <f t="shared" si="31"/>
        <v>1668630.0219125191</v>
      </c>
      <c r="N92" s="731">
        <f t="shared" si="31"/>
        <v>1672399.3450461391</v>
      </c>
      <c r="O92" s="731">
        <f t="shared" si="31"/>
        <v>1685256.2227432285</v>
      </c>
      <c r="P92" s="731">
        <f t="shared" si="31"/>
        <v>1698113.1004403182</v>
      </c>
      <c r="Q92" s="731">
        <f t="shared" si="31"/>
        <v>1714703.5720855389</v>
      </c>
      <c r="R92" s="732">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7"/>
      <c r="R93" s="738"/>
    </row>
    <row r="94" spans="1:33" x14ac:dyDescent="0.2">
      <c r="A94" s="322" t="str">
        <f t="shared" si="30"/>
        <v>Construction Truck</v>
      </c>
      <c r="B94" s="360" t="s">
        <v>832</v>
      </c>
      <c r="C94" s="359" t="s">
        <v>831</v>
      </c>
      <c r="D94" s="358">
        <v>0.08</v>
      </c>
      <c r="E94" s="357"/>
      <c r="K94" s="737"/>
      <c r="R94" s="738"/>
      <c r="AB94" s="356" t="s">
        <v>816</v>
      </c>
    </row>
    <row r="95" spans="1:33" x14ac:dyDescent="0.2">
      <c r="A95" s="322" t="str">
        <f>B95</f>
        <v>Bus</v>
      </c>
      <c r="B95" s="355" t="s">
        <v>60</v>
      </c>
      <c r="C95" s="351">
        <v>2010</v>
      </c>
      <c r="D95" s="351">
        <v>2020</v>
      </c>
      <c r="E95" s="354"/>
      <c r="F95" s="351">
        <v>2030</v>
      </c>
      <c r="G95" s="351"/>
      <c r="H95" s="351">
        <v>2040</v>
      </c>
      <c r="I95" s="351"/>
      <c r="J95" s="351">
        <v>2050</v>
      </c>
      <c r="K95" s="735">
        <f>C95</f>
        <v>2010</v>
      </c>
      <c r="L95" s="353">
        <f>D95</f>
        <v>2020</v>
      </c>
      <c r="M95" s="353"/>
      <c r="N95" s="353">
        <f>F95</f>
        <v>2030</v>
      </c>
      <c r="O95" s="353"/>
      <c r="P95" s="353">
        <f>H95</f>
        <v>2040</v>
      </c>
      <c r="Q95" s="353"/>
      <c r="R95" s="736">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7" t="str">
        <f>zar.base&amp;"ZAR"</f>
        <v>2015ZAR</v>
      </c>
      <c r="L96" s="322" t="str">
        <f>zar.base&amp;"ZAR"</f>
        <v>2015ZAR</v>
      </c>
      <c r="N96" s="322" t="str">
        <f>zar.base&amp;"ZAR"</f>
        <v>2015ZAR</v>
      </c>
      <c r="P96" s="322" t="str">
        <f>zar.base&amp;"ZAR"</f>
        <v>2015ZAR</v>
      </c>
      <c r="R96" s="738" t="str">
        <f>zar.base&amp;"ZAR"</f>
        <v>2015ZAR</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30">
        <f t="shared" ref="K97:R104" si="37">C97*$B$2*$K$3</f>
        <v>2374350.3925985522</v>
      </c>
      <c r="L97" s="731">
        <f t="shared" si="37"/>
        <v>2567125.8296431107</v>
      </c>
      <c r="M97" s="731">
        <f t="shared" si="37"/>
        <v>2615057.9469287945</v>
      </c>
      <c r="N97" s="731">
        <f t="shared" si="37"/>
        <v>2662990.0642144778</v>
      </c>
      <c r="O97" s="731">
        <f t="shared" si="37"/>
        <v>2693807.5488051251</v>
      </c>
      <c r="P97" s="731">
        <f t="shared" si="37"/>
        <v>2724625.0333957719</v>
      </c>
      <c r="Q97" s="731">
        <f t="shared" si="37"/>
        <v>2759805.6112657399</v>
      </c>
      <c r="R97" s="732">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30">
        <f t="shared" si="37"/>
        <v>2560421.0522702299</v>
      </c>
      <c r="L98" s="731">
        <f t="shared" si="37"/>
        <v>2720742.9699179786</v>
      </c>
      <c r="M98" s="731">
        <f t="shared" si="37"/>
        <v>2745447.8014628761</v>
      </c>
      <c r="N98" s="731">
        <f t="shared" si="37"/>
        <v>2770152.6330077737</v>
      </c>
      <c r="O98" s="731">
        <f t="shared" si="37"/>
        <v>2789432.1408442678</v>
      </c>
      <c r="P98" s="731">
        <f t="shared" si="37"/>
        <v>2808711.648680761</v>
      </c>
      <c r="Q98" s="731">
        <f t="shared" si="37"/>
        <v>2836383.7094969568</v>
      </c>
      <c r="R98" s="732">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30">
        <f t="shared" si="37"/>
        <v>2575439.5481723119</v>
      </c>
      <c r="L99" s="731">
        <f t="shared" si="37"/>
        <v>2670939.3077800749</v>
      </c>
      <c r="M99" s="731">
        <f t="shared" si="37"/>
        <v>2701135.5750137344</v>
      </c>
      <c r="N99" s="731">
        <f t="shared" si="37"/>
        <v>2731331.8422473934</v>
      </c>
      <c r="O99" s="731">
        <f t="shared" si="37"/>
        <v>2753508.3296443988</v>
      </c>
      <c r="P99" s="731">
        <f t="shared" si="37"/>
        <v>2775684.8170414036</v>
      </c>
      <c r="Q99" s="731">
        <f t="shared" si="37"/>
        <v>2805241.7779716766</v>
      </c>
      <c r="R99" s="732">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30">
        <f t="shared" si="37"/>
        <v>2641461.6254828833</v>
      </c>
      <c r="L100" s="731">
        <f t="shared" si="37"/>
        <v>2710157.9792400058</v>
      </c>
      <c r="M100" s="731">
        <f t="shared" si="37"/>
        <v>2720247.4357094248</v>
      </c>
      <c r="N100" s="731">
        <f t="shared" si="37"/>
        <v>2730336.8921788437</v>
      </c>
      <c r="O100" s="731">
        <f t="shared" si="37"/>
        <v>2741428.0124211079</v>
      </c>
      <c r="P100" s="731">
        <f t="shared" si="37"/>
        <v>2752519.1326633729</v>
      </c>
      <c r="Q100" s="731">
        <f t="shared" si="37"/>
        <v>2775952.6087589604</v>
      </c>
      <c r="R100" s="732">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30">
        <f t="shared" si="37"/>
        <v>4768239.6435325667</v>
      </c>
      <c r="L101" s="731">
        <f t="shared" si="37"/>
        <v>3635729.2317425008</v>
      </c>
      <c r="M101" s="731">
        <f t="shared" si="37"/>
        <v>3447769.0113726826</v>
      </c>
      <c r="N101" s="731">
        <f t="shared" si="37"/>
        <v>3259808.7910028636</v>
      </c>
      <c r="O101" s="731">
        <f t="shared" si="37"/>
        <v>3281975.7365715932</v>
      </c>
      <c r="P101" s="731">
        <f t="shared" si="37"/>
        <v>3304142.6821403229</v>
      </c>
      <c r="Q101" s="731">
        <f t="shared" si="37"/>
        <v>3325180.0884120665</v>
      </c>
      <c r="R101" s="732">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30">
        <f t="shared" si="37"/>
        <v>6296317.3270356311</v>
      </c>
      <c r="L102" s="731">
        <f t="shared" si="37"/>
        <v>3689559.6792311268</v>
      </c>
      <c r="M102" s="731">
        <f t="shared" si="37"/>
        <v>3288765.9792292048</v>
      </c>
      <c r="N102" s="731">
        <f t="shared" si="37"/>
        <v>2887972.2792272815</v>
      </c>
      <c r="O102" s="731">
        <f t="shared" si="37"/>
        <v>2842515.1832835502</v>
      </c>
      <c r="P102" s="731">
        <f t="shared" si="37"/>
        <v>2797058.087339818</v>
      </c>
      <c r="Q102" s="731">
        <f t="shared" si="37"/>
        <v>2791553.3982090442</v>
      </c>
      <c r="R102" s="732">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30">
        <f t="shared" si="37"/>
        <v>2695816.9798145522</v>
      </c>
      <c r="L103" s="731">
        <f t="shared" si="37"/>
        <v>2769263.9792806837</v>
      </c>
      <c r="M103" s="731">
        <f t="shared" si="37"/>
        <v>2798446.5773164597</v>
      </c>
      <c r="N103" s="731">
        <f t="shared" si="37"/>
        <v>2827629.1753522358</v>
      </c>
      <c r="O103" s="731">
        <f t="shared" si="37"/>
        <v>2850356.1751044323</v>
      </c>
      <c r="P103" s="731">
        <f t="shared" si="37"/>
        <v>2873083.1748566288</v>
      </c>
      <c r="Q103" s="731">
        <f t="shared" si="37"/>
        <v>2902681.9370413837</v>
      </c>
      <c r="R103" s="732">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30">
        <f t="shared" si="37"/>
        <v>2642700.4378444701</v>
      </c>
      <c r="L104" s="731">
        <f t="shared" si="37"/>
        <v>2721902.5560658015</v>
      </c>
      <c r="M104" s="731">
        <f t="shared" si="37"/>
        <v>2750502.7102799211</v>
      </c>
      <c r="N104" s="731">
        <f t="shared" si="37"/>
        <v>2779102.8644940415</v>
      </c>
      <c r="O104" s="731">
        <f t="shared" si="37"/>
        <v>2802275.2782397773</v>
      </c>
      <c r="P104" s="731">
        <f t="shared" si="37"/>
        <v>2825447.6919855122</v>
      </c>
      <c r="Q104" s="731">
        <f t="shared" si="37"/>
        <v>2855254.6164271832</v>
      </c>
      <c r="R104" s="732">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7"/>
      <c r="R105" s="738"/>
    </row>
    <row r="106" spans="1:33" ht="13.5" thickBot="1" x14ac:dyDescent="0.3">
      <c r="K106" s="741"/>
      <c r="L106" s="742"/>
      <c r="M106" s="742"/>
      <c r="N106" s="742"/>
      <c r="O106" s="742"/>
      <c r="P106" s="742"/>
      <c r="Q106" s="742"/>
      <c r="R106" s="743"/>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zoomScale="40" zoomScaleNormal="40" workbookViewId="0">
      <selection activeCell="AD20" sqref="AD20:AH11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c r="Y15" s="61">
        <f>'AEA2012 update'!L3</f>
        <v>0</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f>IFERROR(TRA.freight.capex*(V17+S18),0)</f>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429578.70333359978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247944.96977098632</v>
      </c>
      <c r="W20" s="103">
        <f t="array" ref="W20">IF(W$18,INDEX('AEA2012 update'!$K$6:$R$104,MATCH($T20&amp;$R20,'AEA2012 update'!$A$6:$A$104&amp;'AEA2012 update'!$B$6:$B$104,0),MATCH(W$16,'AEA2012 update'!$S$4:$Z$4,0)),INDEX('AEA2012 update'!$K$6:$R$104,MATCH($T20&amp;$U20,'AEA2012 update'!$A$6:$A$104&amp;'AEA2012 update'!$B$6:$B$104,0),MATCH(W$16,'AEA2012 update'!$S$4:$Z$4,0)))</f>
        <v>268486.68958349986</v>
      </c>
      <c r="X20" s="103">
        <f t="array" ref="X20">IF(X$18,INDEX('AEA2012 update'!$K$6:$R$104,MATCH($T20&amp;$R20,'AEA2012 update'!$A$6:$A$104&amp;'AEA2012 update'!$B$6:$B$104,0),MATCH(X$16,'AEA2012 update'!$S$4:$Z$4,0)),INDEX('AEA2012 update'!$K$6:$R$104,MATCH($T20&amp;$U20,'AEA2012 update'!$A$6:$A$104&amp;'AEA2012 update'!$B$6:$B$104,0),MATCH(X$16,'AEA2012 update'!$S$4:$Z$4,0)))</f>
        <v>273058.85559014819</v>
      </c>
      <c r="Y20" s="103">
        <f t="array" ref="Y20">IF(Y$18,INDEX('AEA2012 update'!$K$6:$R$104,MATCH($T20&amp;$R20,'AEA2012 update'!$A$6:$A$104&amp;'AEA2012 update'!$B$6:$B$104,0),MATCH(Y$16,'AEA2012 update'!$S$4:$Z$4,0)),INDEX('AEA2012 update'!$K$6:$R$104,MATCH($T20&amp;$U20,'AEA2012 update'!$A$6:$A$104&amp;'AEA2012 update'!$B$6:$B$104,0),MATCH(Y$16,'AEA2012 update'!$S$4:$Z$4,0)))</f>
        <v>277631.02159679646</v>
      </c>
      <c r="Z20" s="103">
        <f t="array" ref="Z20">IF(Z$18,INDEX('AEA2012 update'!$K$6:$R$104,MATCH($T20&amp;$R20,'AEA2012 update'!$A$6:$A$104&amp;'AEA2012 update'!$B$6:$B$104,0),MATCH(Z$16,'AEA2012 update'!$S$4:$Z$4,0)),INDEX('AEA2012 update'!$K$6:$R$104,MATCH($T20&amp;$U20,'AEA2012 update'!$A$6:$A$104&amp;'AEA2012 update'!$B$6:$B$104,0),MATCH(Z$16,'AEA2012 update'!$S$4:$Z$4,0)))</f>
        <v>280673.26534900116</v>
      </c>
      <c r="AA20" s="103">
        <f t="array" ref="AA20">IF(AA$18,INDEX('AEA2012 update'!$K$6:$R$104,MATCH($T20&amp;$R20,'AEA2012 update'!$A$6:$A$104&amp;'AEA2012 update'!$B$6:$B$104,0),MATCH(AA$16,'AEA2012 update'!$S$4:$Z$4,0)),INDEX('AEA2012 update'!$K$6:$R$104,MATCH($T20&amp;$U20,'AEA2012 update'!$A$6:$A$104&amp;'AEA2012 update'!$B$6:$B$104,0),MATCH(AA$16,'AEA2012 update'!$S$4:$Z$4,0)))</f>
        <v>283715.50910120585</v>
      </c>
      <c r="AB20" s="103">
        <f t="array" ref="AB20">IF(AB$18,INDEX('AEA2012 update'!$K$6:$R$104,MATCH($T20&amp;$R20,'AEA2012 update'!$A$6:$A$104&amp;'AEA2012 update'!$B$6:$B$104,0),MATCH(AB$16,'AEA2012 update'!$S$4:$Z$4,0)),INDEX('AEA2012 update'!$K$6:$R$104,MATCH($T20&amp;$U20,'AEA2012 update'!$A$6:$A$104&amp;'AEA2012 update'!$B$6:$B$104,0),MATCH(AB$16,'AEA2012 update'!$S$4:$Z$4,0)))</f>
        <v>287262.75055196777</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247944.96977098632</v>
      </c>
      <c r="W21" s="103">
        <f t="array" ref="W21">IF(W$18,INDEX('AEA2012 update'!$K$6:$R$104,MATCH($T21&amp;$R21,'AEA2012 update'!$A$6:$A$104&amp;'AEA2012 update'!$B$6:$B$104,0),MATCH(W$16,'AEA2012 update'!$S$4:$Z$4,0)),INDEX('AEA2012 update'!$K$6:$R$104,MATCH($T21&amp;$U21,'AEA2012 update'!$A$6:$A$104&amp;'AEA2012 update'!$B$6:$B$104,0),MATCH(W$16,'AEA2012 update'!$S$4:$Z$4,0)))</f>
        <v>268486.68958349986</v>
      </c>
      <c r="X21" s="103">
        <f t="array" ref="X21">IF(X$18,INDEX('AEA2012 update'!$K$6:$R$104,MATCH($T21&amp;$R21,'AEA2012 update'!$A$6:$A$104&amp;'AEA2012 update'!$B$6:$B$104,0),MATCH(X$16,'AEA2012 update'!$S$4:$Z$4,0)),INDEX('AEA2012 update'!$K$6:$R$104,MATCH($T21&amp;$U21,'AEA2012 update'!$A$6:$A$104&amp;'AEA2012 update'!$B$6:$B$104,0),MATCH(X$16,'AEA2012 update'!$S$4:$Z$4,0)))</f>
        <v>273058.85559014819</v>
      </c>
      <c r="Y21" s="103">
        <f t="array" ref="Y21">IF(Y$18,INDEX('AEA2012 update'!$K$6:$R$104,MATCH($T21&amp;$R21,'AEA2012 update'!$A$6:$A$104&amp;'AEA2012 update'!$B$6:$B$104,0),MATCH(Y$16,'AEA2012 update'!$S$4:$Z$4,0)),INDEX('AEA2012 update'!$K$6:$R$104,MATCH($T21&amp;$U21,'AEA2012 update'!$A$6:$A$104&amp;'AEA2012 update'!$B$6:$B$104,0),MATCH(Y$16,'AEA2012 update'!$S$4:$Z$4,0)))</f>
        <v>277631.02159679646</v>
      </c>
      <c r="Z21" s="103">
        <f t="array" ref="Z21">IF(Z$18,INDEX('AEA2012 update'!$K$6:$R$104,MATCH($T21&amp;$R21,'AEA2012 update'!$A$6:$A$104&amp;'AEA2012 update'!$B$6:$B$104,0),MATCH(Z$16,'AEA2012 update'!$S$4:$Z$4,0)),INDEX('AEA2012 update'!$K$6:$R$104,MATCH($T21&amp;$U21,'AEA2012 update'!$A$6:$A$104&amp;'AEA2012 update'!$B$6:$B$104,0),MATCH(Z$16,'AEA2012 update'!$S$4:$Z$4,0)))</f>
        <v>280673.26534900116</v>
      </c>
      <c r="AA21" s="103">
        <f t="array" ref="AA21">IF(AA$18,INDEX('AEA2012 update'!$K$6:$R$104,MATCH($T21&amp;$R21,'AEA2012 update'!$A$6:$A$104&amp;'AEA2012 update'!$B$6:$B$104,0),MATCH(AA$16,'AEA2012 update'!$S$4:$Z$4,0)),INDEX('AEA2012 update'!$K$6:$R$104,MATCH($T21&amp;$U21,'AEA2012 update'!$A$6:$A$104&amp;'AEA2012 update'!$B$6:$B$104,0),MATCH(AA$16,'AEA2012 update'!$S$4:$Z$4,0)))</f>
        <v>283715.50910120585</v>
      </c>
      <c r="AB21" s="103">
        <f t="array" ref="AB21">IF(AB$18,INDEX('AEA2012 update'!$K$6:$R$104,MATCH($T21&amp;$R21,'AEA2012 update'!$A$6:$A$104&amp;'AEA2012 update'!$B$6:$B$104,0),MATCH(AB$16,'AEA2012 update'!$S$4:$Z$4,0)),INDEX('AEA2012 update'!$K$6:$R$104,MATCH($T21&amp;$U21,'AEA2012 update'!$A$6:$A$104&amp;'AEA2012 update'!$B$6:$B$104,0),MATCH(AB$16,'AEA2012 update'!$S$4:$Z$4,0)))</f>
        <v>287262.75055196777</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366872.36771087733</v>
      </c>
      <c r="W22" s="103">
        <f t="array" ref="W22">IF(W$18,INDEX('AEA2012 update'!$K$6:$R$104,MATCH($T22&amp;$R22,'AEA2012 update'!$A$6:$A$104&amp;'AEA2012 update'!$B$6:$B$104,0),MATCH(W$16,'AEA2012 update'!$S$4:$Z$4,0)),INDEX('AEA2012 update'!$K$6:$R$104,MATCH($T22&amp;$U22,'AEA2012 update'!$A$6:$A$104&amp;'AEA2012 update'!$B$6:$B$104,0),MATCH(W$16,'AEA2012 update'!$S$4:$Z$4,0)))</f>
        <v>402730.03437524982</v>
      </c>
      <c r="X22" s="103">
        <f t="array" ref="X22">IF(X$18,INDEX('AEA2012 update'!$K$6:$R$104,MATCH($T22&amp;$R22,'AEA2012 update'!$A$6:$A$104&amp;'AEA2012 update'!$B$6:$B$104,0),MATCH(X$16,'AEA2012 update'!$S$4:$Z$4,0)),INDEX('AEA2012 update'!$K$6:$R$104,MATCH($T22&amp;$U22,'AEA2012 update'!$A$6:$A$104&amp;'AEA2012 update'!$B$6:$B$104,0),MATCH(X$16,'AEA2012 update'!$S$4:$Z$4,0)))</f>
        <v>408991.83210867527</v>
      </c>
      <c r="Y22" s="103">
        <f t="array" ref="Y22">IF(Y$18,INDEX('AEA2012 update'!$K$6:$R$104,MATCH($T22&amp;$R22,'AEA2012 update'!$A$6:$A$104&amp;'AEA2012 update'!$B$6:$B$104,0),MATCH(Y$16,'AEA2012 update'!$S$4:$Z$4,0)),INDEX('AEA2012 update'!$K$6:$R$104,MATCH($T22&amp;$U22,'AEA2012 update'!$A$6:$A$104&amp;'AEA2012 update'!$B$6:$B$104,0),MATCH(Y$16,'AEA2012 update'!$S$4:$Z$4,0)))</f>
        <v>277631.02159679646</v>
      </c>
      <c r="Z22" s="103">
        <f t="array" ref="Z22">IF(Z$18,INDEX('AEA2012 update'!$K$6:$R$104,MATCH($T22&amp;$R22,'AEA2012 update'!$A$6:$A$104&amp;'AEA2012 update'!$B$6:$B$104,0),MATCH(Z$16,'AEA2012 update'!$S$4:$Z$4,0)),INDEX('AEA2012 update'!$K$6:$R$104,MATCH($T22&amp;$U22,'AEA2012 update'!$A$6:$A$104&amp;'AEA2012 update'!$B$6:$B$104,0),MATCH(Z$16,'AEA2012 update'!$S$4:$Z$4,0)))</f>
        <v>280673.26534900116</v>
      </c>
      <c r="AA22" s="103">
        <f t="array" ref="AA22">IF(AA$18,INDEX('AEA2012 update'!$K$6:$R$104,MATCH($T22&amp;$R22,'AEA2012 update'!$A$6:$A$104&amp;'AEA2012 update'!$B$6:$B$104,0),MATCH(AA$16,'AEA2012 update'!$S$4:$Z$4,0)),INDEX('AEA2012 update'!$K$6:$R$104,MATCH($T22&amp;$U22,'AEA2012 update'!$A$6:$A$104&amp;'AEA2012 update'!$B$6:$B$104,0),MATCH(AA$16,'AEA2012 update'!$S$4:$Z$4,0)))</f>
        <v>283715.50910120585</v>
      </c>
      <c r="AB22" s="103">
        <f t="array" ref="AB22">IF(AB$18,INDEX('AEA2012 update'!$K$6:$R$104,MATCH($T22&amp;$R22,'AEA2012 update'!$A$6:$A$104&amp;'AEA2012 update'!$B$6:$B$104,0),MATCH(AB$16,'AEA2012 update'!$S$4:$Z$4,0)),INDEX('AEA2012 update'!$K$6:$R$104,MATCH($T22&amp;$U22,'AEA2012 update'!$A$6:$A$104&amp;'AEA2012 update'!$B$6:$B$104,0),MATCH(AB$16,'AEA2012 update'!$S$4:$Z$4,0)))</f>
        <v>287262.75055196777</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485472.66830435471</v>
      </c>
      <c r="W23" s="103">
        <f t="array" ref="W23">IF(W$18,INDEX('AEA2012 update'!$K$6:$R$104,MATCH($T23&amp;$R23,'AEA2012 update'!$A$6:$A$104&amp;'AEA2012 update'!$B$6:$B$104,0),MATCH(W$16,'AEA2012 update'!$S$4:$Z$4,0)),INDEX('AEA2012 update'!$K$6:$R$104,MATCH($T23&amp;$U23,'AEA2012 update'!$A$6:$A$104&amp;'AEA2012 update'!$B$6:$B$104,0),MATCH(W$16,'AEA2012 update'!$S$4:$Z$4,0)))</f>
        <v>460902.15045167482</v>
      </c>
      <c r="X23" s="103">
        <f t="array" ref="X23">IF(X$18,INDEX('AEA2012 update'!$K$6:$R$104,MATCH($T23&amp;$R23,'AEA2012 update'!$A$6:$A$104&amp;'AEA2012 update'!$B$6:$B$104,0),MATCH(X$16,'AEA2012 update'!$S$4:$Z$4,0)),INDEX('AEA2012 update'!$K$6:$R$104,MATCH($T23&amp;$U23,'AEA2012 update'!$A$6:$A$104&amp;'AEA2012 update'!$B$6:$B$104,0),MATCH(X$16,'AEA2012 update'!$S$4:$Z$4,0)))</f>
        <v>456925.32105162693</v>
      </c>
      <c r="Y23" s="103">
        <f t="array" ref="Y23">IF(Y$18,INDEX('AEA2012 update'!$K$6:$R$104,MATCH($T23&amp;$R23,'AEA2012 update'!$A$6:$A$104&amp;'AEA2012 update'!$B$6:$B$104,0),MATCH(Y$16,'AEA2012 update'!$S$4:$Z$4,0)),INDEX('AEA2012 update'!$K$6:$R$104,MATCH($T23&amp;$U23,'AEA2012 update'!$A$6:$A$104&amp;'AEA2012 update'!$B$6:$B$104,0),MATCH(Y$16,'AEA2012 update'!$S$4:$Z$4,0)))</f>
        <v>277631.02159679646</v>
      </c>
      <c r="Z23" s="103">
        <f t="array" ref="Z23">IF(Z$18,INDEX('AEA2012 update'!$K$6:$R$104,MATCH($T23&amp;$R23,'AEA2012 update'!$A$6:$A$104&amp;'AEA2012 update'!$B$6:$B$104,0),MATCH(Z$16,'AEA2012 update'!$S$4:$Z$4,0)),INDEX('AEA2012 update'!$K$6:$R$104,MATCH($T23&amp;$U23,'AEA2012 update'!$A$6:$A$104&amp;'AEA2012 update'!$B$6:$B$104,0),MATCH(Z$16,'AEA2012 update'!$S$4:$Z$4,0)))</f>
        <v>280673.26534900116</v>
      </c>
      <c r="AA23" s="103">
        <f t="array" ref="AA23">IF(AA$18,INDEX('AEA2012 update'!$K$6:$R$104,MATCH($T23&amp;$R23,'AEA2012 update'!$A$6:$A$104&amp;'AEA2012 update'!$B$6:$B$104,0),MATCH(AA$16,'AEA2012 update'!$S$4:$Z$4,0)),INDEX('AEA2012 update'!$K$6:$R$104,MATCH($T23&amp;$U23,'AEA2012 update'!$A$6:$A$104&amp;'AEA2012 update'!$B$6:$B$104,0),MATCH(AA$16,'AEA2012 update'!$S$4:$Z$4,0)))</f>
        <v>283715.50910120585</v>
      </c>
      <c r="AB23" s="103">
        <f t="array" ref="AB23">IF(AB$18,INDEX('AEA2012 update'!$K$6:$R$104,MATCH($T23&amp;$R23,'AEA2012 update'!$A$6:$A$104&amp;'AEA2012 update'!$B$6:$B$104,0),MATCH(AB$16,'AEA2012 update'!$S$4:$Z$4,0)),INDEX('AEA2012 update'!$K$6:$R$104,MATCH($T23&amp;$U23,'AEA2012 update'!$A$6:$A$104&amp;'AEA2012 update'!$B$6:$B$104,0),MATCH(AB$16,'AEA2012 update'!$S$4:$Z$4,0)))</f>
        <v>287262.75055196777</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708310.0288050283</v>
      </c>
      <c r="W24" s="103">
        <f t="array" ref="W24">IF(W$18,INDEX('AEA2012 update'!$K$6:$R$104,MATCH($T24&amp;$R24,'AEA2012 update'!$A$6:$A$104&amp;'AEA2012 update'!$B$6:$B$104,0),MATCH(W$16,'AEA2012 update'!$S$4:$Z$4,0)),INDEX('AEA2012 update'!$K$6:$R$104,MATCH($T24&amp;$U24,'AEA2012 update'!$A$6:$A$104&amp;'AEA2012 update'!$B$6:$B$104,0),MATCH(W$16,'AEA2012 update'!$S$4:$Z$4,0)))</f>
        <v>691353.22567751224</v>
      </c>
      <c r="X24" s="103">
        <f t="array" ref="X24">IF(X$18,INDEX('AEA2012 update'!$K$6:$R$104,MATCH($T24&amp;$R24,'AEA2012 update'!$A$6:$A$104&amp;'AEA2012 update'!$B$6:$B$104,0),MATCH(X$16,'AEA2012 update'!$S$4:$Z$4,0)),INDEX('AEA2012 update'!$K$6:$R$104,MATCH($T24&amp;$U24,'AEA2012 update'!$A$6:$A$104&amp;'AEA2012 update'!$B$6:$B$104,0),MATCH(X$16,'AEA2012 update'!$S$4:$Z$4,0)))</f>
        <v>685881.01096414251</v>
      </c>
      <c r="Y24" s="103">
        <f t="array" ref="Y24">IF(Y$18,INDEX('AEA2012 update'!$K$6:$R$104,MATCH($T24&amp;$R24,'AEA2012 update'!$A$6:$A$104&amp;'AEA2012 update'!$B$6:$B$104,0),MATCH(Y$16,'AEA2012 update'!$S$4:$Z$4,0)),INDEX('AEA2012 update'!$K$6:$R$104,MATCH($T24&amp;$U24,'AEA2012 update'!$A$6:$A$104&amp;'AEA2012 update'!$B$6:$B$104,0),MATCH(Y$16,'AEA2012 update'!$S$4:$Z$4,0)))</f>
        <v>277631.02159679646</v>
      </c>
      <c r="Z24" s="103">
        <f t="array" ref="Z24">IF(Z$18,INDEX('AEA2012 update'!$K$6:$R$104,MATCH($T24&amp;$R24,'AEA2012 update'!$A$6:$A$104&amp;'AEA2012 update'!$B$6:$B$104,0),MATCH(Z$16,'AEA2012 update'!$S$4:$Z$4,0)),INDEX('AEA2012 update'!$K$6:$R$104,MATCH($T24&amp;$U24,'AEA2012 update'!$A$6:$A$104&amp;'AEA2012 update'!$B$6:$B$104,0),MATCH(Z$16,'AEA2012 update'!$S$4:$Z$4,0)))</f>
        <v>280673.26534900116</v>
      </c>
      <c r="AA24" s="103">
        <f t="array" ref="AA24">IF(AA$18,INDEX('AEA2012 update'!$K$6:$R$104,MATCH($T24&amp;$R24,'AEA2012 update'!$A$6:$A$104&amp;'AEA2012 update'!$B$6:$B$104,0),MATCH(AA$16,'AEA2012 update'!$S$4:$Z$4,0)),INDEX('AEA2012 update'!$K$6:$R$104,MATCH($T24&amp;$U24,'AEA2012 update'!$A$6:$A$104&amp;'AEA2012 update'!$B$6:$B$104,0),MATCH(AA$16,'AEA2012 update'!$S$4:$Z$4,0)))</f>
        <v>283715.50910120585</v>
      </c>
      <c r="AB24" s="103">
        <f t="array" ref="AB24">IF(AB$18,INDEX('AEA2012 update'!$K$6:$R$104,MATCH($T24&amp;$R24,'AEA2012 update'!$A$6:$A$104&amp;'AEA2012 update'!$B$6:$B$104,0),MATCH(AB$16,'AEA2012 update'!$S$4:$Z$4,0)),INDEX('AEA2012 update'!$K$6:$R$104,MATCH($T24&amp;$U24,'AEA2012 update'!$A$6:$A$104&amp;'AEA2012 update'!$B$6:$B$104,0),MATCH(AB$16,'AEA2012 update'!$S$4:$Z$4,0)))</f>
        <v>287262.75055196777</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754781.04305413144</v>
      </c>
      <c r="W25" s="103">
        <f t="array" ref="W25">IF(W$18,INDEX('AEA2012 update'!$K$6:$R$104,MATCH($T25&amp;$R25,'AEA2012 update'!$A$6:$A$104&amp;'AEA2012 update'!$B$6:$B$104,0),MATCH(W$16,'AEA2012 update'!$S$4:$Z$4,0)),INDEX('AEA2012 update'!$K$6:$R$104,MATCH($T25&amp;$U25,'AEA2012 update'!$A$6:$A$104&amp;'AEA2012 update'!$B$6:$B$104,0),MATCH(W$16,'AEA2012 update'!$S$4:$Z$4,0)))</f>
        <v>612999.86010072753</v>
      </c>
      <c r="X25" s="103">
        <f t="array" ref="X25">IF(X$18,INDEX('AEA2012 update'!$K$6:$R$104,MATCH($T25&amp;$R25,'AEA2012 update'!$A$6:$A$104&amp;'AEA2012 update'!$B$6:$B$104,0),MATCH(X$16,'AEA2012 update'!$S$4:$Z$4,0)),INDEX('AEA2012 update'!$K$6:$R$104,MATCH($T25&amp;$U25,'AEA2012 update'!$A$6:$A$104&amp;'AEA2012 update'!$B$6:$B$104,0),MATCH(X$16,'AEA2012 update'!$S$4:$Z$4,0)))</f>
        <v>594007.49324474961</v>
      </c>
      <c r="Y25" s="103">
        <f t="array" ref="Y25">IF(Y$18,INDEX('AEA2012 update'!$K$6:$R$104,MATCH($T25&amp;$R25,'AEA2012 update'!$A$6:$A$104&amp;'AEA2012 update'!$B$6:$B$104,0),MATCH(Y$16,'AEA2012 update'!$S$4:$Z$4,0)),INDEX('AEA2012 update'!$K$6:$R$104,MATCH($T25&amp;$U25,'AEA2012 update'!$A$6:$A$104&amp;'AEA2012 update'!$B$6:$B$104,0),MATCH(Y$16,'AEA2012 update'!$S$4:$Z$4,0)))</f>
        <v>277631.02159679646</v>
      </c>
      <c r="Z25" s="103">
        <f t="array" ref="Z25">IF(Z$18,INDEX('AEA2012 update'!$K$6:$R$104,MATCH($T25&amp;$R25,'AEA2012 update'!$A$6:$A$104&amp;'AEA2012 update'!$B$6:$B$104,0),MATCH(Z$16,'AEA2012 update'!$S$4:$Z$4,0)),INDEX('AEA2012 update'!$K$6:$R$104,MATCH($T25&amp;$U25,'AEA2012 update'!$A$6:$A$104&amp;'AEA2012 update'!$B$6:$B$104,0),MATCH(Z$16,'AEA2012 update'!$S$4:$Z$4,0)))</f>
        <v>280673.26534900116</v>
      </c>
      <c r="AA25" s="103">
        <f t="array" ref="AA25">IF(AA$18,INDEX('AEA2012 update'!$K$6:$R$104,MATCH($T25&amp;$R25,'AEA2012 update'!$A$6:$A$104&amp;'AEA2012 update'!$B$6:$B$104,0),MATCH(AA$16,'AEA2012 update'!$S$4:$Z$4,0)),INDEX('AEA2012 update'!$K$6:$R$104,MATCH($T25&amp;$U25,'AEA2012 update'!$A$6:$A$104&amp;'AEA2012 update'!$B$6:$B$104,0),MATCH(AA$16,'AEA2012 update'!$S$4:$Z$4,0)))</f>
        <v>283715.50910120585</v>
      </c>
      <c r="AB25" s="103">
        <f t="array" ref="AB25">IF(AB$18,INDEX('AEA2012 update'!$K$6:$R$104,MATCH($T25&amp;$R25,'AEA2012 update'!$A$6:$A$104&amp;'AEA2012 update'!$B$6:$B$104,0),MATCH(AB$16,'AEA2012 update'!$S$4:$Z$4,0)),INDEX('AEA2012 update'!$K$6:$R$104,MATCH($T25&amp;$U25,'AEA2012 update'!$A$6:$A$104&amp;'AEA2012 update'!$B$6:$B$104,0),MATCH(AB$16,'AEA2012 update'!$S$4:$Z$4,0)))</f>
        <v>287262.75055196777</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1112579.4222334607</v>
      </c>
      <c r="W26" s="103">
        <f t="array" ref="W26">IF(W$18,INDEX('AEA2012 update'!$K$6:$R$104,MATCH($T26&amp;$R26,'AEA2012 update'!$A$6:$A$104&amp;'AEA2012 update'!$B$6:$B$104,0),MATCH(W$16,'AEA2012 update'!$S$4:$Z$4,0)),INDEX('AEA2012 update'!$K$6:$R$104,MATCH($T26&amp;$U26,'AEA2012 update'!$A$6:$A$104&amp;'AEA2012 update'!$B$6:$B$104,0),MATCH(W$16,'AEA2012 update'!$S$4:$Z$4,0)))</f>
        <v>919499.79015109118</v>
      </c>
      <c r="X26" s="103">
        <f t="array" ref="X26">IF(X$18,INDEX('AEA2012 update'!$K$6:$R$104,MATCH($T26&amp;$R26,'AEA2012 update'!$A$6:$A$104&amp;'AEA2012 update'!$B$6:$B$104,0),MATCH(X$16,'AEA2012 update'!$S$4:$Z$4,0)),INDEX('AEA2012 update'!$K$6:$R$104,MATCH($T26&amp;$U26,'AEA2012 update'!$A$6:$A$104&amp;'AEA2012 update'!$B$6:$B$104,0),MATCH(X$16,'AEA2012 update'!$S$4:$Z$4,0)))</f>
        <v>891562.78630562383</v>
      </c>
      <c r="Y26" s="103">
        <f t="array" ref="Y26">IF(Y$18,INDEX('AEA2012 update'!$K$6:$R$104,MATCH($T26&amp;$R26,'AEA2012 update'!$A$6:$A$104&amp;'AEA2012 update'!$B$6:$B$104,0),MATCH(Y$16,'AEA2012 update'!$S$4:$Z$4,0)),INDEX('AEA2012 update'!$K$6:$R$104,MATCH($T26&amp;$U26,'AEA2012 update'!$A$6:$A$104&amp;'AEA2012 update'!$B$6:$B$104,0),MATCH(Y$16,'AEA2012 update'!$S$4:$Z$4,0)))</f>
        <v>277631.02159679646</v>
      </c>
      <c r="Z26" s="103">
        <f t="array" ref="Z26">IF(Z$18,INDEX('AEA2012 update'!$K$6:$R$104,MATCH($T26&amp;$R26,'AEA2012 update'!$A$6:$A$104&amp;'AEA2012 update'!$B$6:$B$104,0),MATCH(Z$16,'AEA2012 update'!$S$4:$Z$4,0)),INDEX('AEA2012 update'!$K$6:$R$104,MATCH($T26&amp;$U26,'AEA2012 update'!$A$6:$A$104&amp;'AEA2012 update'!$B$6:$B$104,0),MATCH(Z$16,'AEA2012 update'!$S$4:$Z$4,0)))</f>
        <v>280673.26534900116</v>
      </c>
      <c r="AA26" s="103">
        <f t="array" ref="AA26">IF(AA$18,INDEX('AEA2012 update'!$K$6:$R$104,MATCH($T26&amp;$R26,'AEA2012 update'!$A$6:$A$104&amp;'AEA2012 update'!$B$6:$B$104,0),MATCH(AA$16,'AEA2012 update'!$S$4:$Z$4,0)),INDEX('AEA2012 update'!$K$6:$R$104,MATCH($T26&amp;$U26,'AEA2012 update'!$A$6:$A$104&amp;'AEA2012 update'!$B$6:$B$104,0),MATCH(AA$16,'AEA2012 update'!$S$4:$Z$4,0)))</f>
        <v>283715.50910120585</v>
      </c>
      <c r="AB26" s="103">
        <f t="array" ref="AB26">IF(AB$18,INDEX('AEA2012 update'!$K$6:$R$104,MATCH($T26&amp;$R26,'AEA2012 update'!$A$6:$A$104&amp;'AEA2012 update'!$B$6:$B$104,0),MATCH(AB$16,'AEA2012 update'!$S$4:$Z$4,0)),INDEX('AEA2012 update'!$K$6:$R$104,MATCH($T26&amp;$U26,'AEA2012 update'!$A$6:$A$104&amp;'AEA2012 update'!$B$6:$B$104,0),MATCH(AB$16,'AEA2012 update'!$S$4:$Z$4,0)))</f>
        <v>287262.75055196777</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1038148.5330561996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955702.0583489167</v>
      </c>
      <c r="W27" s="103">
        <f t="array" ref="W27">IF(W$18,INDEX('AEA2012 update'!$K$6:$R$104,MATCH($T27&amp;$R27,'AEA2012 update'!$A$6:$A$104&amp;'AEA2012 update'!$B$6:$B$104,0),MATCH(W$16,'AEA2012 update'!$S$4:$Z$4,0)),INDEX('AEA2012 update'!$K$6:$R$104,MATCH($T27&amp;$U27,'AEA2012 update'!$A$6:$A$104&amp;'AEA2012 update'!$B$6:$B$104,0),MATCH(W$16,'AEA2012 update'!$S$4:$Z$4,0)))</f>
        <v>648842.83316012472</v>
      </c>
      <c r="X27" s="103">
        <f t="array" ref="X27">IF(X$18,INDEX('AEA2012 update'!$K$6:$R$104,MATCH($T27&amp;$R27,'AEA2012 update'!$A$6:$A$104&amp;'AEA2012 update'!$B$6:$B$104,0),MATCH(X$16,'AEA2012 update'!$S$4:$Z$4,0)),INDEX('AEA2012 update'!$K$6:$R$104,MATCH($T27&amp;$U27,'AEA2012 update'!$A$6:$A$104&amp;'AEA2012 update'!$B$6:$B$104,0),MATCH(X$16,'AEA2012 update'!$S$4:$Z$4,0)))</f>
        <v>593071.84107131546</v>
      </c>
      <c r="Y27" s="103">
        <f t="array" ref="Y27">IF(Y$18,INDEX('AEA2012 update'!$K$6:$R$104,MATCH($T27&amp;$R27,'AEA2012 update'!$A$6:$A$104&amp;'AEA2012 update'!$B$6:$B$104,0),MATCH(Y$16,'AEA2012 update'!$S$4:$Z$4,0)),INDEX('AEA2012 update'!$K$6:$R$104,MATCH($T27&amp;$U27,'AEA2012 update'!$A$6:$A$104&amp;'AEA2012 update'!$B$6:$B$104,0),MATCH(Y$16,'AEA2012 update'!$S$4:$Z$4,0)))</f>
        <v>277631.02159679646</v>
      </c>
      <c r="Z27" s="103">
        <f t="array" ref="Z27">IF(Z$18,INDEX('AEA2012 update'!$K$6:$R$104,MATCH($T27&amp;$R27,'AEA2012 update'!$A$6:$A$104&amp;'AEA2012 update'!$B$6:$B$104,0),MATCH(Z$16,'AEA2012 update'!$S$4:$Z$4,0)),INDEX('AEA2012 update'!$K$6:$R$104,MATCH($T27&amp;$U27,'AEA2012 update'!$A$6:$A$104&amp;'AEA2012 update'!$B$6:$B$104,0),MATCH(Z$16,'AEA2012 update'!$S$4:$Z$4,0)))</f>
        <v>280673.26534900116</v>
      </c>
      <c r="AA27" s="103">
        <f t="array" ref="AA27">IF(AA$18,INDEX('AEA2012 update'!$K$6:$R$104,MATCH($T27&amp;$R27,'AEA2012 update'!$A$6:$A$104&amp;'AEA2012 update'!$B$6:$B$104,0),MATCH(AA$16,'AEA2012 update'!$S$4:$Z$4,0)),INDEX('AEA2012 update'!$K$6:$R$104,MATCH($T27&amp;$U27,'AEA2012 update'!$A$6:$A$104&amp;'AEA2012 update'!$B$6:$B$104,0),MATCH(AA$16,'AEA2012 update'!$S$4:$Z$4,0)))</f>
        <v>283715.50910120585</v>
      </c>
      <c r="AB27" s="103">
        <f t="array" ref="AB27">IF(AB$18,INDEX('AEA2012 update'!$K$6:$R$104,MATCH($T27&amp;$R27,'AEA2012 update'!$A$6:$A$104&amp;'AEA2012 update'!$B$6:$B$104,0),MATCH(AB$16,'AEA2012 update'!$S$4:$Z$4,0)),INDEX('AEA2012 update'!$K$6:$R$104,MATCH($T27&amp;$U27,'AEA2012 update'!$A$6:$A$104&amp;'AEA2012 update'!$B$6:$B$104,0),MATCH(AB$16,'AEA2012 update'!$S$4:$Z$4,0)))</f>
        <v>287262.75055196777</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6791156.48312381</v>
      </c>
      <c r="W28" s="103">
        <f t="array" ref="W28">IF(W$18,INDEX('AEA2012 update'!$K$6:$R$104,MATCH($T28&amp;$R28,'AEA2012 update'!$A$6:$A$104&amp;'AEA2012 update'!$B$6:$B$104,0),MATCH(W$16,'AEA2012 update'!$S$4:$Z$4,0)),INDEX('AEA2012 update'!$K$6:$R$104,MATCH($T28&amp;$U28,'AEA2012 update'!$A$6:$A$104&amp;'AEA2012 update'!$B$6:$B$104,0),MATCH(W$16,'AEA2012 update'!$S$4:$Z$4,0)))</f>
        <v>2684866.8958349987</v>
      </c>
      <c r="X28" s="103">
        <f t="array" ref="X28">IF(X$18,INDEX('AEA2012 update'!$K$6:$R$104,MATCH($T28&amp;$R28,'AEA2012 update'!$A$6:$A$104&amp;'AEA2012 update'!$B$6:$B$104,0),MATCH(X$16,'AEA2012 update'!$S$4:$Z$4,0)),INDEX('AEA2012 update'!$K$6:$R$104,MATCH($T28&amp;$U28,'AEA2012 update'!$A$6:$A$104&amp;'AEA2012 update'!$B$6:$B$104,0),MATCH(X$16,'AEA2012 update'!$S$4:$Z$4,0)))</f>
        <v>2048203.2707303744</v>
      </c>
      <c r="Y28" s="103">
        <f t="array" ref="Y28">IF(Y$18,INDEX('AEA2012 update'!$K$6:$R$104,MATCH($T28&amp;$R28,'AEA2012 update'!$A$6:$A$104&amp;'AEA2012 update'!$B$6:$B$104,0),MATCH(Y$16,'AEA2012 update'!$S$4:$Z$4,0)),INDEX('AEA2012 update'!$K$6:$R$104,MATCH($T28&amp;$U28,'AEA2012 update'!$A$6:$A$104&amp;'AEA2012 update'!$B$6:$B$104,0),MATCH(Y$16,'AEA2012 update'!$S$4:$Z$4,0)))</f>
        <v>277631.02159679646</v>
      </c>
      <c r="Z28" s="103">
        <f t="array" ref="Z28">IF(Z$18,INDEX('AEA2012 update'!$K$6:$R$104,MATCH($T28&amp;$R28,'AEA2012 update'!$A$6:$A$104&amp;'AEA2012 update'!$B$6:$B$104,0),MATCH(Z$16,'AEA2012 update'!$S$4:$Z$4,0)),INDEX('AEA2012 update'!$K$6:$R$104,MATCH($T28&amp;$U28,'AEA2012 update'!$A$6:$A$104&amp;'AEA2012 update'!$B$6:$B$104,0),MATCH(Z$16,'AEA2012 update'!$S$4:$Z$4,0)))</f>
        <v>280673.26534900116</v>
      </c>
      <c r="AA28" s="103">
        <f t="array" ref="AA28">IF(AA$18,INDEX('AEA2012 update'!$K$6:$R$104,MATCH($T28&amp;$R28,'AEA2012 update'!$A$6:$A$104&amp;'AEA2012 update'!$B$6:$B$104,0),MATCH(AA$16,'AEA2012 update'!$S$4:$Z$4,0)),INDEX('AEA2012 update'!$K$6:$R$104,MATCH($T28&amp;$U28,'AEA2012 update'!$A$6:$A$104&amp;'AEA2012 update'!$B$6:$B$104,0),MATCH(AA$16,'AEA2012 update'!$S$4:$Z$4,0)))</f>
        <v>283715.50910120585</v>
      </c>
      <c r="AB28" s="103">
        <f t="array" ref="AB28">IF(AB$18,INDEX('AEA2012 update'!$K$6:$R$104,MATCH($T28&amp;$R28,'AEA2012 update'!$A$6:$A$104&amp;'AEA2012 update'!$B$6:$B$104,0),MATCH(AB$16,'AEA2012 update'!$S$4:$Z$4,0)),INDEX('AEA2012 update'!$K$6:$R$104,MATCH($T28&amp;$U28,'AEA2012 update'!$A$6:$A$104&amp;'AEA2012 update'!$B$6:$B$104,0),MATCH(AB$16,'AEA2012 update'!$S$4:$Z$4,0)))</f>
        <v>287262.75055196777</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420752.54002197512</v>
      </c>
      <c r="W29" s="103">
        <f t="array" ref="W29">IF(W$18,INDEX('AEA2012 update'!$K$6:$R$104,MATCH($T29&amp;$R29,'AEA2012 update'!$A$6:$A$104&amp;'AEA2012 update'!$B$6:$B$104,0),MATCH(W$16,'AEA2012 update'!$S$4:$Z$4,0)),INDEX('AEA2012 update'!$K$6:$R$104,MATCH($T29&amp;$U29,'AEA2012 update'!$A$6:$A$104&amp;'AEA2012 update'!$B$6:$B$104,0),MATCH(W$16,'AEA2012 update'!$S$4:$Z$4,0)))</f>
        <v>443003.03781277488</v>
      </c>
      <c r="X29" s="103">
        <f t="array" ref="X29">IF(X$18,INDEX('AEA2012 update'!$K$6:$R$104,MATCH($T29&amp;$R29,'AEA2012 update'!$A$6:$A$104&amp;'AEA2012 update'!$B$6:$B$104,0),MATCH(X$16,'AEA2012 update'!$S$4:$Z$4,0)),INDEX('AEA2012 update'!$K$6:$R$104,MATCH($T29&amp;$U29,'AEA2012 update'!$A$6:$A$104&amp;'AEA2012 update'!$B$6:$B$104,0),MATCH(X$16,'AEA2012 update'!$S$4:$Z$4,0)))</f>
        <v>447480.62192535622</v>
      </c>
      <c r="Y29" s="103">
        <f t="array" ref="Y29">IF(Y$18,INDEX('AEA2012 update'!$K$6:$R$104,MATCH($T29&amp;$R29,'AEA2012 update'!$A$6:$A$104&amp;'AEA2012 update'!$B$6:$B$104,0),MATCH(Y$16,'AEA2012 update'!$S$4:$Z$4,0)),INDEX('AEA2012 update'!$K$6:$R$104,MATCH($T29&amp;$U29,'AEA2012 update'!$A$6:$A$104&amp;'AEA2012 update'!$B$6:$B$104,0),MATCH(Y$16,'AEA2012 update'!$S$4:$Z$4,0)))</f>
        <v>277631.02159679646</v>
      </c>
      <c r="Z29" s="103">
        <f t="array" ref="Z29">IF(Z$18,INDEX('AEA2012 update'!$K$6:$R$104,MATCH($T29&amp;$R29,'AEA2012 update'!$A$6:$A$104&amp;'AEA2012 update'!$B$6:$B$104,0),MATCH(Z$16,'AEA2012 update'!$S$4:$Z$4,0)),INDEX('AEA2012 update'!$K$6:$R$104,MATCH($T29&amp;$U29,'AEA2012 update'!$A$6:$A$104&amp;'AEA2012 update'!$B$6:$B$104,0),MATCH(Z$16,'AEA2012 update'!$S$4:$Z$4,0)))</f>
        <v>280673.26534900116</v>
      </c>
      <c r="AA29" s="103">
        <f t="array" ref="AA29">IF(AA$18,INDEX('AEA2012 update'!$K$6:$R$104,MATCH($T29&amp;$R29,'AEA2012 update'!$A$6:$A$104&amp;'AEA2012 update'!$B$6:$B$104,0),MATCH(AA$16,'AEA2012 update'!$S$4:$Z$4,0)),INDEX('AEA2012 update'!$K$6:$R$104,MATCH($T29&amp;$U29,'AEA2012 update'!$A$6:$A$104&amp;'AEA2012 update'!$B$6:$B$104,0),MATCH(AA$16,'AEA2012 update'!$S$4:$Z$4,0)))</f>
        <v>283715.50910120585</v>
      </c>
      <c r="AB29" s="103">
        <f t="array" ref="AB29">IF(AB$18,INDEX('AEA2012 update'!$K$6:$R$104,MATCH($T29&amp;$R29,'AEA2012 update'!$A$6:$A$104&amp;'AEA2012 update'!$B$6:$B$104,0),MATCH(AB$16,'AEA2012 update'!$S$4:$Z$4,0)),INDEX('AEA2012 update'!$K$6:$R$104,MATCH($T29&amp;$U29,'AEA2012 update'!$A$6:$A$104&amp;'AEA2012 update'!$B$6:$B$104,0),MATCH(AB$16,'AEA2012 update'!$S$4:$Z$4,0)))</f>
        <v>287262.75055196777</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349892.60386662662</v>
      </c>
      <c r="W31" s="103">
        <f t="array" ref="W31">IF(W$18,INDEX('AEA2012 update'!$K$6:$R$104,MATCH($T31&amp;$R31,'AEA2012 update'!$A$6:$A$104&amp;'AEA2012 update'!$B$6:$B$104,0),MATCH(W$16,'AEA2012 update'!$S$4:$Z$4,0)),INDEX('AEA2012 update'!$K$6:$R$104,MATCH($T31&amp;$U31,'AEA2012 update'!$A$6:$A$104&amp;'AEA2012 update'!$B$6:$B$104,0),MATCH(W$16,'AEA2012 update'!$S$4:$Z$4,0)))</f>
        <v>380356.14357662486</v>
      </c>
      <c r="X31" s="103">
        <f t="array" ref="X31">IF(X$18,INDEX('AEA2012 update'!$K$6:$R$104,MATCH($T31&amp;$R31,'AEA2012 update'!$A$6:$A$104&amp;'AEA2012 update'!$B$6:$B$104,0),MATCH(X$16,'AEA2012 update'!$S$4:$Z$4,0)),INDEX('AEA2012 update'!$K$6:$R$104,MATCH($T31&amp;$U31,'AEA2012 update'!$A$6:$A$104&amp;'AEA2012 update'!$B$6:$B$104,0),MATCH(X$16,'AEA2012 update'!$S$4:$Z$4,0)))</f>
        <v>387365.55267083854</v>
      </c>
      <c r="Y31" s="103">
        <f t="array" ref="Y31">IF(Y$18,INDEX('AEA2012 update'!$K$6:$R$104,MATCH($T31&amp;$R31,'AEA2012 update'!$A$6:$A$104&amp;'AEA2012 update'!$B$6:$B$104,0),MATCH(Y$16,'AEA2012 update'!$S$4:$Z$4,0)),INDEX('AEA2012 update'!$K$6:$R$104,MATCH($T31&amp;$U31,'AEA2012 update'!$A$6:$A$104&amp;'AEA2012 update'!$B$6:$B$104,0),MATCH(Y$16,'AEA2012 update'!$S$4:$Z$4,0)))</f>
        <v>394374.96176505223</v>
      </c>
      <c r="Z31" s="103">
        <f t="array" ref="Z31">IF(Z$18,INDEX('AEA2012 update'!$K$6:$R$104,MATCH($T31&amp;$R31,'AEA2012 update'!$A$6:$A$104&amp;'AEA2012 update'!$B$6:$B$104,0),MATCH(Z$16,'AEA2012 update'!$S$4:$Z$4,0)),INDEX('AEA2012 update'!$K$6:$R$104,MATCH($T31&amp;$U31,'AEA2012 update'!$A$6:$A$104&amp;'AEA2012 update'!$B$6:$B$104,0),MATCH(Z$16,'AEA2012 update'!$S$4:$Z$4,0)))</f>
        <v>402987.36331977899</v>
      </c>
      <c r="AA31" s="103">
        <f t="array" ref="AA31">IF(AA$18,INDEX('AEA2012 update'!$K$6:$R$104,MATCH($T31&amp;$R31,'AEA2012 update'!$A$6:$A$104&amp;'AEA2012 update'!$B$6:$B$104,0),MATCH(AA$16,'AEA2012 update'!$S$4:$Z$4,0)),INDEX('AEA2012 update'!$K$6:$R$104,MATCH($T31&amp;$U31,'AEA2012 update'!$A$6:$A$104&amp;'AEA2012 update'!$B$6:$B$104,0),MATCH(AA$16,'AEA2012 update'!$S$4:$Z$4,0)))</f>
        <v>411599.76487450581</v>
      </c>
      <c r="AB31" s="103">
        <f t="array" ref="AB31">IF(AB$18,INDEX('AEA2012 update'!$K$6:$R$104,MATCH($T31&amp;$R31,'AEA2012 update'!$A$6:$A$104&amp;'AEA2012 update'!$B$6:$B$104,0),MATCH(AB$16,'AEA2012 update'!$S$4:$Z$4,0)),INDEX('AEA2012 update'!$K$6:$R$104,MATCH($T31&amp;$U31,'AEA2012 update'!$A$6:$A$104&amp;'AEA2012 update'!$B$6:$B$104,0),MATCH(AB$16,'AEA2012 update'!$S$4:$Z$4,0)))</f>
        <v>420229.93891377357</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505236.35935464466</v>
      </c>
      <c r="W32" s="103">
        <f t="array" ref="W32">IF(W$18,INDEX('AEA2012 update'!$K$6:$R$104,MATCH($T32&amp;$R32,'AEA2012 update'!$A$6:$A$104&amp;'AEA2012 update'!$B$6:$B$104,0),MATCH(W$16,'AEA2012 update'!$S$4:$Z$4,0)),INDEX('AEA2012 update'!$K$6:$R$104,MATCH($T32&amp;$U32,'AEA2012 update'!$A$6:$A$104&amp;'AEA2012 update'!$B$6:$B$104,0),MATCH(W$16,'AEA2012 update'!$S$4:$Z$4,0)))</f>
        <v>492225.59756974981</v>
      </c>
      <c r="X32" s="103">
        <f t="array" ref="X32">IF(X$18,INDEX('AEA2012 update'!$K$6:$R$104,MATCH($T32&amp;$R32,'AEA2012 update'!$A$6:$A$104&amp;'AEA2012 update'!$B$6:$B$104,0),MATCH(X$16,'AEA2012 update'!$S$4:$Z$4,0)),INDEX('AEA2012 update'!$K$6:$R$104,MATCH($T32&amp;$U32,'AEA2012 update'!$A$6:$A$104&amp;'AEA2012 update'!$B$6:$B$104,0),MATCH(X$16,'AEA2012 update'!$S$4:$Z$4,0)))</f>
        <v>489098.7445710809</v>
      </c>
      <c r="Y32" s="103">
        <f t="array" ref="Y32">IF(Y$18,INDEX('AEA2012 update'!$K$6:$R$104,MATCH($T32&amp;$R32,'AEA2012 update'!$A$6:$A$104&amp;'AEA2012 update'!$B$6:$B$104,0),MATCH(Y$16,'AEA2012 update'!$S$4:$Z$4,0)),INDEX('AEA2012 update'!$K$6:$R$104,MATCH($T32&amp;$U32,'AEA2012 update'!$A$6:$A$104&amp;'AEA2012 update'!$B$6:$B$104,0),MATCH(Y$16,'AEA2012 update'!$S$4:$Z$4,0)))</f>
        <v>394374.96176505223</v>
      </c>
      <c r="Z32" s="103">
        <f t="array" ref="Z32">IF(Z$18,INDEX('AEA2012 update'!$K$6:$R$104,MATCH($T32&amp;$R32,'AEA2012 update'!$A$6:$A$104&amp;'AEA2012 update'!$B$6:$B$104,0),MATCH(Z$16,'AEA2012 update'!$S$4:$Z$4,0)),INDEX('AEA2012 update'!$K$6:$R$104,MATCH($T32&amp;$U32,'AEA2012 update'!$A$6:$A$104&amp;'AEA2012 update'!$B$6:$B$104,0),MATCH(Z$16,'AEA2012 update'!$S$4:$Z$4,0)))</f>
        <v>402987.36331977899</v>
      </c>
      <c r="AA32" s="103">
        <f t="array" ref="AA32">IF(AA$18,INDEX('AEA2012 update'!$K$6:$R$104,MATCH($T32&amp;$R32,'AEA2012 update'!$A$6:$A$104&amp;'AEA2012 update'!$B$6:$B$104,0),MATCH(AA$16,'AEA2012 update'!$S$4:$Z$4,0)),INDEX('AEA2012 update'!$K$6:$R$104,MATCH($T32&amp;$U32,'AEA2012 update'!$A$6:$A$104&amp;'AEA2012 update'!$B$6:$B$104,0),MATCH(AA$16,'AEA2012 update'!$S$4:$Z$4,0)))</f>
        <v>411599.76487450581</v>
      </c>
      <c r="AB32" s="103">
        <f t="array" ref="AB32">IF(AB$18,INDEX('AEA2012 update'!$K$6:$R$104,MATCH($T32&amp;$R32,'AEA2012 update'!$A$6:$A$104&amp;'AEA2012 update'!$B$6:$B$104,0),MATCH(AB$16,'AEA2012 update'!$S$4:$Z$4,0)),INDEX('AEA2012 update'!$K$6:$R$104,MATCH($T32&amp;$U32,'AEA2012 update'!$A$6:$A$104&amp;'AEA2012 update'!$B$6:$B$104,0),MATCH(AB$16,'AEA2012 update'!$S$4:$Z$4,0)))</f>
        <v>420229.93891377357</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349892.60386662662</v>
      </c>
      <c r="W33" s="103">
        <f t="array" ref="W33">IF(W$18,INDEX('AEA2012 update'!$K$6:$R$104,MATCH($T33&amp;$R33,'AEA2012 update'!$A$6:$A$104&amp;'AEA2012 update'!$B$6:$B$104,0),MATCH(W$16,'AEA2012 update'!$S$4:$Z$4,0)),INDEX('AEA2012 update'!$K$6:$R$104,MATCH($T33&amp;$U33,'AEA2012 update'!$A$6:$A$104&amp;'AEA2012 update'!$B$6:$B$104,0),MATCH(W$16,'AEA2012 update'!$S$4:$Z$4,0)))</f>
        <v>380356.14357662486</v>
      </c>
      <c r="X33" s="103">
        <f t="array" ref="X33">IF(X$18,INDEX('AEA2012 update'!$K$6:$R$104,MATCH($T33&amp;$R33,'AEA2012 update'!$A$6:$A$104&amp;'AEA2012 update'!$B$6:$B$104,0),MATCH(X$16,'AEA2012 update'!$S$4:$Z$4,0)),INDEX('AEA2012 update'!$K$6:$R$104,MATCH($T33&amp;$U33,'AEA2012 update'!$A$6:$A$104&amp;'AEA2012 update'!$B$6:$B$104,0),MATCH(X$16,'AEA2012 update'!$S$4:$Z$4,0)))</f>
        <v>387365.55267083854</v>
      </c>
      <c r="Y33" s="103">
        <f t="array" ref="Y33">IF(Y$18,INDEX('AEA2012 update'!$K$6:$R$104,MATCH($T33&amp;$R33,'AEA2012 update'!$A$6:$A$104&amp;'AEA2012 update'!$B$6:$B$104,0),MATCH(Y$16,'AEA2012 update'!$S$4:$Z$4,0)),INDEX('AEA2012 update'!$K$6:$R$104,MATCH($T33&amp;$U33,'AEA2012 update'!$A$6:$A$104&amp;'AEA2012 update'!$B$6:$B$104,0),MATCH(Y$16,'AEA2012 update'!$S$4:$Z$4,0)))</f>
        <v>394374.96176505223</v>
      </c>
      <c r="Z33" s="103">
        <f t="array" ref="Z33">IF(Z$18,INDEX('AEA2012 update'!$K$6:$R$104,MATCH($T33&amp;$R33,'AEA2012 update'!$A$6:$A$104&amp;'AEA2012 update'!$B$6:$B$104,0),MATCH(Z$16,'AEA2012 update'!$S$4:$Z$4,0)),INDEX('AEA2012 update'!$K$6:$R$104,MATCH($T33&amp;$U33,'AEA2012 update'!$A$6:$A$104&amp;'AEA2012 update'!$B$6:$B$104,0),MATCH(Z$16,'AEA2012 update'!$S$4:$Z$4,0)))</f>
        <v>402987.36331977899</v>
      </c>
      <c r="AA33" s="103">
        <f t="array" ref="AA33">IF(AA$18,INDEX('AEA2012 update'!$K$6:$R$104,MATCH($T33&amp;$R33,'AEA2012 update'!$A$6:$A$104&amp;'AEA2012 update'!$B$6:$B$104,0),MATCH(AA$16,'AEA2012 update'!$S$4:$Z$4,0)),INDEX('AEA2012 update'!$K$6:$R$104,MATCH($T33&amp;$U33,'AEA2012 update'!$A$6:$A$104&amp;'AEA2012 update'!$B$6:$B$104,0),MATCH(AA$16,'AEA2012 update'!$S$4:$Z$4,0)))</f>
        <v>411599.76487450581</v>
      </c>
      <c r="AB33" s="103">
        <f t="array" ref="AB33">IF(AB$18,INDEX('AEA2012 update'!$K$6:$R$104,MATCH($T33&amp;$R33,'AEA2012 update'!$A$6:$A$104&amp;'AEA2012 update'!$B$6:$B$104,0),MATCH(AB$16,'AEA2012 update'!$S$4:$Z$4,0)),INDEX('AEA2012 update'!$K$6:$R$104,MATCH($T33&amp;$U33,'AEA2012 update'!$A$6:$A$104&amp;'AEA2012 update'!$B$6:$B$104,0),MATCH(AB$16,'AEA2012 update'!$S$4:$Z$4,0)))</f>
        <v>420229.93891377357</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445859.02702767157</v>
      </c>
      <c r="W34" s="103">
        <f t="array" ref="W34">IF(W$18,INDEX('AEA2012 update'!$K$6:$R$104,MATCH($T34&amp;$R34,'AEA2012 update'!$A$6:$A$104&amp;'AEA2012 update'!$B$6:$B$104,0),MATCH(W$16,'AEA2012 update'!$S$4:$Z$4,0)),INDEX('AEA2012 update'!$K$6:$R$104,MATCH($T34&amp;$U34,'AEA2012 update'!$A$6:$A$104&amp;'AEA2012 update'!$B$6:$B$104,0),MATCH(W$16,'AEA2012 update'!$S$4:$Z$4,0)))</f>
        <v>492225.59756974981</v>
      </c>
      <c r="X34" s="103">
        <f t="array" ref="X34">IF(X$18,INDEX('AEA2012 update'!$K$6:$R$104,MATCH($T34&amp;$R34,'AEA2012 update'!$A$6:$A$104&amp;'AEA2012 update'!$B$6:$B$104,0),MATCH(X$16,'AEA2012 update'!$S$4:$Z$4,0)),INDEX('AEA2012 update'!$K$6:$R$104,MATCH($T34&amp;$U34,'AEA2012 update'!$A$6:$A$104&amp;'AEA2012 update'!$B$6:$B$104,0),MATCH(X$16,'AEA2012 update'!$S$4:$Z$4,0)))</f>
        <v>500996.23509949562</v>
      </c>
      <c r="Y34" s="103">
        <f t="array" ref="Y34">IF(Y$18,INDEX('AEA2012 update'!$K$6:$R$104,MATCH($T34&amp;$R34,'AEA2012 update'!$A$6:$A$104&amp;'AEA2012 update'!$B$6:$B$104,0),MATCH(Y$16,'AEA2012 update'!$S$4:$Z$4,0)),INDEX('AEA2012 update'!$K$6:$R$104,MATCH($T34&amp;$U34,'AEA2012 update'!$A$6:$A$104&amp;'AEA2012 update'!$B$6:$B$104,0),MATCH(Y$16,'AEA2012 update'!$S$4:$Z$4,0)))</f>
        <v>394374.96176505223</v>
      </c>
      <c r="Z34" s="103">
        <f t="array" ref="Z34">IF(Z$18,INDEX('AEA2012 update'!$K$6:$R$104,MATCH($T34&amp;$R34,'AEA2012 update'!$A$6:$A$104&amp;'AEA2012 update'!$B$6:$B$104,0),MATCH(Z$16,'AEA2012 update'!$S$4:$Z$4,0)),INDEX('AEA2012 update'!$K$6:$R$104,MATCH($T34&amp;$U34,'AEA2012 update'!$A$6:$A$104&amp;'AEA2012 update'!$B$6:$B$104,0),MATCH(Z$16,'AEA2012 update'!$S$4:$Z$4,0)))</f>
        <v>402987.36331977899</v>
      </c>
      <c r="AA34" s="103">
        <f t="array" ref="AA34">IF(AA$18,INDEX('AEA2012 update'!$K$6:$R$104,MATCH($T34&amp;$R34,'AEA2012 update'!$A$6:$A$104&amp;'AEA2012 update'!$B$6:$B$104,0),MATCH(AA$16,'AEA2012 update'!$S$4:$Z$4,0)),INDEX('AEA2012 update'!$K$6:$R$104,MATCH($T34&amp;$U34,'AEA2012 update'!$A$6:$A$104&amp;'AEA2012 update'!$B$6:$B$104,0),MATCH(AA$16,'AEA2012 update'!$S$4:$Z$4,0)))</f>
        <v>411599.76487450581</v>
      </c>
      <c r="AB34" s="103">
        <f t="array" ref="AB34">IF(AB$18,INDEX('AEA2012 update'!$K$6:$R$104,MATCH($T34&amp;$R34,'AEA2012 update'!$A$6:$A$104&amp;'AEA2012 update'!$B$6:$B$104,0),MATCH(AB$16,'AEA2012 update'!$S$4:$Z$4,0)),INDEX('AEA2012 update'!$K$6:$R$104,MATCH($T34&amp;$U34,'AEA2012 update'!$A$6:$A$104&amp;'AEA2012 update'!$B$6:$B$104,0),MATCH(AB$16,'AEA2012 update'!$S$4:$Z$4,0)))</f>
        <v>420229.93891377357</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748081.44432304555</v>
      </c>
      <c r="W35" s="103">
        <f t="array" ref="W35">IF(W$18,INDEX('AEA2012 update'!$K$6:$R$104,MATCH($T35&amp;$R35,'AEA2012 update'!$A$6:$A$104&amp;'AEA2012 update'!$B$6:$B$104,0),MATCH(W$16,'AEA2012 update'!$S$4:$Z$4,0)),INDEX('AEA2012 update'!$K$6:$R$104,MATCH($T35&amp;$U35,'AEA2012 update'!$A$6:$A$104&amp;'AEA2012 update'!$B$6:$B$104,0),MATCH(W$16,'AEA2012 update'!$S$4:$Z$4,0)))</f>
        <v>738338.39635462465</v>
      </c>
      <c r="X35" s="103">
        <f t="array" ref="X35">IF(X$18,INDEX('AEA2012 update'!$K$6:$R$104,MATCH($T35&amp;$R35,'AEA2012 update'!$A$6:$A$104&amp;'AEA2012 update'!$B$6:$B$104,0),MATCH(X$16,'AEA2012 update'!$S$4:$Z$4,0)),INDEX('AEA2012 update'!$K$6:$R$104,MATCH($T35&amp;$U35,'AEA2012 update'!$A$6:$A$104&amp;'AEA2012 update'!$B$6:$B$104,0),MATCH(X$16,'AEA2012 update'!$S$4:$Z$4,0)))</f>
        <v>733376.89505628892</v>
      </c>
      <c r="Y35" s="103">
        <f t="array" ref="Y35">IF(Y$18,INDEX('AEA2012 update'!$K$6:$R$104,MATCH($T35&amp;$R35,'AEA2012 update'!$A$6:$A$104&amp;'AEA2012 update'!$B$6:$B$104,0),MATCH(Y$16,'AEA2012 update'!$S$4:$Z$4,0)),INDEX('AEA2012 update'!$K$6:$R$104,MATCH($T35&amp;$U35,'AEA2012 update'!$A$6:$A$104&amp;'AEA2012 update'!$B$6:$B$104,0),MATCH(Y$16,'AEA2012 update'!$S$4:$Z$4,0)))</f>
        <v>394374.96176505223</v>
      </c>
      <c r="Z35" s="103">
        <f t="array" ref="Z35">IF(Z$18,INDEX('AEA2012 update'!$K$6:$R$104,MATCH($T35&amp;$R35,'AEA2012 update'!$A$6:$A$104&amp;'AEA2012 update'!$B$6:$B$104,0),MATCH(Z$16,'AEA2012 update'!$S$4:$Z$4,0)),INDEX('AEA2012 update'!$K$6:$R$104,MATCH($T35&amp;$U35,'AEA2012 update'!$A$6:$A$104&amp;'AEA2012 update'!$B$6:$B$104,0),MATCH(Z$16,'AEA2012 update'!$S$4:$Z$4,0)))</f>
        <v>402987.36331977899</v>
      </c>
      <c r="AA35" s="103">
        <f t="array" ref="AA35">IF(AA$18,INDEX('AEA2012 update'!$K$6:$R$104,MATCH($T35&amp;$R35,'AEA2012 update'!$A$6:$A$104&amp;'AEA2012 update'!$B$6:$B$104,0),MATCH(AA$16,'AEA2012 update'!$S$4:$Z$4,0)),INDEX('AEA2012 update'!$K$6:$R$104,MATCH($T35&amp;$U35,'AEA2012 update'!$A$6:$A$104&amp;'AEA2012 update'!$B$6:$B$104,0),MATCH(AA$16,'AEA2012 update'!$S$4:$Z$4,0)))</f>
        <v>411599.76487450581</v>
      </c>
      <c r="AB35" s="103">
        <f t="array" ref="AB35">IF(AB$18,INDEX('AEA2012 update'!$K$6:$R$104,MATCH($T35&amp;$R35,'AEA2012 update'!$A$6:$A$104&amp;'AEA2012 update'!$B$6:$B$104,0),MATCH(AB$16,'AEA2012 update'!$S$4:$Z$4,0)),INDEX('AEA2012 update'!$K$6:$R$104,MATCH($T35&amp;$U35,'AEA2012 update'!$A$6:$A$104&amp;'AEA2012 update'!$B$6:$B$104,0),MATCH(AB$16,'AEA2012 update'!$S$4:$Z$4,0)))</f>
        <v>420229.93891377357</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1243115.7793198535</v>
      </c>
      <c r="W36" s="103">
        <f t="array" ref="W36">IF(W$18,INDEX('AEA2012 update'!$K$6:$R$104,MATCH($T36&amp;$R36,'AEA2012 update'!$A$6:$A$104&amp;'AEA2012 update'!$B$6:$B$104,0),MATCH(W$16,'AEA2012 update'!$S$4:$Z$4,0)),INDEX('AEA2012 update'!$K$6:$R$104,MATCH($T36&amp;$U36,'AEA2012 update'!$A$6:$A$104&amp;'AEA2012 update'!$B$6:$B$104,0),MATCH(W$16,'AEA2012 update'!$S$4:$Z$4,0)))</f>
        <v>850207.85034774966</v>
      </c>
      <c r="X36" s="103">
        <f t="array" ref="X36">IF(X$18,INDEX('AEA2012 update'!$K$6:$R$104,MATCH($T36&amp;$R36,'AEA2012 update'!$A$6:$A$104&amp;'AEA2012 update'!$B$6:$B$104,0),MATCH(X$16,'AEA2012 update'!$S$4:$Z$4,0)),INDEX('AEA2012 update'!$K$6:$R$104,MATCH($T36&amp;$U36,'AEA2012 update'!$A$6:$A$104&amp;'AEA2012 update'!$B$6:$B$104,0),MATCH(X$16,'AEA2012 update'!$S$4:$Z$4,0)))</f>
        <v>782240.65617094061</v>
      </c>
      <c r="Y36" s="103">
        <f t="array" ref="Y36">IF(Y$18,INDEX('AEA2012 update'!$K$6:$R$104,MATCH($T36&amp;$R36,'AEA2012 update'!$A$6:$A$104&amp;'AEA2012 update'!$B$6:$B$104,0),MATCH(Y$16,'AEA2012 update'!$S$4:$Z$4,0)),INDEX('AEA2012 update'!$K$6:$R$104,MATCH($T36&amp;$U36,'AEA2012 update'!$A$6:$A$104&amp;'AEA2012 update'!$B$6:$B$104,0),MATCH(Y$16,'AEA2012 update'!$S$4:$Z$4,0)))</f>
        <v>394374.96176505223</v>
      </c>
      <c r="Z36" s="103">
        <f t="array" ref="Z36">IF(Z$18,INDEX('AEA2012 update'!$K$6:$R$104,MATCH($T36&amp;$R36,'AEA2012 update'!$A$6:$A$104&amp;'AEA2012 update'!$B$6:$B$104,0),MATCH(Z$16,'AEA2012 update'!$S$4:$Z$4,0)),INDEX('AEA2012 update'!$K$6:$R$104,MATCH($T36&amp;$U36,'AEA2012 update'!$A$6:$A$104&amp;'AEA2012 update'!$B$6:$B$104,0),MATCH(Z$16,'AEA2012 update'!$S$4:$Z$4,0)))</f>
        <v>402987.36331977899</v>
      </c>
      <c r="AA36" s="103">
        <f t="array" ref="AA36">IF(AA$18,INDEX('AEA2012 update'!$K$6:$R$104,MATCH($T36&amp;$R36,'AEA2012 update'!$A$6:$A$104&amp;'AEA2012 update'!$B$6:$B$104,0),MATCH(AA$16,'AEA2012 update'!$S$4:$Z$4,0)),INDEX('AEA2012 update'!$K$6:$R$104,MATCH($T36&amp;$U36,'AEA2012 update'!$A$6:$A$104&amp;'AEA2012 update'!$B$6:$B$104,0),MATCH(AA$16,'AEA2012 update'!$S$4:$Z$4,0)))</f>
        <v>411599.76487450581</v>
      </c>
      <c r="AB36" s="103">
        <f t="array" ref="AB36">IF(AB$18,INDEX('AEA2012 update'!$K$6:$R$104,MATCH($T36&amp;$R36,'AEA2012 update'!$A$6:$A$104&amp;'AEA2012 update'!$B$6:$B$104,0),MATCH(AB$16,'AEA2012 update'!$S$4:$Z$4,0)),INDEX('AEA2012 update'!$K$6:$R$104,MATCH($T36&amp;$U36,'AEA2012 update'!$A$6:$A$104&amp;'AEA2012 update'!$B$6:$B$104,0),MATCH(AB$16,'AEA2012 update'!$S$4:$Z$4,0)))</f>
        <v>420229.93891377357</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8953673.1248607747</v>
      </c>
      <c r="W37" s="103">
        <f t="array" ref="W37">IF(W$18,INDEX('AEA2012 update'!$K$6:$R$104,MATCH($T37&amp;$R37,'AEA2012 update'!$A$6:$A$104&amp;'AEA2012 update'!$B$6:$B$104,0),MATCH(W$16,'AEA2012 update'!$S$4:$Z$4,0)),INDEX('AEA2012 update'!$K$6:$R$104,MATCH($T37&amp;$U37,'AEA2012 update'!$A$6:$A$104&amp;'AEA2012 update'!$B$6:$B$104,0),MATCH(W$16,'AEA2012 update'!$S$4:$Z$4,0)))</f>
        <v>3579822.5277799987</v>
      </c>
      <c r="X37" s="103">
        <f t="array" ref="X37">IF(X$18,INDEX('AEA2012 update'!$K$6:$R$104,MATCH($T37&amp;$R37,'AEA2012 update'!$A$6:$A$104&amp;'AEA2012 update'!$B$6:$B$104,0),MATCH(X$16,'AEA2012 update'!$S$4:$Z$4,0)),INDEX('AEA2012 update'!$K$6:$R$104,MATCH($T37&amp;$U37,'AEA2012 update'!$A$6:$A$104&amp;'AEA2012 update'!$B$6:$B$104,0),MATCH(X$16,'AEA2012 update'!$S$4:$Z$4,0)))</f>
        <v>2748124.143456737</v>
      </c>
      <c r="Y37" s="103">
        <f t="array" ref="Y37">IF(Y$18,INDEX('AEA2012 update'!$K$6:$R$104,MATCH($T37&amp;$R37,'AEA2012 update'!$A$6:$A$104&amp;'AEA2012 update'!$B$6:$B$104,0),MATCH(Y$16,'AEA2012 update'!$S$4:$Z$4,0)),INDEX('AEA2012 update'!$K$6:$R$104,MATCH($T37&amp;$U37,'AEA2012 update'!$A$6:$A$104&amp;'AEA2012 update'!$B$6:$B$104,0),MATCH(Y$16,'AEA2012 update'!$S$4:$Z$4,0)))</f>
        <v>394374.96176505223</v>
      </c>
      <c r="Z37" s="103">
        <f t="array" ref="Z37">IF(Z$18,INDEX('AEA2012 update'!$K$6:$R$104,MATCH($T37&amp;$R37,'AEA2012 update'!$A$6:$A$104&amp;'AEA2012 update'!$B$6:$B$104,0),MATCH(Z$16,'AEA2012 update'!$S$4:$Z$4,0)),INDEX('AEA2012 update'!$K$6:$R$104,MATCH($T37&amp;$U37,'AEA2012 update'!$A$6:$A$104&amp;'AEA2012 update'!$B$6:$B$104,0),MATCH(Z$16,'AEA2012 update'!$S$4:$Z$4,0)))</f>
        <v>402987.36331977899</v>
      </c>
      <c r="AA37" s="103">
        <f t="array" ref="AA37">IF(AA$18,INDEX('AEA2012 update'!$K$6:$R$104,MATCH($T37&amp;$R37,'AEA2012 update'!$A$6:$A$104&amp;'AEA2012 update'!$B$6:$B$104,0),MATCH(AA$16,'AEA2012 update'!$S$4:$Z$4,0)),INDEX('AEA2012 update'!$K$6:$R$104,MATCH($T37&amp;$U37,'AEA2012 update'!$A$6:$A$104&amp;'AEA2012 update'!$B$6:$B$104,0),MATCH(AA$16,'AEA2012 update'!$S$4:$Z$4,0)))</f>
        <v>411599.76487450581</v>
      </c>
      <c r="AB37" s="103">
        <f t="array" ref="AB37">IF(AB$18,INDEX('AEA2012 update'!$K$6:$R$104,MATCH($T37&amp;$R37,'AEA2012 update'!$A$6:$A$104&amp;'AEA2012 update'!$B$6:$B$104,0),MATCH(AB$16,'AEA2012 update'!$S$4:$Z$4,0)),INDEX('AEA2012 update'!$K$6:$R$104,MATCH($T37&amp;$U37,'AEA2012 update'!$A$6:$A$104&amp;'AEA2012 update'!$B$6:$B$104,0),MATCH(AB$16,'AEA2012 update'!$S$4:$Z$4,0)))</f>
        <v>420229.93891377357</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515144.81980383256</v>
      </c>
      <c r="W38" s="103">
        <f t="array" ref="W38">IF(W$18,INDEX('AEA2012 update'!$K$6:$R$104,MATCH($T38&amp;$R38,'AEA2012 update'!$A$6:$A$104&amp;'AEA2012 update'!$B$6:$B$104,0),MATCH(W$16,'AEA2012 update'!$S$4:$Z$4,0)),INDEX('AEA2012 update'!$K$6:$R$104,MATCH($T38&amp;$U38,'AEA2012 update'!$A$6:$A$104&amp;'AEA2012 update'!$B$6:$B$104,0),MATCH(W$16,'AEA2012 update'!$S$4:$Z$4,0)))</f>
        <v>541448.15732672473</v>
      </c>
      <c r="X38" s="103">
        <f t="array" ref="X38">IF(X$18,INDEX('AEA2012 update'!$K$6:$R$104,MATCH($T38&amp;$R38,'AEA2012 update'!$A$6:$A$104&amp;'AEA2012 update'!$B$6:$B$104,0),MATCH(X$16,'AEA2012 update'!$S$4:$Z$4,0)),INDEX('AEA2012 update'!$K$6:$R$104,MATCH($T38&amp;$U38,'AEA2012 update'!$A$6:$A$104&amp;'AEA2012 update'!$B$6:$B$104,0),MATCH(X$16,'AEA2012 update'!$S$4:$Z$4,0)))</f>
        <v>547147.5506547353</v>
      </c>
      <c r="Y38" s="103">
        <f t="array" ref="Y38">IF(Y$18,INDEX('AEA2012 update'!$K$6:$R$104,MATCH($T38&amp;$R38,'AEA2012 update'!$A$6:$A$104&amp;'AEA2012 update'!$B$6:$B$104,0),MATCH(Y$16,'AEA2012 update'!$S$4:$Z$4,0)),INDEX('AEA2012 update'!$K$6:$R$104,MATCH($T38&amp;$U38,'AEA2012 update'!$A$6:$A$104&amp;'AEA2012 update'!$B$6:$B$104,0),MATCH(Y$16,'AEA2012 update'!$S$4:$Z$4,0)))</f>
        <v>394374.96176505223</v>
      </c>
      <c r="Z38" s="103">
        <f t="array" ref="Z38">IF(Z$18,INDEX('AEA2012 update'!$K$6:$R$104,MATCH($T38&amp;$R38,'AEA2012 update'!$A$6:$A$104&amp;'AEA2012 update'!$B$6:$B$104,0),MATCH(Z$16,'AEA2012 update'!$S$4:$Z$4,0)),INDEX('AEA2012 update'!$K$6:$R$104,MATCH($T38&amp;$U38,'AEA2012 update'!$A$6:$A$104&amp;'AEA2012 update'!$B$6:$B$104,0),MATCH(Z$16,'AEA2012 update'!$S$4:$Z$4,0)))</f>
        <v>402987.36331977899</v>
      </c>
      <c r="AA38" s="103">
        <f t="array" ref="AA38">IF(AA$18,INDEX('AEA2012 update'!$K$6:$R$104,MATCH($T38&amp;$R38,'AEA2012 update'!$A$6:$A$104&amp;'AEA2012 update'!$B$6:$B$104,0),MATCH(AA$16,'AEA2012 update'!$S$4:$Z$4,0)),INDEX('AEA2012 update'!$K$6:$R$104,MATCH($T38&amp;$U38,'AEA2012 update'!$A$6:$A$104&amp;'AEA2012 update'!$B$6:$B$104,0),MATCH(AA$16,'AEA2012 update'!$S$4:$Z$4,0)))</f>
        <v>411599.76487450581</v>
      </c>
      <c r="AB38" s="103">
        <f t="array" ref="AB38">IF(AB$18,INDEX('AEA2012 update'!$K$6:$R$104,MATCH($T38&amp;$R38,'AEA2012 update'!$A$6:$A$104&amp;'AEA2012 update'!$B$6:$B$104,0),MATCH(AB$16,'AEA2012 update'!$S$4:$Z$4,0)),INDEX('AEA2012 update'!$K$6:$R$104,MATCH($T38&amp;$U38,'AEA2012 update'!$A$6:$A$104&amp;'AEA2012 update'!$B$6:$B$104,0),MATCH(AB$16,'AEA2012 update'!$S$4:$Z$4,0)))</f>
        <v>420229.93891377357</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349892.60386662662</v>
      </c>
      <c r="W40" s="103">
        <f t="array" ref="W40">IF(W$18,INDEX('AEA2012 update'!$K$6:$R$104,MATCH($T40&amp;$R40,'AEA2012 update'!$A$6:$A$104&amp;'AEA2012 update'!$B$6:$B$104,0),MATCH(W$16,'AEA2012 update'!$S$4:$Z$4,0)),INDEX('AEA2012 update'!$K$6:$R$104,MATCH($T40&amp;$U40,'AEA2012 update'!$A$6:$A$104&amp;'AEA2012 update'!$B$6:$B$104,0),MATCH(W$16,'AEA2012 update'!$S$4:$Z$4,0)))</f>
        <v>380356.14357662486</v>
      </c>
      <c r="X40" s="103">
        <f t="array" ref="X40">IF(X$18,INDEX('AEA2012 update'!$K$6:$R$104,MATCH($T40&amp;$R40,'AEA2012 update'!$A$6:$A$104&amp;'AEA2012 update'!$B$6:$B$104,0),MATCH(X$16,'AEA2012 update'!$S$4:$Z$4,0)),INDEX('AEA2012 update'!$K$6:$R$104,MATCH($T40&amp;$U40,'AEA2012 update'!$A$6:$A$104&amp;'AEA2012 update'!$B$6:$B$104,0),MATCH(X$16,'AEA2012 update'!$S$4:$Z$4,0)))</f>
        <v>387365.55267083854</v>
      </c>
      <c r="Y40" s="103">
        <f t="array" ref="Y40">IF(Y$18,INDEX('AEA2012 update'!$K$6:$R$104,MATCH($T40&amp;$R40,'AEA2012 update'!$A$6:$A$104&amp;'AEA2012 update'!$B$6:$B$104,0),MATCH(Y$16,'AEA2012 update'!$S$4:$Z$4,0)),INDEX('AEA2012 update'!$K$6:$R$104,MATCH($T40&amp;$U40,'AEA2012 update'!$A$6:$A$104&amp;'AEA2012 update'!$B$6:$B$104,0),MATCH(Y$16,'AEA2012 update'!$S$4:$Z$4,0)))</f>
        <v>394374.96176505223</v>
      </c>
      <c r="Z40" s="103">
        <f t="array" ref="Z40">IF(Z$18,INDEX('AEA2012 update'!$K$6:$R$104,MATCH($T40&amp;$R40,'AEA2012 update'!$A$6:$A$104&amp;'AEA2012 update'!$B$6:$B$104,0),MATCH(Z$16,'AEA2012 update'!$S$4:$Z$4,0)),INDEX('AEA2012 update'!$K$6:$R$104,MATCH($T40&amp;$U40,'AEA2012 update'!$A$6:$A$104&amp;'AEA2012 update'!$B$6:$B$104,0),MATCH(Z$16,'AEA2012 update'!$S$4:$Z$4,0)))</f>
        <v>402987.36331977899</v>
      </c>
      <c r="AA40" s="103">
        <f t="array" ref="AA40">IF(AA$18,INDEX('AEA2012 update'!$K$6:$R$104,MATCH($T40&amp;$R40,'AEA2012 update'!$A$6:$A$104&amp;'AEA2012 update'!$B$6:$B$104,0),MATCH(AA$16,'AEA2012 update'!$S$4:$Z$4,0)),INDEX('AEA2012 update'!$K$6:$R$104,MATCH($T40&amp;$U40,'AEA2012 update'!$A$6:$A$104&amp;'AEA2012 update'!$B$6:$B$104,0),MATCH(AA$16,'AEA2012 update'!$S$4:$Z$4,0)))</f>
        <v>411599.76487450581</v>
      </c>
      <c r="AB40" s="103">
        <f t="array" ref="AB40">IF(AB$18,INDEX('AEA2012 update'!$K$6:$R$104,MATCH($T40&amp;$R40,'AEA2012 update'!$A$6:$A$104&amp;'AEA2012 update'!$B$6:$B$104,0),MATCH(AB$16,'AEA2012 update'!$S$4:$Z$4,0)),INDEX('AEA2012 update'!$K$6:$R$104,MATCH($T40&amp;$U40,'AEA2012 update'!$A$6:$A$104&amp;'AEA2012 update'!$B$6:$B$104,0),MATCH(AB$16,'AEA2012 update'!$S$4:$Z$4,0)))</f>
        <v>420229.93891377357</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349892.60386662662</v>
      </c>
      <c r="W41" s="103">
        <f t="array" ref="W41">IF(W$18,INDEX('AEA2012 update'!$K$6:$R$104,MATCH($T41&amp;$R41,'AEA2012 update'!$A$6:$A$104&amp;'AEA2012 update'!$B$6:$B$104,0),MATCH(W$16,'AEA2012 update'!$S$4:$Z$4,0)),INDEX('AEA2012 update'!$K$6:$R$104,MATCH($T41&amp;$U41,'AEA2012 update'!$A$6:$A$104&amp;'AEA2012 update'!$B$6:$B$104,0),MATCH(W$16,'AEA2012 update'!$S$4:$Z$4,0)))</f>
        <v>380356.14357662486</v>
      </c>
      <c r="X41" s="103">
        <f t="array" ref="X41">IF(X$18,INDEX('AEA2012 update'!$K$6:$R$104,MATCH($T41&amp;$R41,'AEA2012 update'!$A$6:$A$104&amp;'AEA2012 update'!$B$6:$B$104,0),MATCH(X$16,'AEA2012 update'!$S$4:$Z$4,0)),INDEX('AEA2012 update'!$K$6:$R$104,MATCH($T41&amp;$U41,'AEA2012 update'!$A$6:$A$104&amp;'AEA2012 update'!$B$6:$B$104,0),MATCH(X$16,'AEA2012 update'!$S$4:$Z$4,0)))</f>
        <v>387365.55267083854</v>
      </c>
      <c r="Y41" s="103">
        <f t="array" ref="Y41">IF(Y$18,INDEX('AEA2012 update'!$K$6:$R$104,MATCH($T41&amp;$R41,'AEA2012 update'!$A$6:$A$104&amp;'AEA2012 update'!$B$6:$B$104,0),MATCH(Y$16,'AEA2012 update'!$S$4:$Z$4,0)),INDEX('AEA2012 update'!$K$6:$R$104,MATCH($T41&amp;$U41,'AEA2012 update'!$A$6:$A$104&amp;'AEA2012 update'!$B$6:$B$104,0),MATCH(Y$16,'AEA2012 update'!$S$4:$Z$4,0)))</f>
        <v>394374.96176505223</v>
      </c>
      <c r="Z41" s="103">
        <f t="array" ref="Z41">IF(Z$18,INDEX('AEA2012 update'!$K$6:$R$104,MATCH($T41&amp;$R41,'AEA2012 update'!$A$6:$A$104&amp;'AEA2012 update'!$B$6:$B$104,0),MATCH(Z$16,'AEA2012 update'!$S$4:$Z$4,0)),INDEX('AEA2012 update'!$K$6:$R$104,MATCH($T41&amp;$U41,'AEA2012 update'!$A$6:$A$104&amp;'AEA2012 update'!$B$6:$B$104,0),MATCH(Z$16,'AEA2012 update'!$S$4:$Z$4,0)))</f>
        <v>402987.36331977899</v>
      </c>
      <c r="AA41" s="103">
        <f t="array" ref="AA41">IF(AA$18,INDEX('AEA2012 update'!$K$6:$R$104,MATCH($T41&amp;$R41,'AEA2012 update'!$A$6:$A$104&amp;'AEA2012 update'!$B$6:$B$104,0),MATCH(AA$16,'AEA2012 update'!$S$4:$Z$4,0)),INDEX('AEA2012 update'!$K$6:$R$104,MATCH($T41&amp;$U41,'AEA2012 update'!$A$6:$A$104&amp;'AEA2012 update'!$B$6:$B$104,0),MATCH(AA$16,'AEA2012 update'!$S$4:$Z$4,0)))</f>
        <v>411599.76487450581</v>
      </c>
      <c r="AB41" s="103">
        <f t="array" ref="AB41">IF(AB$18,INDEX('AEA2012 update'!$K$6:$R$104,MATCH($T41&amp;$R41,'AEA2012 update'!$A$6:$A$104&amp;'AEA2012 update'!$B$6:$B$104,0),MATCH(AB$16,'AEA2012 update'!$S$4:$Z$4,0)),INDEX('AEA2012 update'!$K$6:$R$104,MATCH($T41&amp;$U41,'AEA2012 update'!$A$6:$A$104&amp;'AEA2012 update'!$B$6:$B$104,0),MATCH(AB$16,'AEA2012 update'!$S$4:$Z$4,0)))</f>
        <v>420229.93891377357</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445859.02702767157</v>
      </c>
      <c r="W42" s="103">
        <f t="array" ref="W42">IF(W$18,INDEX('AEA2012 update'!$K$6:$R$104,MATCH($T42&amp;$R42,'AEA2012 update'!$A$6:$A$104&amp;'AEA2012 update'!$B$6:$B$104,0),MATCH(W$16,'AEA2012 update'!$S$4:$Z$4,0)),INDEX('AEA2012 update'!$K$6:$R$104,MATCH($T42&amp;$U42,'AEA2012 update'!$A$6:$A$104&amp;'AEA2012 update'!$B$6:$B$104,0),MATCH(W$16,'AEA2012 update'!$S$4:$Z$4,0)))</f>
        <v>492225.59756974981</v>
      </c>
      <c r="X42" s="103">
        <f t="array" ref="X42">IF(X$18,INDEX('AEA2012 update'!$K$6:$R$104,MATCH($T42&amp;$R42,'AEA2012 update'!$A$6:$A$104&amp;'AEA2012 update'!$B$6:$B$104,0),MATCH(X$16,'AEA2012 update'!$S$4:$Z$4,0)),INDEX('AEA2012 update'!$K$6:$R$104,MATCH($T42&amp;$U42,'AEA2012 update'!$A$6:$A$104&amp;'AEA2012 update'!$B$6:$B$104,0),MATCH(X$16,'AEA2012 update'!$S$4:$Z$4,0)))</f>
        <v>500996.23509949562</v>
      </c>
      <c r="Y42" s="103">
        <f t="array" ref="Y42">IF(Y$18,INDEX('AEA2012 update'!$K$6:$R$104,MATCH($T42&amp;$R42,'AEA2012 update'!$A$6:$A$104&amp;'AEA2012 update'!$B$6:$B$104,0),MATCH(Y$16,'AEA2012 update'!$S$4:$Z$4,0)),INDEX('AEA2012 update'!$K$6:$R$104,MATCH($T42&amp;$U42,'AEA2012 update'!$A$6:$A$104&amp;'AEA2012 update'!$B$6:$B$104,0),MATCH(Y$16,'AEA2012 update'!$S$4:$Z$4,0)))</f>
        <v>394374.96176505223</v>
      </c>
      <c r="Z42" s="103">
        <f t="array" ref="Z42">IF(Z$18,INDEX('AEA2012 update'!$K$6:$R$104,MATCH($T42&amp;$R42,'AEA2012 update'!$A$6:$A$104&amp;'AEA2012 update'!$B$6:$B$104,0),MATCH(Z$16,'AEA2012 update'!$S$4:$Z$4,0)),INDEX('AEA2012 update'!$K$6:$R$104,MATCH($T42&amp;$U42,'AEA2012 update'!$A$6:$A$104&amp;'AEA2012 update'!$B$6:$B$104,0),MATCH(Z$16,'AEA2012 update'!$S$4:$Z$4,0)))</f>
        <v>402987.36331977899</v>
      </c>
      <c r="AA42" s="103">
        <f t="array" ref="AA42">IF(AA$18,INDEX('AEA2012 update'!$K$6:$R$104,MATCH($T42&amp;$R42,'AEA2012 update'!$A$6:$A$104&amp;'AEA2012 update'!$B$6:$B$104,0),MATCH(AA$16,'AEA2012 update'!$S$4:$Z$4,0)),INDEX('AEA2012 update'!$K$6:$R$104,MATCH($T42&amp;$U42,'AEA2012 update'!$A$6:$A$104&amp;'AEA2012 update'!$B$6:$B$104,0),MATCH(AA$16,'AEA2012 update'!$S$4:$Z$4,0)))</f>
        <v>411599.76487450581</v>
      </c>
      <c r="AB42" s="103">
        <f t="array" ref="AB42">IF(AB$18,INDEX('AEA2012 update'!$K$6:$R$104,MATCH($T42&amp;$R42,'AEA2012 update'!$A$6:$A$104&amp;'AEA2012 update'!$B$6:$B$104,0),MATCH(AB$16,'AEA2012 update'!$S$4:$Z$4,0)),INDEX('AEA2012 update'!$K$6:$R$104,MATCH($T42&amp;$U42,'AEA2012 update'!$A$6:$A$104&amp;'AEA2012 update'!$B$6:$B$104,0),MATCH(AB$16,'AEA2012 update'!$S$4:$Z$4,0)))</f>
        <v>420229.93891377357</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1243115.7793198535</v>
      </c>
      <c r="W43" s="103">
        <f t="array" ref="W43">IF(W$18,INDEX('AEA2012 update'!$K$6:$R$104,MATCH($T43&amp;$R43,'AEA2012 update'!$A$6:$A$104&amp;'AEA2012 update'!$B$6:$B$104,0),MATCH(W$16,'AEA2012 update'!$S$4:$Z$4,0)),INDEX('AEA2012 update'!$K$6:$R$104,MATCH($T43&amp;$U43,'AEA2012 update'!$A$6:$A$104&amp;'AEA2012 update'!$B$6:$B$104,0),MATCH(W$16,'AEA2012 update'!$S$4:$Z$4,0)))</f>
        <v>850207.85034774966</v>
      </c>
      <c r="X43" s="103">
        <f t="array" ref="X43">IF(X$18,INDEX('AEA2012 update'!$K$6:$R$104,MATCH($T43&amp;$R43,'AEA2012 update'!$A$6:$A$104&amp;'AEA2012 update'!$B$6:$B$104,0),MATCH(X$16,'AEA2012 update'!$S$4:$Z$4,0)),INDEX('AEA2012 update'!$K$6:$R$104,MATCH($T43&amp;$U43,'AEA2012 update'!$A$6:$A$104&amp;'AEA2012 update'!$B$6:$B$104,0),MATCH(X$16,'AEA2012 update'!$S$4:$Z$4,0)))</f>
        <v>782240.65617094061</v>
      </c>
      <c r="Y43" s="103">
        <f t="array" ref="Y43">IF(Y$18,INDEX('AEA2012 update'!$K$6:$R$104,MATCH($T43&amp;$R43,'AEA2012 update'!$A$6:$A$104&amp;'AEA2012 update'!$B$6:$B$104,0),MATCH(Y$16,'AEA2012 update'!$S$4:$Z$4,0)),INDEX('AEA2012 update'!$K$6:$R$104,MATCH($T43&amp;$U43,'AEA2012 update'!$A$6:$A$104&amp;'AEA2012 update'!$B$6:$B$104,0),MATCH(Y$16,'AEA2012 update'!$S$4:$Z$4,0)))</f>
        <v>394374.96176505223</v>
      </c>
      <c r="Z43" s="103">
        <f t="array" ref="Z43">IF(Z$18,INDEX('AEA2012 update'!$K$6:$R$104,MATCH($T43&amp;$R43,'AEA2012 update'!$A$6:$A$104&amp;'AEA2012 update'!$B$6:$B$104,0),MATCH(Z$16,'AEA2012 update'!$S$4:$Z$4,0)),INDEX('AEA2012 update'!$K$6:$R$104,MATCH($T43&amp;$U43,'AEA2012 update'!$A$6:$A$104&amp;'AEA2012 update'!$B$6:$B$104,0),MATCH(Z$16,'AEA2012 update'!$S$4:$Z$4,0)))</f>
        <v>402987.36331977899</v>
      </c>
      <c r="AA43" s="103">
        <f t="array" ref="AA43">IF(AA$18,INDEX('AEA2012 update'!$K$6:$R$104,MATCH($T43&amp;$R43,'AEA2012 update'!$A$6:$A$104&amp;'AEA2012 update'!$B$6:$B$104,0),MATCH(AA$16,'AEA2012 update'!$S$4:$Z$4,0)),INDEX('AEA2012 update'!$K$6:$R$104,MATCH($T43&amp;$U43,'AEA2012 update'!$A$6:$A$104&amp;'AEA2012 update'!$B$6:$B$104,0),MATCH(AA$16,'AEA2012 update'!$S$4:$Z$4,0)))</f>
        <v>411599.76487450581</v>
      </c>
      <c r="AB43" s="103">
        <f t="array" ref="AB43">IF(AB$18,INDEX('AEA2012 update'!$K$6:$R$104,MATCH($T43&amp;$R43,'AEA2012 update'!$A$6:$A$104&amp;'AEA2012 update'!$B$6:$B$104,0),MATCH(AB$16,'AEA2012 update'!$S$4:$Z$4,0)),INDEX('AEA2012 update'!$K$6:$R$104,MATCH($T43&amp;$U43,'AEA2012 update'!$A$6:$A$104&amp;'AEA2012 update'!$B$6:$B$104,0),MATCH(AB$16,'AEA2012 update'!$S$4:$Z$4,0)))</f>
        <v>420229.93891377357</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8953673.1248607747</v>
      </c>
      <c r="W44" s="103">
        <f t="array" ref="W44">IF(W$18,INDEX('AEA2012 update'!$K$6:$R$104,MATCH($T44&amp;$R44,'AEA2012 update'!$A$6:$A$104&amp;'AEA2012 update'!$B$6:$B$104,0),MATCH(W$16,'AEA2012 update'!$S$4:$Z$4,0)),INDEX('AEA2012 update'!$K$6:$R$104,MATCH($T44&amp;$U44,'AEA2012 update'!$A$6:$A$104&amp;'AEA2012 update'!$B$6:$B$104,0),MATCH(W$16,'AEA2012 update'!$S$4:$Z$4,0)))</f>
        <v>3579822.5277799987</v>
      </c>
      <c r="X44" s="103">
        <f t="array" ref="X44">IF(X$18,INDEX('AEA2012 update'!$K$6:$R$104,MATCH($T44&amp;$R44,'AEA2012 update'!$A$6:$A$104&amp;'AEA2012 update'!$B$6:$B$104,0),MATCH(X$16,'AEA2012 update'!$S$4:$Z$4,0)),INDEX('AEA2012 update'!$K$6:$R$104,MATCH($T44&amp;$U44,'AEA2012 update'!$A$6:$A$104&amp;'AEA2012 update'!$B$6:$B$104,0),MATCH(X$16,'AEA2012 update'!$S$4:$Z$4,0)))</f>
        <v>2748124.143456737</v>
      </c>
      <c r="Y44" s="103">
        <f t="array" ref="Y44">IF(Y$18,INDEX('AEA2012 update'!$K$6:$R$104,MATCH($T44&amp;$R44,'AEA2012 update'!$A$6:$A$104&amp;'AEA2012 update'!$B$6:$B$104,0),MATCH(Y$16,'AEA2012 update'!$S$4:$Z$4,0)),INDEX('AEA2012 update'!$K$6:$R$104,MATCH($T44&amp;$U44,'AEA2012 update'!$A$6:$A$104&amp;'AEA2012 update'!$B$6:$B$104,0),MATCH(Y$16,'AEA2012 update'!$S$4:$Z$4,0)))</f>
        <v>394374.96176505223</v>
      </c>
      <c r="Z44" s="103">
        <f t="array" ref="Z44">IF(Z$18,INDEX('AEA2012 update'!$K$6:$R$104,MATCH($T44&amp;$R44,'AEA2012 update'!$A$6:$A$104&amp;'AEA2012 update'!$B$6:$B$104,0),MATCH(Z$16,'AEA2012 update'!$S$4:$Z$4,0)),INDEX('AEA2012 update'!$K$6:$R$104,MATCH($T44&amp;$U44,'AEA2012 update'!$A$6:$A$104&amp;'AEA2012 update'!$B$6:$B$104,0),MATCH(Z$16,'AEA2012 update'!$S$4:$Z$4,0)))</f>
        <v>402987.36331977899</v>
      </c>
      <c r="AA44" s="103">
        <f t="array" ref="AA44">IF(AA$18,INDEX('AEA2012 update'!$K$6:$R$104,MATCH($T44&amp;$R44,'AEA2012 update'!$A$6:$A$104&amp;'AEA2012 update'!$B$6:$B$104,0),MATCH(AA$16,'AEA2012 update'!$S$4:$Z$4,0)),INDEX('AEA2012 update'!$K$6:$R$104,MATCH($T44&amp;$U44,'AEA2012 update'!$A$6:$A$104&amp;'AEA2012 update'!$B$6:$B$104,0),MATCH(AA$16,'AEA2012 update'!$S$4:$Z$4,0)))</f>
        <v>411599.76487450581</v>
      </c>
      <c r="AB44" s="103">
        <f t="array" ref="AB44">IF(AB$18,INDEX('AEA2012 update'!$K$6:$R$104,MATCH($T44&amp;$R44,'AEA2012 update'!$A$6:$A$104&amp;'AEA2012 update'!$B$6:$B$104,0),MATCH(AB$16,'AEA2012 update'!$S$4:$Z$4,0)),INDEX('AEA2012 update'!$K$6:$R$104,MATCH($T44&amp;$U44,'AEA2012 update'!$A$6:$A$104&amp;'AEA2012 update'!$B$6:$B$104,0),MATCH(AB$16,'AEA2012 update'!$S$4:$Z$4,0)))</f>
        <v>420229.93891377357</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515144.81980383256</v>
      </c>
      <c r="W45" s="103">
        <f t="array" ref="W45">IF(W$18,INDEX('AEA2012 update'!$K$6:$R$104,MATCH($T45&amp;$R45,'AEA2012 update'!$A$6:$A$104&amp;'AEA2012 update'!$B$6:$B$104,0),MATCH(W$16,'AEA2012 update'!$S$4:$Z$4,0)),INDEX('AEA2012 update'!$K$6:$R$104,MATCH($T45&amp;$U45,'AEA2012 update'!$A$6:$A$104&amp;'AEA2012 update'!$B$6:$B$104,0),MATCH(W$16,'AEA2012 update'!$S$4:$Z$4,0)))</f>
        <v>541448.15732672473</v>
      </c>
      <c r="X45" s="103">
        <f t="array" ref="X45">IF(X$18,INDEX('AEA2012 update'!$K$6:$R$104,MATCH($T45&amp;$R45,'AEA2012 update'!$A$6:$A$104&amp;'AEA2012 update'!$B$6:$B$104,0),MATCH(X$16,'AEA2012 update'!$S$4:$Z$4,0)),INDEX('AEA2012 update'!$K$6:$R$104,MATCH($T45&amp;$U45,'AEA2012 update'!$A$6:$A$104&amp;'AEA2012 update'!$B$6:$B$104,0),MATCH(X$16,'AEA2012 update'!$S$4:$Z$4,0)))</f>
        <v>547147.5506547353</v>
      </c>
      <c r="Y45" s="103">
        <f t="array" ref="Y45">IF(Y$18,INDEX('AEA2012 update'!$K$6:$R$104,MATCH($T45&amp;$R45,'AEA2012 update'!$A$6:$A$104&amp;'AEA2012 update'!$B$6:$B$104,0),MATCH(Y$16,'AEA2012 update'!$S$4:$Z$4,0)),INDEX('AEA2012 update'!$K$6:$R$104,MATCH($T45&amp;$U45,'AEA2012 update'!$A$6:$A$104&amp;'AEA2012 update'!$B$6:$B$104,0),MATCH(Y$16,'AEA2012 update'!$S$4:$Z$4,0)))</f>
        <v>394374.96176505223</v>
      </c>
      <c r="Z45" s="103">
        <f t="array" ref="Z45">IF(Z$18,INDEX('AEA2012 update'!$K$6:$R$104,MATCH($T45&amp;$R45,'AEA2012 update'!$A$6:$A$104&amp;'AEA2012 update'!$B$6:$B$104,0),MATCH(Z$16,'AEA2012 update'!$S$4:$Z$4,0)),INDEX('AEA2012 update'!$K$6:$R$104,MATCH($T45&amp;$U45,'AEA2012 update'!$A$6:$A$104&amp;'AEA2012 update'!$B$6:$B$104,0),MATCH(Z$16,'AEA2012 update'!$S$4:$Z$4,0)))</f>
        <v>402987.36331977899</v>
      </c>
      <c r="AA45" s="103">
        <f t="array" ref="AA45">IF(AA$18,INDEX('AEA2012 update'!$K$6:$R$104,MATCH($T45&amp;$R45,'AEA2012 update'!$A$6:$A$104&amp;'AEA2012 update'!$B$6:$B$104,0),MATCH(AA$16,'AEA2012 update'!$S$4:$Z$4,0)),INDEX('AEA2012 update'!$K$6:$R$104,MATCH($T45&amp;$U45,'AEA2012 update'!$A$6:$A$104&amp;'AEA2012 update'!$B$6:$B$104,0),MATCH(AA$16,'AEA2012 update'!$S$4:$Z$4,0)))</f>
        <v>411599.76487450581</v>
      </c>
      <c r="AB45" s="103">
        <f t="array" ref="AB45">IF(AB$18,INDEX('AEA2012 update'!$K$6:$R$104,MATCH($T45&amp;$R45,'AEA2012 update'!$A$6:$A$104&amp;'AEA2012 update'!$B$6:$B$104,0),MATCH(AB$16,'AEA2012 update'!$S$4:$Z$4,0)),INDEX('AEA2012 update'!$K$6:$R$104,MATCH($T45&amp;$U45,'AEA2012 update'!$A$6:$A$104&amp;'AEA2012 update'!$B$6:$B$104,0),MATCH(AB$16,'AEA2012 update'!$S$4:$Z$4,0)))</f>
        <v>420229.93891377357</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111175.50319293482</v>
      </c>
      <c r="W47" s="103">
        <f t="array" ref="W47">IF(W$18,INDEX('AEA2012 update'!$K$6:$R$104,MATCH($T47&amp;$R47,'AEA2012 update'!$A$6:$A$104&amp;'AEA2012 update'!$B$6:$B$104,0),MATCH(W$16,'AEA2012 update'!$S$4:$Z$4,0)),INDEX('AEA2012 update'!$K$6:$R$104,MATCH($T47&amp;$U47,'AEA2012 update'!$A$6:$A$104&amp;'AEA2012 update'!$B$6:$B$104,0),MATCH(W$16,'AEA2012 update'!$S$4:$Z$4,0)))</f>
        <v>116344.23215284995</v>
      </c>
      <c r="X47" s="103">
        <f t="array" ref="X47">IF(X$18,INDEX('AEA2012 update'!$K$6:$R$104,MATCH($T47&amp;$R47,'AEA2012 update'!$A$6:$A$104&amp;'AEA2012 update'!$B$6:$B$104,0),MATCH(X$16,'AEA2012 update'!$S$4:$Z$4,0)),INDEX('AEA2012 update'!$K$6:$R$104,MATCH($T47&amp;$U47,'AEA2012 update'!$A$6:$A$104&amp;'AEA2012 update'!$B$6:$B$104,0),MATCH(X$16,'AEA2012 update'!$S$4:$Z$4,0)))</f>
        <v>117969.5027272259</v>
      </c>
      <c r="Y47" s="103">
        <f t="array" ref="Y47">IF(Y$18,INDEX('AEA2012 update'!$K$6:$R$104,MATCH($T47&amp;$R47,'AEA2012 update'!$A$6:$A$104&amp;'AEA2012 update'!$B$6:$B$104,0),MATCH(Y$16,'AEA2012 update'!$S$4:$Z$4,0)),INDEX('AEA2012 update'!$K$6:$R$104,MATCH($T47&amp;$U47,'AEA2012 update'!$A$6:$A$104&amp;'AEA2012 update'!$B$6:$B$104,0),MATCH(Y$16,'AEA2012 update'!$S$4:$Z$4,0)))</f>
        <v>119594.77330160186</v>
      </c>
      <c r="Z47" s="103">
        <f t="array" ref="Z47">IF(Z$18,INDEX('AEA2012 update'!$K$6:$R$104,MATCH($T47&amp;$R47,'AEA2012 update'!$A$6:$A$104&amp;'AEA2012 update'!$B$6:$B$104,0),MATCH(Z$16,'AEA2012 update'!$S$4:$Z$4,0)),INDEX('AEA2012 update'!$K$6:$R$104,MATCH($T47&amp;$U47,'AEA2012 update'!$A$6:$A$104&amp;'AEA2012 update'!$B$6:$B$104,0),MATCH(Z$16,'AEA2012 update'!$S$4:$Z$4,0)))</f>
        <v>121443.43441226649</v>
      </c>
      <c r="AA47" s="103">
        <f t="array" ref="AA47">IF(AA$18,INDEX('AEA2012 update'!$K$6:$R$104,MATCH($T47&amp;$R47,'AEA2012 update'!$A$6:$A$104&amp;'AEA2012 update'!$B$6:$B$104,0),MATCH(AA$16,'AEA2012 update'!$S$4:$Z$4,0)),INDEX('AEA2012 update'!$K$6:$R$104,MATCH($T47&amp;$U47,'AEA2012 update'!$A$6:$A$104&amp;'AEA2012 update'!$B$6:$B$104,0),MATCH(AA$16,'AEA2012 update'!$S$4:$Z$4,0)))</f>
        <v>123292.09552293109</v>
      </c>
      <c r="AB47" s="103">
        <f t="array" ref="AB47">IF(AB$18,INDEX('AEA2012 update'!$K$6:$R$104,MATCH($T47&amp;$R47,'AEA2012 update'!$A$6:$A$104&amp;'AEA2012 update'!$B$6:$B$104,0),MATCH(AB$16,'AEA2012 update'!$S$4:$Z$4,0)),INDEX('AEA2012 update'!$K$6:$R$104,MATCH($T47&amp;$U47,'AEA2012 update'!$A$6:$A$104&amp;'AEA2012 update'!$B$6:$B$104,0),MATCH(AB$16,'AEA2012 update'!$S$4:$Z$4,0)))</f>
        <v>125001.25417831203</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146903.0406515818</v>
      </c>
      <c r="W48" s="103">
        <f t="array" ref="W48">IF(W$18,INDEX('AEA2012 update'!$K$6:$R$104,MATCH($T48&amp;$R48,'AEA2012 update'!$A$6:$A$104&amp;'AEA2012 update'!$B$6:$B$104,0),MATCH(W$16,'AEA2012 update'!$S$4:$Z$4,0)),INDEX('AEA2012 update'!$K$6:$R$104,MATCH($T48&amp;$U48,'AEA2012 update'!$A$6:$A$104&amp;'AEA2012 update'!$B$6:$B$104,0),MATCH(W$16,'AEA2012 update'!$S$4:$Z$4,0)))</f>
        <v>134243.34479174993</v>
      </c>
      <c r="X48" s="103">
        <f t="array" ref="X48">IF(X$18,INDEX('AEA2012 update'!$K$6:$R$104,MATCH($T48&amp;$R48,'AEA2012 update'!$A$6:$A$104&amp;'AEA2012 update'!$B$6:$B$104,0),MATCH(X$16,'AEA2012 update'!$S$4:$Z$4,0)),INDEX('AEA2012 update'!$K$6:$R$104,MATCH($T48&amp;$U48,'AEA2012 update'!$A$6:$A$104&amp;'AEA2012 update'!$B$6:$B$104,0),MATCH(X$16,'AEA2012 update'!$S$4:$Z$4,0)))</f>
        <v>132079.92051249574</v>
      </c>
      <c r="Y48" s="103">
        <f t="array" ref="Y48">IF(Y$18,INDEX('AEA2012 update'!$K$6:$R$104,MATCH($T48&amp;$R48,'AEA2012 update'!$A$6:$A$104&amp;'AEA2012 update'!$B$6:$B$104,0),MATCH(Y$16,'AEA2012 update'!$S$4:$Z$4,0)),INDEX('AEA2012 update'!$K$6:$R$104,MATCH($T48&amp;$U48,'AEA2012 update'!$A$6:$A$104&amp;'AEA2012 update'!$B$6:$B$104,0),MATCH(Y$16,'AEA2012 update'!$S$4:$Z$4,0)))</f>
        <v>119594.77330160186</v>
      </c>
      <c r="Z48" s="103">
        <f t="array" ref="Z48">IF(Z$18,INDEX('AEA2012 update'!$K$6:$R$104,MATCH($T48&amp;$R48,'AEA2012 update'!$A$6:$A$104&amp;'AEA2012 update'!$B$6:$B$104,0),MATCH(Z$16,'AEA2012 update'!$S$4:$Z$4,0)),INDEX('AEA2012 update'!$K$6:$R$104,MATCH($T48&amp;$U48,'AEA2012 update'!$A$6:$A$104&amp;'AEA2012 update'!$B$6:$B$104,0),MATCH(Z$16,'AEA2012 update'!$S$4:$Z$4,0)))</f>
        <v>121443.43441226649</v>
      </c>
      <c r="AA48" s="103">
        <f t="array" ref="AA48">IF(AA$18,INDEX('AEA2012 update'!$K$6:$R$104,MATCH($T48&amp;$R48,'AEA2012 update'!$A$6:$A$104&amp;'AEA2012 update'!$B$6:$B$104,0),MATCH(AA$16,'AEA2012 update'!$S$4:$Z$4,0)),INDEX('AEA2012 update'!$K$6:$R$104,MATCH($T48&amp;$U48,'AEA2012 update'!$A$6:$A$104&amp;'AEA2012 update'!$B$6:$B$104,0),MATCH(AA$16,'AEA2012 update'!$S$4:$Z$4,0)))</f>
        <v>123292.09552293109</v>
      </c>
      <c r="AB48" s="103">
        <f t="array" ref="AB48">IF(AB$18,INDEX('AEA2012 update'!$K$6:$R$104,MATCH($T48&amp;$R48,'AEA2012 update'!$A$6:$A$104&amp;'AEA2012 update'!$B$6:$B$104,0),MATCH(AB$16,'AEA2012 update'!$S$4:$Z$4,0)),INDEX('AEA2012 update'!$K$6:$R$104,MATCH($T48&amp;$U48,'AEA2012 update'!$A$6:$A$104&amp;'AEA2012 update'!$B$6:$B$104,0),MATCH(AB$16,'AEA2012 update'!$S$4:$Z$4,0)))</f>
        <v>125001.25417831203</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145759.9557943554</v>
      </c>
      <c r="W49" s="103">
        <f t="array" ref="W49">IF(W$18,INDEX('AEA2012 update'!$K$6:$R$104,MATCH($T49&amp;$R49,'AEA2012 update'!$A$6:$A$104&amp;'AEA2012 update'!$B$6:$B$104,0),MATCH(W$16,'AEA2012 update'!$S$4:$Z$4,0)),INDEX('AEA2012 update'!$K$6:$R$104,MATCH($T49&amp;$U49,'AEA2012 update'!$A$6:$A$104&amp;'AEA2012 update'!$B$6:$B$104,0),MATCH(W$16,'AEA2012 update'!$S$4:$Z$4,0)))</f>
        <v>116344.23215284995</v>
      </c>
      <c r="X49" s="103">
        <f t="array" ref="X49">IF(X$18,INDEX('AEA2012 update'!$K$6:$R$104,MATCH($T49&amp;$R49,'AEA2012 update'!$A$6:$A$104&amp;'AEA2012 update'!$B$6:$B$104,0),MATCH(X$16,'AEA2012 update'!$S$4:$Z$4,0)),INDEX('AEA2012 update'!$K$6:$R$104,MATCH($T49&amp;$U49,'AEA2012 update'!$A$6:$A$104&amp;'AEA2012 update'!$B$6:$B$104,0),MATCH(X$16,'AEA2012 update'!$S$4:$Z$4,0)))</f>
        <v>109919.45126862373</v>
      </c>
      <c r="Y49" s="103">
        <f t="array" ref="Y49">IF(Y$18,INDEX('AEA2012 update'!$K$6:$R$104,MATCH($T49&amp;$R49,'AEA2012 update'!$A$6:$A$104&amp;'AEA2012 update'!$B$6:$B$104,0),MATCH(Y$16,'AEA2012 update'!$S$4:$Z$4,0)),INDEX('AEA2012 update'!$K$6:$R$104,MATCH($T49&amp;$U49,'AEA2012 update'!$A$6:$A$104&amp;'AEA2012 update'!$B$6:$B$104,0),MATCH(Y$16,'AEA2012 update'!$S$4:$Z$4,0)))</f>
        <v>119594.77330160186</v>
      </c>
      <c r="Z49" s="103">
        <f t="array" ref="Z49">IF(Z$18,INDEX('AEA2012 update'!$K$6:$R$104,MATCH($T49&amp;$R49,'AEA2012 update'!$A$6:$A$104&amp;'AEA2012 update'!$B$6:$B$104,0),MATCH(Z$16,'AEA2012 update'!$S$4:$Z$4,0)),INDEX('AEA2012 update'!$K$6:$R$104,MATCH($T49&amp;$U49,'AEA2012 update'!$A$6:$A$104&amp;'AEA2012 update'!$B$6:$B$104,0),MATCH(Z$16,'AEA2012 update'!$S$4:$Z$4,0)))</f>
        <v>121443.43441226649</v>
      </c>
      <c r="AA49" s="103">
        <f t="array" ref="AA49">IF(AA$18,INDEX('AEA2012 update'!$K$6:$R$104,MATCH($T49&amp;$R49,'AEA2012 update'!$A$6:$A$104&amp;'AEA2012 update'!$B$6:$B$104,0),MATCH(AA$16,'AEA2012 update'!$S$4:$Z$4,0)),INDEX('AEA2012 update'!$K$6:$R$104,MATCH($T49&amp;$U49,'AEA2012 update'!$A$6:$A$104&amp;'AEA2012 update'!$B$6:$B$104,0),MATCH(AA$16,'AEA2012 update'!$S$4:$Z$4,0)))</f>
        <v>123292.09552293109</v>
      </c>
      <c r="AB49" s="103">
        <f t="array" ref="AB49">IF(AB$18,INDEX('AEA2012 update'!$K$6:$R$104,MATCH($T49&amp;$R49,'AEA2012 update'!$A$6:$A$104&amp;'AEA2012 update'!$B$6:$B$104,0),MATCH(AB$16,'AEA2012 update'!$S$4:$Z$4,0)),INDEX('AEA2012 update'!$K$6:$R$104,MATCH($T49&amp;$U49,'AEA2012 update'!$A$6:$A$104&amp;'AEA2012 update'!$B$6:$B$104,0),MATCH(AB$16,'AEA2012 update'!$S$4:$Z$4,0)))</f>
        <v>125001.25417831203</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7248945.9292332893</v>
      </c>
      <c r="W50" s="103">
        <f t="array" ref="W50">IF(W$18,INDEX('AEA2012 update'!$K$6:$R$104,MATCH($T50&amp;$R50,'AEA2012 update'!$A$6:$A$104&amp;'AEA2012 update'!$B$6:$B$104,0),MATCH(W$16,'AEA2012 update'!$S$4:$Z$4,0)),INDEX('AEA2012 update'!$K$6:$R$104,MATCH($T50&amp;$U50,'AEA2012 update'!$A$6:$A$104&amp;'AEA2012 update'!$B$6:$B$104,0),MATCH(W$16,'AEA2012 update'!$S$4:$Z$4,0)))</f>
        <v>2684866.8958349987</v>
      </c>
      <c r="X50" s="103">
        <f t="array" ref="X50">IF(X$18,INDEX('AEA2012 update'!$K$6:$R$104,MATCH($T50&amp;$R50,'AEA2012 update'!$A$6:$A$104&amp;'AEA2012 update'!$B$6:$B$104,0),MATCH(X$16,'AEA2012 update'!$S$4:$Z$4,0)),INDEX('AEA2012 update'!$K$6:$R$104,MATCH($T50&amp;$U50,'AEA2012 update'!$A$6:$A$104&amp;'AEA2012 update'!$B$6:$B$104,0),MATCH(X$16,'AEA2012 update'!$S$4:$Z$4,0)))</f>
        <v>2550623.5510432483</v>
      </c>
      <c r="Y50" s="103">
        <f t="array" ref="Y50">IF(Y$18,INDEX('AEA2012 update'!$K$6:$R$104,MATCH($T50&amp;$R50,'AEA2012 update'!$A$6:$A$104&amp;'AEA2012 update'!$B$6:$B$104,0),MATCH(Y$16,'AEA2012 update'!$S$4:$Z$4,0)),INDEX('AEA2012 update'!$K$6:$R$104,MATCH($T50&amp;$U50,'AEA2012 update'!$A$6:$A$104&amp;'AEA2012 update'!$B$6:$B$104,0),MATCH(Y$16,'AEA2012 update'!$S$4:$Z$4,0)))</f>
        <v>119594.77330160186</v>
      </c>
      <c r="Z50" s="103">
        <f t="array" ref="Z50">IF(Z$18,INDEX('AEA2012 update'!$K$6:$R$104,MATCH($T50&amp;$R50,'AEA2012 update'!$A$6:$A$104&amp;'AEA2012 update'!$B$6:$B$104,0),MATCH(Z$16,'AEA2012 update'!$S$4:$Z$4,0)),INDEX('AEA2012 update'!$K$6:$R$104,MATCH($T50&amp;$U50,'AEA2012 update'!$A$6:$A$104&amp;'AEA2012 update'!$B$6:$B$104,0),MATCH(Z$16,'AEA2012 update'!$S$4:$Z$4,0)))</f>
        <v>121443.43441226649</v>
      </c>
      <c r="AA50" s="103">
        <f t="array" ref="AA50">IF(AA$18,INDEX('AEA2012 update'!$K$6:$R$104,MATCH($T50&amp;$R50,'AEA2012 update'!$A$6:$A$104&amp;'AEA2012 update'!$B$6:$B$104,0),MATCH(AA$16,'AEA2012 update'!$S$4:$Z$4,0)),INDEX('AEA2012 update'!$K$6:$R$104,MATCH($T50&amp;$U50,'AEA2012 update'!$A$6:$A$104&amp;'AEA2012 update'!$B$6:$B$104,0),MATCH(AA$16,'AEA2012 update'!$S$4:$Z$4,0)))</f>
        <v>123292.09552293109</v>
      </c>
      <c r="AB50" s="103">
        <f t="array" ref="AB50">IF(AB$18,INDEX('AEA2012 update'!$K$6:$R$104,MATCH($T50&amp;$R50,'AEA2012 update'!$A$6:$A$104&amp;'AEA2012 update'!$B$6:$B$104,0),MATCH(AB$16,'AEA2012 update'!$S$4:$Z$4,0)),INDEX('AEA2012 update'!$K$6:$R$104,MATCH($T50&amp;$U50,'AEA2012 update'!$A$6:$A$104&amp;'AEA2012 update'!$B$6:$B$104,0),MATCH(AB$16,'AEA2012 update'!$S$4:$Z$4,0)))</f>
        <v>125001.25417831203</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1821049.8719484597</v>
      </c>
      <c r="W52" s="103">
        <f t="array" ref="W52">IF(W$18,INDEX('AEA2012 update'!$K$6:$R$104,MATCH($T52&amp;$R52,'AEA2012 update'!$A$6:$A$104&amp;'AEA2012 update'!$B$6:$B$104,0),MATCH(W$16,'AEA2012 update'!$S$4:$Z$4,0)),INDEX('AEA2012 update'!$K$6:$R$104,MATCH($T52&amp;$U52,'AEA2012 update'!$A$6:$A$104&amp;'AEA2012 update'!$B$6:$B$104,0),MATCH(W$16,'AEA2012 update'!$S$4:$Z$4,0)))</f>
        <v>1968902.3902789995</v>
      </c>
      <c r="X52" s="103">
        <f t="array" ref="X52">IF(X$18,INDEX('AEA2012 update'!$K$6:$R$104,MATCH($T52&amp;$R52,'AEA2012 update'!$A$6:$A$104&amp;'AEA2012 update'!$B$6:$B$104,0),MATCH(X$16,'AEA2012 update'!$S$4:$Z$4,0)),INDEX('AEA2012 update'!$K$6:$R$104,MATCH($T52&amp;$U52,'AEA2012 update'!$A$6:$A$104&amp;'AEA2012 update'!$B$6:$B$104,0),MATCH(X$16,'AEA2012 update'!$S$4:$Z$4,0)))</f>
        <v>2005664.7722414122</v>
      </c>
      <c r="Y52" s="103">
        <f t="array" ref="Y52">IF(Y$18,INDEX('AEA2012 update'!$K$6:$R$104,MATCH($T52&amp;$R52,'AEA2012 update'!$A$6:$A$104&amp;'AEA2012 update'!$B$6:$B$104,0),MATCH(Y$16,'AEA2012 update'!$S$4:$Z$4,0)),INDEX('AEA2012 update'!$K$6:$R$104,MATCH($T52&amp;$U52,'AEA2012 update'!$A$6:$A$104&amp;'AEA2012 update'!$B$6:$B$104,0),MATCH(Y$16,'AEA2012 update'!$S$4:$Z$4,0)))</f>
        <v>2042427.1542038247</v>
      </c>
      <c r="Z52" s="103">
        <f t="array" ref="Z52">IF(Z$18,INDEX('AEA2012 update'!$K$6:$R$104,MATCH($T52&amp;$R52,'AEA2012 update'!$A$6:$A$104&amp;'AEA2012 update'!$B$6:$B$104,0),MATCH(Z$16,'AEA2012 update'!$S$4:$Z$4,0)),INDEX('AEA2012 update'!$K$6:$R$104,MATCH($T52&amp;$U52,'AEA2012 update'!$A$6:$A$104&amp;'AEA2012 update'!$B$6:$B$104,0),MATCH(Z$16,'AEA2012 update'!$S$4:$Z$4,0)))</f>
        <v>2066063.1670444368</v>
      </c>
      <c r="AA52" s="103">
        <f t="array" ref="AA52">IF(AA$18,INDEX('AEA2012 update'!$K$6:$R$104,MATCH($T52&amp;$R52,'AEA2012 update'!$A$6:$A$104&amp;'AEA2012 update'!$B$6:$B$104,0),MATCH(AA$16,'AEA2012 update'!$S$4:$Z$4,0)),INDEX('AEA2012 update'!$K$6:$R$104,MATCH($T52&amp;$U52,'AEA2012 update'!$A$6:$A$104&amp;'AEA2012 update'!$B$6:$B$104,0),MATCH(AA$16,'AEA2012 update'!$S$4:$Z$4,0)))</f>
        <v>2089699.1798850487</v>
      </c>
      <c r="AB52" s="103">
        <f t="array" ref="AB52">IF(AB$18,INDEX('AEA2012 update'!$K$6:$R$104,MATCH($T52&amp;$R52,'AEA2012 update'!$A$6:$A$104&amp;'AEA2012 update'!$B$6:$B$104,0),MATCH(AB$16,'AEA2012 update'!$S$4:$Z$4,0)),INDEX('AEA2012 update'!$K$6:$R$104,MATCH($T52&amp;$U52,'AEA2012 update'!$A$6:$A$104&amp;'AEA2012 update'!$B$6:$B$104,0),MATCH(AB$16,'AEA2012 update'!$S$4:$Z$4,0)))</f>
        <v>2143663.9081112505</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1821049.8719484597</v>
      </c>
      <c r="W53" s="103">
        <f t="array" ref="W53">IF(W$18,INDEX('AEA2012 update'!$K$6:$R$104,MATCH($T53&amp;$R53,'AEA2012 update'!$A$6:$A$104&amp;'AEA2012 update'!$B$6:$B$104,0),MATCH(W$16,'AEA2012 update'!$S$4:$Z$4,0)),INDEX('AEA2012 update'!$K$6:$R$104,MATCH($T53&amp;$U53,'AEA2012 update'!$A$6:$A$104&amp;'AEA2012 update'!$B$6:$B$104,0),MATCH(W$16,'AEA2012 update'!$S$4:$Z$4,0)))</f>
        <v>1968902.3902789995</v>
      </c>
      <c r="X53" s="103">
        <f t="array" ref="X53">IF(X$18,INDEX('AEA2012 update'!$K$6:$R$104,MATCH($T53&amp;$R53,'AEA2012 update'!$A$6:$A$104&amp;'AEA2012 update'!$B$6:$B$104,0),MATCH(X$16,'AEA2012 update'!$S$4:$Z$4,0)),INDEX('AEA2012 update'!$K$6:$R$104,MATCH($T53&amp;$U53,'AEA2012 update'!$A$6:$A$104&amp;'AEA2012 update'!$B$6:$B$104,0),MATCH(X$16,'AEA2012 update'!$S$4:$Z$4,0)))</f>
        <v>2005664.7722414122</v>
      </c>
      <c r="Y53" s="103">
        <f t="array" ref="Y53">IF(Y$18,INDEX('AEA2012 update'!$K$6:$R$104,MATCH($T53&amp;$R53,'AEA2012 update'!$A$6:$A$104&amp;'AEA2012 update'!$B$6:$B$104,0),MATCH(Y$16,'AEA2012 update'!$S$4:$Z$4,0)),INDEX('AEA2012 update'!$K$6:$R$104,MATCH($T53&amp;$U53,'AEA2012 update'!$A$6:$A$104&amp;'AEA2012 update'!$B$6:$B$104,0),MATCH(Y$16,'AEA2012 update'!$S$4:$Z$4,0)))</f>
        <v>2042427.1542038247</v>
      </c>
      <c r="Z53" s="103">
        <f t="array" ref="Z53">IF(Z$18,INDEX('AEA2012 update'!$K$6:$R$104,MATCH($T53&amp;$R53,'AEA2012 update'!$A$6:$A$104&amp;'AEA2012 update'!$B$6:$B$104,0),MATCH(Z$16,'AEA2012 update'!$S$4:$Z$4,0)),INDEX('AEA2012 update'!$K$6:$R$104,MATCH($T53&amp;$U53,'AEA2012 update'!$A$6:$A$104&amp;'AEA2012 update'!$B$6:$B$104,0),MATCH(Z$16,'AEA2012 update'!$S$4:$Z$4,0)))</f>
        <v>2066063.1670444368</v>
      </c>
      <c r="AA53" s="103">
        <f t="array" ref="AA53">IF(AA$18,INDEX('AEA2012 update'!$K$6:$R$104,MATCH($T53&amp;$R53,'AEA2012 update'!$A$6:$A$104&amp;'AEA2012 update'!$B$6:$B$104,0),MATCH(AA$16,'AEA2012 update'!$S$4:$Z$4,0)),INDEX('AEA2012 update'!$K$6:$R$104,MATCH($T53&amp;$U53,'AEA2012 update'!$A$6:$A$104&amp;'AEA2012 update'!$B$6:$B$104,0),MATCH(AA$16,'AEA2012 update'!$S$4:$Z$4,0)))</f>
        <v>2089699.1798850487</v>
      </c>
      <c r="AB53" s="103">
        <f t="array" ref="AB53">IF(AB$18,INDEX('AEA2012 update'!$K$6:$R$104,MATCH($T53&amp;$R53,'AEA2012 update'!$A$6:$A$104&amp;'AEA2012 update'!$B$6:$B$104,0),MATCH(AB$16,'AEA2012 update'!$S$4:$Z$4,0)),INDEX('AEA2012 update'!$K$6:$R$104,MATCH($T53&amp;$U53,'AEA2012 update'!$A$6:$A$104&amp;'AEA2012 update'!$B$6:$B$104,0),MATCH(AB$16,'AEA2012 update'!$S$4:$Z$4,0)))</f>
        <v>2143663.9081112505</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5868647.8714995831</v>
      </c>
      <c r="W54" s="103">
        <f t="array" ref="W54">IF(W$18,INDEX('AEA2012 update'!$K$6:$R$104,MATCH($T54&amp;$R54,'AEA2012 update'!$A$6:$A$104&amp;'AEA2012 update'!$B$6:$B$104,0),MATCH(W$16,'AEA2012 update'!$S$4:$Z$4,0)),INDEX('AEA2012 update'!$K$6:$R$104,MATCH($T54&amp;$U54,'AEA2012 update'!$A$6:$A$104&amp;'AEA2012 update'!$B$6:$B$104,0),MATCH(W$16,'AEA2012 update'!$S$4:$Z$4,0)))</f>
        <v>4474778.1597249983</v>
      </c>
      <c r="X54" s="103">
        <f t="array" ref="X54">IF(X$18,INDEX('AEA2012 update'!$K$6:$R$104,MATCH($T54&amp;$R54,'AEA2012 update'!$A$6:$A$104&amp;'AEA2012 update'!$B$6:$B$104,0),MATCH(X$16,'AEA2012 update'!$S$4:$Z$4,0)),INDEX('AEA2012 update'!$K$6:$R$104,MATCH($T54&amp;$U54,'AEA2012 update'!$A$6:$A$104&amp;'AEA2012 update'!$B$6:$B$104,0),MATCH(X$16,'AEA2012 update'!$S$4:$Z$4,0)))</f>
        <v>4243440.7208242323</v>
      </c>
      <c r="Y54" s="103">
        <f t="array" ref="Y54">IF(Y$18,INDEX('AEA2012 update'!$K$6:$R$104,MATCH($T54&amp;$R54,'AEA2012 update'!$A$6:$A$104&amp;'AEA2012 update'!$B$6:$B$104,0),MATCH(Y$16,'AEA2012 update'!$S$4:$Z$4,0)),INDEX('AEA2012 update'!$K$6:$R$104,MATCH($T54&amp;$U54,'AEA2012 update'!$A$6:$A$104&amp;'AEA2012 update'!$B$6:$B$104,0),MATCH(Y$16,'AEA2012 update'!$S$4:$Z$4,0)))</f>
        <v>2042427.1542038247</v>
      </c>
      <c r="Z54" s="103">
        <f t="array" ref="Z54">IF(Z$18,INDEX('AEA2012 update'!$K$6:$R$104,MATCH($T54&amp;$R54,'AEA2012 update'!$A$6:$A$104&amp;'AEA2012 update'!$B$6:$B$104,0),MATCH(Z$16,'AEA2012 update'!$S$4:$Z$4,0)),INDEX('AEA2012 update'!$K$6:$R$104,MATCH($T54&amp;$U54,'AEA2012 update'!$A$6:$A$104&amp;'AEA2012 update'!$B$6:$B$104,0),MATCH(Z$16,'AEA2012 update'!$S$4:$Z$4,0)))</f>
        <v>2066063.1670444368</v>
      </c>
      <c r="AA54" s="103">
        <f t="array" ref="AA54">IF(AA$18,INDEX('AEA2012 update'!$K$6:$R$104,MATCH($T54&amp;$R54,'AEA2012 update'!$A$6:$A$104&amp;'AEA2012 update'!$B$6:$B$104,0),MATCH(AA$16,'AEA2012 update'!$S$4:$Z$4,0)),INDEX('AEA2012 update'!$K$6:$R$104,MATCH($T54&amp;$U54,'AEA2012 update'!$A$6:$A$104&amp;'AEA2012 update'!$B$6:$B$104,0),MATCH(AA$16,'AEA2012 update'!$S$4:$Z$4,0)))</f>
        <v>2089699.1798850487</v>
      </c>
      <c r="AB54" s="103">
        <f t="array" ref="AB54">IF(AB$18,INDEX('AEA2012 update'!$K$6:$R$104,MATCH($T54&amp;$R54,'AEA2012 update'!$A$6:$A$104&amp;'AEA2012 update'!$B$6:$B$104,0),MATCH(AB$16,'AEA2012 update'!$S$4:$Z$4,0)),INDEX('AEA2012 update'!$K$6:$R$104,MATCH($T54&amp;$U54,'AEA2012 update'!$A$6:$A$104&amp;'AEA2012 update'!$B$6:$B$104,0),MATCH(AB$16,'AEA2012 update'!$S$4:$Z$4,0)))</f>
        <v>2143663.9081112505</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22908931.453513019</v>
      </c>
      <c r="W55" s="103">
        <f t="array" ref="W55">IF(W$18,INDEX('AEA2012 update'!$K$6:$R$104,MATCH($T55&amp;$R55,'AEA2012 update'!$A$6:$A$104&amp;'AEA2012 update'!$B$6:$B$104,0),MATCH(W$16,'AEA2012 update'!$S$4:$Z$4,0)),INDEX('AEA2012 update'!$K$6:$R$104,MATCH($T55&amp;$U55,'AEA2012 update'!$A$6:$A$104&amp;'AEA2012 update'!$B$6:$B$104,0),MATCH(W$16,'AEA2012 update'!$S$4:$Z$4,0)))</f>
        <v>13424334.479174994</v>
      </c>
      <c r="X55" s="103">
        <f t="array" ref="X55">IF(X$18,INDEX('AEA2012 update'!$K$6:$R$104,MATCH($T55&amp;$R55,'AEA2012 update'!$A$6:$A$104&amp;'AEA2012 update'!$B$6:$B$104,0),MATCH(X$16,'AEA2012 update'!$S$4:$Z$4,0)),INDEX('AEA2012 update'!$K$6:$R$104,MATCH($T55&amp;$U55,'AEA2012 update'!$A$6:$A$104&amp;'AEA2012 update'!$B$6:$B$104,0),MATCH(X$16,'AEA2012 update'!$S$4:$Z$4,0)))</f>
        <v>11966060.551188784</v>
      </c>
      <c r="Y55" s="103">
        <f t="array" ref="Y55">IF(Y$18,INDEX('AEA2012 update'!$K$6:$R$104,MATCH($T55&amp;$R55,'AEA2012 update'!$A$6:$A$104&amp;'AEA2012 update'!$B$6:$B$104,0),MATCH(Y$16,'AEA2012 update'!$S$4:$Z$4,0)),INDEX('AEA2012 update'!$K$6:$R$104,MATCH($T55&amp;$U55,'AEA2012 update'!$A$6:$A$104&amp;'AEA2012 update'!$B$6:$B$104,0),MATCH(Y$16,'AEA2012 update'!$S$4:$Z$4,0)))</f>
        <v>2042427.1542038247</v>
      </c>
      <c r="Z55" s="103">
        <f t="array" ref="Z55">IF(Z$18,INDEX('AEA2012 update'!$K$6:$R$104,MATCH($T55&amp;$R55,'AEA2012 update'!$A$6:$A$104&amp;'AEA2012 update'!$B$6:$B$104,0),MATCH(Z$16,'AEA2012 update'!$S$4:$Z$4,0)),INDEX('AEA2012 update'!$K$6:$R$104,MATCH($T55&amp;$U55,'AEA2012 update'!$A$6:$A$104&amp;'AEA2012 update'!$B$6:$B$104,0),MATCH(Z$16,'AEA2012 update'!$S$4:$Z$4,0)))</f>
        <v>2066063.1670444368</v>
      </c>
      <c r="AA55" s="103">
        <f t="array" ref="AA55">IF(AA$18,INDEX('AEA2012 update'!$K$6:$R$104,MATCH($T55&amp;$R55,'AEA2012 update'!$A$6:$A$104&amp;'AEA2012 update'!$B$6:$B$104,0),MATCH(AA$16,'AEA2012 update'!$S$4:$Z$4,0)),INDEX('AEA2012 update'!$K$6:$R$104,MATCH($T55&amp;$U55,'AEA2012 update'!$A$6:$A$104&amp;'AEA2012 update'!$B$6:$B$104,0),MATCH(AA$16,'AEA2012 update'!$S$4:$Z$4,0)))</f>
        <v>2089699.1798850487</v>
      </c>
      <c r="AB55" s="103">
        <f t="array" ref="AB55">IF(AB$18,INDEX('AEA2012 update'!$K$6:$R$104,MATCH($T55&amp;$R55,'AEA2012 update'!$A$6:$A$104&amp;'AEA2012 update'!$B$6:$B$104,0),MATCH(AB$16,'AEA2012 update'!$S$4:$Z$4,0)),INDEX('AEA2012 update'!$K$6:$R$104,MATCH($T55&amp;$U55,'AEA2012 update'!$A$6:$A$104&amp;'AEA2012 update'!$B$6:$B$104,0),MATCH(AB$16,'AEA2012 update'!$S$4:$Z$4,0)))</f>
        <v>2143663.9081112505</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6227670.4767503561</v>
      </c>
      <c r="W56" s="103">
        <f t="array" ref="W56">IF(W$18,INDEX('AEA2012 update'!$K$6:$R$104,MATCH($T56&amp;$R56,'AEA2012 update'!$A$6:$A$104&amp;'AEA2012 update'!$B$6:$B$104,0),MATCH(W$16,'AEA2012 update'!$S$4:$Z$4,0)),INDEX('AEA2012 update'!$K$6:$R$104,MATCH($T56&amp;$U56,'AEA2012 update'!$A$6:$A$104&amp;'AEA2012 update'!$B$6:$B$104,0),MATCH(W$16,'AEA2012 update'!$S$4:$Z$4,0)))</f>
        <v>6414314.6708026314</v>
      </c>
      <c r="X56" s="103">
        <f t="array" ref="X56">IF(X$18,INDEX('AEA2012 update'!$K$6:$R$104,MATCH($T56&amp;$R56,'AEA2012 update'!$A$6:$A$104&amp;'AEA2012 update'!$B$6:$B$104,0),MATCH(X$16,'AEA2012 update'!$S$4:$Z$4,0)),INDEX('AEA2012 update'!$K$6:$R$104,MATCH($T56&amp;$U56,'AEA2012 update'!$A$6:$A$104&amp;'AEA2012 update'!$B$6:$B$104,0),MATCH(X$16,'AEA2012 update'!$S$4:$Z$4,0)))</f>
        <v>6481712.5239528194</v>
      </c>
      <c r="Y56" s="103">
        <f t="array" ref="Y56">IF(Y$18,INDEX('AEA2012 update'!$K$6:$R$104,MATCH($T56&amp;$R56,'AEA2012 update'!$A$6:$A$104&amp;'AEA2012 update'!$B$6:$B$104,0),MATCH(Y$16,'AEA2012 update'!$S$4:$Z$4,0)),INDEX('AEA2012 update'!$K$6:$R$104,MATCH($T56&amp;$U56,'AEA2012 update'!$A$6:$A$104&amp;'AEA2012 update'!$B$6:$B$104,0),MATCH(Y$16,'AEA2012 update'!$S$4:$Z$4,0)))</f>
        <v>2042427.1542038247</v>
      </c>
      <c r="Z56" s="103">
        <f t="array" ref="Z56">IF(Z$18,INDEX('AEA2012 update'!$K$6:$R$104,MATCH($T56&amp;$R56,'AEA2012 update'!$A$6:$A$104&amp;'AEA2012 update'!$B$6:$B$104,0),MATCH(Z$16,'AEA2012 update'!$S$4:$Z$4,0)),INDEX('AEA2012 update'!$K$6:$R$104,MATCH($T56&amp;$U56,'AEA2012 update'!$A$6:$A$104&amp;'AEA2012 update'!$B$6:$B$104,0),MATCH(Z$16,'AEA2012 update'!$S$4:$Z$4,0)))</f>
        <v>2066063.1670444368</v>
      </c>
      <c r="AA56" s="103">
        <f t="array" ref="AA56">IF(AA$18,INDEX('AEA2012 update'!$K$6:$R$104,MATCH($T56&amp;$R56,'AEA2012 update'!$A$6:$A$104&amp;'AEA2012 update'!$B$6:$B$104,0),MATCH(AA$16,'AEA2012 update'!$S$4:$Z$4,0)),INDEX('AEA2012 update'!$K$6:$R$104,MATCH($T56&amp;$U56,'AEA2012 update'!$A$6:$A$104&amp;'AEA2012 update'!$B$6:$B$104,0),MATCH(AA$16,'AEA2012 update'!$S$4:$Z$4,0)))</f>
        <v>2089699.1798850487</v>
      </c>
      <c r="AB56" s="103">
        <f t="array" ref="AB56">IF(AB$18,INDEX('AEA2012 update'!$K$6:$R$104,MATCH($T56&amp;$R56,'AEA2012 update'!$A$6:$A$104&amp;'AEA2012 update'!$B$6:$B$104,0),MATCH(AB$16,'AEA2012 update'!$S$4:$Z$4,0)),INDEX('AEA2012 update'!$K$6:$R$104,MATCH($T56&amp;$U56,'AEA2012 update'!$A$6:$A$104&amp;'AEA2012 update'!$B$6:$B$104,0),MATCH(AB$16,'AEA2012 update'!$S$4:$Z$4,0)))</f>
        <v>2143663.9081112505</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1821049.8719484597</v>
      </c>
      <c r="W58" s="103">
        <f t="array" ref="W58">IF(W$18,INDEX('AEA2012 update'!$K$6:$R$104,MATCH($T58&amp;$R58,'AEA2012 update'!$A$6:$A$104&amp;'AEA2012 update'!$B$6:$B$104,0),MATCH(W$16,'AEA2012 update'!$S$4:$Z$4,0)),INDEX('AEA2012 update'!$K$6:$R$104,MATCH($T58&amp;$U58,'AEA2012 update'!$A$6:$A$104&amp;'AEA2012 update'!$B$6:$B$104,0),MATCH(W$16,'AEA2012 update'!$S$4:$Z$4,0)))</f>
        <v>1968902.3902789995</v>
      </c>
      <c r="X58" s="103">
        <f t="array" ref="X58">IF(X$18,INDEX('AEA2012 update'!$K$6:$R$104,MATCH($T58&amp;$R58,'AEA2012 update'!$A$6:$A$104&amp;'AEA2012 update'!$B$6:$B$104,0),MATCH(X$16,'AEA2012 update'!$S$4:$Z$4,0)),INDEX('AEA2012 update'!$K$6:$R$104,MATCH($T58&amp;$U58,'AEA2012 update'!$A$6:$A$104&amp;'AEA2012 update'!$B$6:$B$104,0),MATCH(X$16,'AEA2012 update'!$S$4:$Z$4,0)))</f>
        <v>2005664.7722414122</v>
      </c>
      <c r="Y58" s="103">
        <f t="array" ref="Y58">IF(Y$18,INDEX('AEA2012 update'!$K$6:$R$104,MATCH($T58&amp;$R58,'AEA2012 update'!$A$6:$A$104&amp;'AEA2012 update'!$B$6:$B$104,0),MATCH(Y$16,'AEA2012 update'!$S$4:$Z$4,0)),INDEX('AEA2012 update'!$K$6:$R$104,MATCH($T58&amp;$U58,'AEA2012 update'!$A$6:$A$104&amp;'AEA2012 update'!$B$6:$B$104,0),MATCH(Y$16,'AEA2012 update'!$S$4:$Z$4,0)))</f>
        <v>2042427.1542038247</v>
      </c>
      <c r="Z58" s="103">
        <f t="array" ref="Z58">IF(Z$18,INDEX('AEA2012 update'!$K$6:$R$104,MATCH($T58&amp;$R58,'AEA2012 update'!$A$6:$A$104&amp;'AEA2012 update'!$B$6:$B$104,0),MATCH(Z$16,'AEA2012 update'!$S$4:$Z$4,0)),INDEX('AEA2012 update'!$K$6:$R$104,MATCH($T58&amp;$U58,'AEA2012 update'!$A$6:$A$104&amp;'AEA2012 update'!$B$6:$B$104,0),MATCH(Z$16,'AEA2012 update'!$S$4:$Z$4,0)))</f>
        <v>2066063.1670444368</v>
      </c>
      <c r="AA58" s="103">
        <f t="array" ref="AA58">IF(AA$18,INDEX('AEA2012 update'!$K$6:$R$104,MATCH($T58&amp;$R58,'AEA2012 update'!$A$6:$A$104&amp;'AEA2012 update'!$B$6:$B$104,0),MATCH(AA$16,'AEA2012 update'!$S$4:$Z$4,0)),INDEX('AEA2012 update'!$K$6:$R$104,MATCH($T58&amp;$U58,'AEA2012 update'!$A$6:$A$104&amp;'AEA2012 update'!$B$6:$B$104,0),MATCH(AA$16,'AEA2012 update'!$S$4:$Z$4,0)))</f>
        <v>2089699.1798850487</v>
      </c>
      <c r="AB58" s="103">
        <f t="array" ref="AB58">IF(AB$18,INDEX('AEA2012 update'!$K$6:$R$104,MATCH($T58&amp;$R58,'AEA2012 update'!$A$6:$A$104&amp;'AEA2012 update'!$B$6:$B$104,0),MATCH(AB$16,'AEA2012 update'!$S$4:$Z$4,0)),INDEX('AEA2012 update'!$K$6:$R$104,MATCH($T58&amp;$U58,'AEA2012 update'!$A$6:$A$104&amp;'AEA2012 update'!$B$6:$B$104,0),MATCH(AB$16,'AEA2012 update'!$S$4:$Z$4,0)))</f>
        <v>2143663.9081112505</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1821049.8719484597</v>
      </c>
      <c r="W59" s="103">
        <f t="array" ref="W59">IF(W$18,INDEX('AEA2012 update'!$K$6:$R$104,MATCH($T59&amp;$R59,'AEA2012 update'!$A$6:$A$104&amp;'AEA2012 update'!$B$6:$B$104,0),MATCH(W$16,'AEA2012 update'!$S$4:$Z$4,0)),INDEX('AEA2012 update'!$K$6:$R$104,MATCH($T59&amp;$U59,'AEA2012 update'!$A$6:$A$104&amp;'AEA2012 update'!$B$6:$B$104,0),MATCH(W$16,'AEA2012 update'!$S$4:$Z$4,0)))</f>
        <v>1968902.3902789995</v>
      </c>
      <c r="X59" s="103">
        <f t="array" ref="X59">IF(X$18,INDEX('AEA2012 update'!$K$6:$R$104,MATCH($T59&amp;$R59,'AEA2012 update'!$A$6:$A$104&amp;'AEA2012 update'!$B$6:$B$104,0),MATCH(X$16,'AEA2012 update'!$S$4:$Z$4,0)),INDEX('AEA2012 update'!$K$6:$R$104,MATCH($T59&amp;$U59,'AEA2012 update'!$A$6:$A$104&amp;'AEA2012 update'!$B$6:$B$104,0),MATCH(X$16,'AEA2012 update'!$S$4:$Z$4,0)))</f>
        <v>2005664.7722414122</v>
      </c>
      <c r="Y59" s="103">
        <f t="array" ref="Y59">IF(Y$18,INDEX('AEA2012 update'!$K$6:$R$104,MATCH($T59&amp;$R59,'AEA2012 update'!$A$6:$A$104&amp;'AEA2012 update'!$B$6:$B$104,0),MATCH(Y$16,'AEA2012 update'!$S$4:$Z$4,0)),INDEX('AEA2012 update'!$K$6:$R$104,MATCH($T59&amp;$U59,'AEA2012 update'!$A$6:$A$104&amp;'AEA2012 update'!$B$6:$B$104,0),MATCH(Y$16,'AEA2012 update'!$S$4:$Z$4,0)))</f>
        <v>2042427.1542038247</v>
      </c>
      <c r="Z59" s="103">
        <f t="array" ref="Z59">IF(Z$18,INDEX('AEA2012 update'!$K$6:$R$104,MATCH($T59&amp;$R59,'AEA2012 update'!$A$6:$A$104&amp;'AEA2012 update'!$B$6:$B$104,0),MATCH(Z$16,'AEA2012 update'!$S$4:$Z$4,0)),INDEX('AEA2012 update'!$K$6:$R$104,MATCH($T59&amp;$U59,'AEA2012 update'!$A$6:$A$104&amp;'AEA2012 update'!$B$6:$B$104,0),MATCH(Z$16,'AEA2012 update'!$S$4:$Z$4,0)))</f>
        <v>2066063.1670444368</v>
      </c>
      <c r="AA59" s="103">
        <f t="array" ref="AA59">IF(AA$18,INDEX('AEA2012 update'!$K$6:$R$104,MATCH($T59&amp;$R59,'AEA2012 update'!$A$6:$A$104&amp;'AEA2012 update'!$B$6:$B$104,0),MATCH(AA$16,'AEA2012 update'!$S$4:$Z$4,0)),INDEX('AEA2012 update'!$K$6:$R$104,MATCH($T59&amp;$U59,'AEA2012 update'!$A$6:$A$104&amp;'AEA2012 update'!$B$6:$B$104,0),MATCH(AA$16,'AEA2012 update'!$S$4:$Z$4,0)))</f>
        <v>2089699.1798850487</v>
      </c>
      <c r="AB59" s="103">
        <f t="array" ref="AB59">IF(AB$18,INDEX('AEA2012 update'!$K$6:$R$104,MATCH($T59&amp;$R59,'AEA2012 update'!$A$6:$A$104&amp;'AEA2012 update'!$B$6:$B$104,0),MATCH(AB$16,'AEA2012 update'!$S$4:$Z$4,0)),INDEX('AEA2012 update'!$K$6:$R$104,MATCH($T59&amp;$U59,'AEA2012 update'!$A$6:$A$104&amp;'AEA2012 update'!$B$6:$B$104,0),MATCH(AB$16,'AEA2012 update'!$S$4:$Z$4,0)))</f>
        <v>2143663.9081112505</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5868647.8714995831</v>
      </c>
      <c r="W60" s="103">
        <f t="array" ref="W60">IF(W$18,INDEX('AEA2012 update'!$K$6:$R$104,MATCH($T60&amp;$R60,'AEA2012 update'!$A$6:$A$104&amp;'AEA2012 update'!$B$6:$B$104,0),MATCH(W$16,'AEA2012 update'!$S$4:$Z$4,0)),INDEX('AEA2012 update'!$K$6:$R$104,MATCH($T60&amp;$U60,'AEA2012 update'!$A$6:$A$104&amp;'AEA2012 update'!$B$6:$B$104,0),MATCH(W$16,'AEA2012 update'!$S$4:$Z$4,0)))</f>
        <v>4474778.1597249983</v>
      </c>
      <c r="X60" s="103">
        <f t="array" ref="X60">IF(X$18,INDEX('AEA2012 update'!$K$6:$R$104,MATCH($T60&amp;$R60,'AEA2012 update'!$A$6:$A$104&amp;'AEA2012 update'!$B$6:$B$104,0),MATCH(X$16,'AEA2012 update'!$S$4:$Z$4,0)),INDEX('AEA2012 update'!$K$6:$R$104,MATCH($T60&amp;$U60,'AEA2012 update'!$A$6:$A$104&amp;'AEA2012 update'!$B$6:$B$104,0),MATCH(X$16,'AEA2012 update'!$S$4:$Z$4,0)))</f>
        <v>4243440.7208242323</v>
      </c>
      <c r="Y60" s="103">
        <f t="array" ref="Y60">IF(Y$18,INDEX('AEA2012 update'!$K$6:$R$104,MATCH($T60&amp;$R60,'AEA2012 update'!$A$6:$A$104&amp;'AEA2012 update'!$B$6:$B$104,0),MATCH(Y$16,'AEA2012 update'!$S$4:$Z$4,0)),INDEX('AEA2012 update'!$K$6:$R$104,MATCH($T60&amp;$U60,'AEA2012 update'!$A$6:$A$104&amp;'AEA2012 update'!$B$6:$B$104,0),MATCH(Y$16,'AEA2012 update'!$S$4:$Z$4,0)))</f>
        <v>2042427.1542038247</v>
      </c>
      <c r="Z60" s="103">
        <f t="array" ref="Z60">IF(Z$18,INDEX('AEA2012 update'!$K$6:$R$104,MATCH($T60&amp;$R60,'AEA2012 update'!$A$6:$A$104&amp;'AEA2012 update'!$B$6:$B$104,0),MATCH(Z$16,'AEA2012 update'!$S$4:$Z$4,0)),INDEX('AEA2012 update'!$K$6:$R$104,MATCH($T60&amp;$U60,'AEA2012 update'!$A$6:$A$104&amp;'AEA2012 update'!$B$6:$B$104,0),MATCH(Z$16,'AEA2012 update'!$S$4:$Z$4,0)))</f>
        <v>2066063.1670444368</v>
      </c>
      <c r="AA60" s="103">
        <f t="array" ref="AA60">IF(AA$18,INDEX('AEA2012 update'!$K$6:$R$104,MATCH($T60&amp;$R60,'AEA2012 update'!$A$6:$A$104&amp;'AEA2012 update'!$B$6:$B$104,0),MATCH(AA$16,'AEA2012 update'!$S$4:$Z$4,0)),INDEX('AEA2012 update'!$K$6:$R$104,MATCH($T60&amp;$U60,'AEA2012 update'!$A$6:$A$104&amp;'AEA2012 update'!$B$6:$B$104,0),MATCH(AA$16,'AEA2012 update'!$S$4:$Z$4,0)))</f>
        <v>2089699.1798850487</v>
      </c>
      <c r="AB60" s="103">
        <f t="array" ref="AB60">IF(AB$18,INDEX('AEA2012 update'!$K$6:$R$104,MATCH($T60&amp;$R60,'AEA2012 update'!$A$6:$A$104&amp;'AEA2012 update'!$B$6:$B$104,0),MATCH(AB$16,'AEA2012 update'!$S$4:$Z$4,0)),INDEX('AEA2012 update'!$K$6:$R$104,MATCH($T60&amp;$U60,'AEA2012 update'!$A$6:$A$104&amp;'AEA2012 update'!$B$6:$B$104,0),MATCH(AB$16,'AEA2012 update'!$S$4:$Z$4,0)))</f>
        <v>2143663.9081112505</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22908931.453513019</v>
      </c>
      <c r="W61" s="103">
        <f t="array" ref="W61">IF(W$18,INDEX('AEA2012 update'!$K$6:$R$104,MATCH($T61&amp;$R61,'AEA2012 update'!$A$6:$A$104&amp;'AEA2012 update'!$B$6:$B$104,0),MATCH(W$16,'AEA2012 update'!$S$4:$Z$4,0)),INDEX('AEA2012 update'!$K$6:$R$104,MATCH($T61&amp;$U61,'AEA2012 update'!$A$6:$A$104&amp;'AEA2012 update'!$B$6:$B$104,0),MATCH(W$16,'AEA2012 update'!$S$4:$Z$4,0)))</f>
        <v>13424334.479174994</v>
      </c>
      <c r="X61" s="103">
        <f t="array" ref="X61">IF(X$18,INDEX('AEA2012 update'!$K$6:$R$104,MATCH($T61&amp;$R61,'AEA2012 update'!$A$6:$A$104&amp;'AEA2012 update'!$B$6:$B$104,0),MATCH(X$16,'AEA2012 update'!$S$4:$Z$4,0)),INDEX('AEA2012 update'!$K$6:$R$104,MATCH($T61&amp;$U61,'AEA2012 update'!$A$6:$A$104&amp;'AEA2012 update'!$B$6:$B$104,0),MATCH(X$16,'AEA2012 update'!$S$4:$Z$4,0)))</f>
        <v>11966060.551188784</v>
      </c>
      <c r="Y61" s="103">
        <f t="array" ref="Y61">IF(Y$18,INDEX('AEA2012 update'!$K$6:$R$104,MATCH($T61&amp;$R61,'AEA2012 update'!$A$6:$A$104&amp;'AEA2012 update'!$B$6:$B$104,0),MATCH(Y$16,'AEA2012 update'!$S$4:$Z$4,0)),INDEX('AEA2012 update'!$K$6:$R$104,MATCH($T61&amp;$U61,'AEA2012 update'!$A$6:$A$104&amp;'AEA2012 update'!$B$6:$B$104,0),MATCH(Y$16,'AEA2012 update'!$S$4:$Z$4,0)))</f>
        <v>2042427.1542038247</v>
      </c>
      <c r="Z61" s="103">
        <f t="array" ref="Z61">IF(Z$18,INDEX('AEA2012 update'!$K$6:$R$104,MATCH($T61&amp;$R61,'AEA2012 update'!$A$6:$A$104&amp;'AEA2012 update'!$B$6:$B$104,0),MATCH(Z$16,'AEA2012 update'!$S$4:$Z$4,0)),INDEX('AEA2012 update'!$K$6:$R$104,MATCH($T61&amp;$U61,'AEA2012 update'!$A$6:$A$104&amp;'AEA2012 update'!$B$6:$B$104,0),MATCH(Z$16,'AEA2012 update'!$S$4:$Z$4,0)))</f>
        <v>2066063.1670444368</v>
      </c>
      <c r="AA61" s="103">
        <f t="array" ref="AA61">IF(AA$18,INDEX('AEA2012 update'!$K$6:$R$104,MATCH($T61&amp;$R61,'AEA2012 update'!$A$6:$A$104&amp;'AEA2012 update'!$B$6:$B$104,0),MATCH(AA$16,'AEA2012 update'!$S$4:$Z$4,0)),INDEX('AEA2012 update'!$K$6:$R$104,MATCH($T61&amp;$U61,'AEA2012 update'!$A$6:$A$104&amp;'AEA2012 update'!$B$6:$B$104,0),MATCH(AA$16,'AEA2012 update'!$S$4:$Z$4,0)))</f>
        <v>2089699.1798850487</v>
      </c>
      <c r="AB61" s="103">
        <f t="array" ref="AB61">IF(AB$18,INDEX('AEA2012 update'!$K$6:$R$104,MATCH($T61&amp;$R61,'AEA2012 update'!$A$6:$A$104&amp;'AEA2012 update'!$B$6:$B$104,0),MATCH(AB$16,'AEA2012 update'!$S$4:$Z$4,0)),INDEX('AEA2012 update'!$K$6:$R$104,MATCH($T61&amp;$U61,'AEA2012 update'!$A$6:$A$104&amp;'AEA2012 update'!$B$6:$B$104,0),MATCH(AB$16,'AEA2012 update'!$S$4:$Z$4,0)))</f>
        <v>2143663.9081112505</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6227670.4767503561</v>
      </c>
      <c r="W62" s="103">
        <f t="array" ref="W62">IF(W$18,INDEX('AEA2012 update'!$K$6:$R$104,MATCH($T62&amp;$R62,'AEA2012 update'!$A$6:$A$104&amp;'AEA2012 update'!$B$6:$B$104,0),MATCH(W$16,'AEA2012 update'!$S$4:$Z$4,0)),INDEX('AEA2012 update'!$K$6:$R$104,MATCH($T62&amp;$U62,'AEA2012 update'!$A$6:$A$104&amp;'AEA2012 update'!$B$6:$B$104,0),MATCH(W$16,'AEA2012 update'!$S$4:$Z$4,0)))</f>
        <v>6414314.6708026314</v>
      </c>
      <c r="X62" s="103">
        <f t="array" ref="X62">IF(X$18,INDEX('AEA2012 update'!$K$6:$R$104,MATCH($T62&amp;$R62,'AEA2012 update'!$A$6:$A$104&amp;'AEA2012 update'!$B$6:$B$104,0),MATCH(X$16,'AEA2012 update'!$S$4:$Z$4,0)),INDEX('AEA2012 update'!$K$6:$R$104,MATCH($T62&amp;$U62,'AEA2012 update'!$A$6:$A$104&amp;'AEA2012 update'!$B$6:$B$104,0),MATCH(X$16,'AEA2012 update'!$S$4:$Z$4,0)))</f>
        <v>6481712.5239528194</v>
      </c>
      <c r="Y62" s="103">
        <f t="array" ref="Y62">IF(Y$18,INDEX('AEA2012 update'!$K$6:$R$104,MATCH($T62&amp;$R62,'AEA2012 update'!$A$6:$A$104&amp;'AEA2012 update'!$B$6:$B$104,0),MATCH(Y$16,'AEA2012 update'!$S$4:$Z$4,0)),INDEX('AEA2012 update'!$K$6:$R$104,MATCH($T62&amp;$U62,'AEA2012 update'!$A$6:$A$104&amp;'AEA2012 update'!$B$6:$B$104,0),MATCH(Y$16,'AEA2012 update'!$S$4:$Z$4,0)))</f>
        <v>2042427.1542038247</v>
      </c>
      <c r="Z62" s="103">
        <f t="array" ref="Z62">IF(Z$18,INDEX('AEA2012 update'!$K$6:$R$104,MATCH($T62&amp;$R62,'AEA2012 update'!$A$6:$A$104&amp;'AEA2012 update'!$B$6:$B$104,0),MATCH(Z$16,'AEA2012 update'!$S$4:$Z$4,0)),INDEX('AEA2012 update'!$K$6:$R$104,MATCH($T62&amp;$U62,'AEA2012 update'!$A$6:$A$104&amp;'AEA2012 update'!$B$6:$B$104,0),MATCH(Z$16,'AEA2012 update'!$S$4:$Z$4,0)))</f>
        <v>2066063.1670444368</v>
      </c>
      <c r="AA62" s="103">
        <f t="array" ref="AA62">IF(AA$18,INDEX('AEA2012 update'!$K$6:$R$104,MATCH($T62&amp;$R62,'AEA2012 update'!$A$6:$A$104&amp;'AEA2012 update'!$B$6:$B$104,0),MATCH(AA$16,'AEA2012 update'!$S$4:$Z$4,0)),INDEX('AEA2012 update'!$K$6:$R$104,MATCH($T62&amp;$U62,'AEA2012 update'!$A$6:$A$104&amp;'AEA2012 update'!$B$6:$B$104,0),MATCH(AA$16,'AEA2012 update'!$S$4:$Z$4,0)))</f>
        <v>2089699.1798850487</v>
      </c>
      <c r="AB62" s="103">
        <f t="array" ref="AB62">IF(AB$18,INDEX('AEA2012 update'!$K$6:$R$104,MATCH($T62&amp;$R62,'AEA2012 update'!$A$6:$A$104&amp;'AEA2012 update'!$B$6:$B$104,0),MATCH(AB$16,'AEA2012 update'!$S$4:$Z$4,0)),INDEX('AEA2012 update'!$K$6:$R$104,MATCH($T62&amp;$U62,'AEA2012 update'!$A$6:$A$104&amp;'AEA2012 update'!$B$6:$B$104,0),MATCH(AB$16,'AEA2012 update'!$S$4:$Z$4,0)))</f>
        <v>2143663.9081112505</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349892.60386662662</v>
      </c>
      <c r="W64" s="103">
        <f t="array" ref="W64">IF(W$18,INDEX('AEA2012 update'!$K$6:$R$104,MATCH($T64&amp;$R64,'AEA2012 update'!$A$6:$A$104&amp;'AEA2012 update'!$B$6:$B$104,0),MATCH(W$16,'AEA2012 update'!$S$4:$Z$4,0)),INDEX('AEA2012 update'!$K$6:$R$104,MATCH($T64&amp;$U64,'AEA2012 update'!$A$6:$A$104&amp;'AEA2012 update'!$B$6:$B$104,0),MATCH(W$16,'AEA2012 update'!$S$4:$Z$4,0)))</f>
        <v>380356.14357662486</v>
      </c>
      <c r="X64" s="103">
        <f t="array" ref="X64">IF(X$18,INDEX('AEA2012 update'!$K$6:$R$104,MATCH($T64&amp;$R64,'AEA2012 update'!$A$6:$A$104&amp;'AEA2012 update'!$B$6:$B$104,0),MATCH(X$16,'AEA2012 update'!$S$4:$Z$4,0)),INDEX('AEA2012 update'!$K$6:$R$104,MATCH($T64&amp;$U64,'AEA2012 update'!$A$6:$A$104&amp;'AEA2012 update'!$B$6:$B$104,0),MATCH(X$16,'AEA2012 update'!$S$4:$Z$4,0)))</f>
        <v>387365.55267083854</v>
      </c>
      <c r="Y64" s="103">
        <f t="array" ref="Y64">IF(Y$18,INDEX('AEA2012 update'!$K$6:$R$104,MATCH($T64&amp;$R64,'AEA2012 update'!$A$6:$A$104&amp;'AEA2012 update'!$B$6:$B$104,0),MATCH(Y$16,'AEA2012 update'!$S$4:$Z$4,0)),INDEX('AEA2012 update'!$K$6:$R$104,MATCH($T64&amp;$U64,'AEA2012 update'!$A$6:$A$104&amp;'AEA2012 update'!$B$6:$B$104,0),MATCH(Y$16,'AEA2012 update'!$S$4:$Z$4,0)))</f>
        <v>394374.96176505223</v>
      </c>
      <c r="Z64" s="103">
        <f t="array" ref="Z64">IF(Z$18,INDEX('AEA2012 update'!$K$6:$R$104,MATCH($T64&amp;$R64,'AEA2012 update'!$A$6:$A$104&amp;'AEA2012 update'!$B$6:$B$104,0),MATCH(Z$16,'AEA2012 update'!$S$4:$Z$4,0)),INDEX('AEA2012 update'!$K$6:$R$104,MATCH($T64&amp;$U64,'AEA2012 update'!$A$6:$A$104&amp;'AEA2012 update'!$B$6:$B$104,0),MATCH(Z$16,'AEA2012 update'!$S$4:$Z$4,0)))</f>
        <v>402987.36331977899</v>
      </c>
      <c r="AA64" s="103">
        <f t="array" ref="AA64">IF(AA$18,INDEX('AEA2012 update'!$K$6:$R$104,MATCH($T64&amp;$R64,'AEA2012 update'!$A$6:$A$104&amp;'AEA2012 update'!$B$6:$B$104,0),MATCH(AA$16,'AEA2012 update'!$S$4:$Z$4,0)),INDEX('AEA2012 update'!$K$6:$R$104,MATCH($T64&amp;$U64,'AEA2012 update'!$A$6:$A$104&amp;'AEA2012 update'!$B$6:$B$104,0),MATCH(AA$16,'AEA2012 update'!$S$4:$Z$4,0)))</f>
        <v>411599.76487450581</v>
      </c>
      <c r="AB64" s="103">
        <f t="array" ref="AB64">IF(AB$18,INDEX('AEA2012 update'!$K$6:$R$104,MATCH($T64&amp;$R64,'AEA2012 update'!$A$6:$A$104&amp;'AEA2012 update'!$B$6:$B$104,0),MATCH(AB$16,'AEA2012 update'!$S$4:$Z$4,0)),INDEX('AEA2012 update'!$K$6:$R$104,MATCH($T64&amp;$U64,'AEA2012 update'!$A$6:$A$104&amp;'AEA2012 update'!$B$6:$B$104,0),MATCH(AB$16,'AEA2012 update'!$S$4:$Z$4,0)))</f>
        <v>420229.93891377357</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505236.35935464466</v>
      </c>
      <c r="W65" s="103">
        <f t="array" ref="W65">IF(W$18,INDEX('AEA2012 update'!$K$6:$R$104,MATCH($T65&amp;$R65,'AEA2012 update'!$A$6:$A$104&amp;'AEA2012 update'!$B$6:$B$104,0),MATCH(W$16,'AEA2012 update'!$S$4:$Z$4,0)),INDEX('AEA2012 update'!$K$6:$R$104,MATCH($T65&amp;$U65,'AEA2012 update'!$A$6:$A$104&amp;'AEA2012 update'!$B$6:$B$104,0),MATCH(W$16,'AEA2012 update'!$S$4:$Z$4,0)))</f>
        <v>492225.59756974981</v>
      </c>
      <c r="X65" s="103">
        <f t="array" ref="X65">IF(X$18,INDEX('AEA2012 update'!$K$6:$R$104,MATCH($T65&amp;$R65,'AEA2012 update'!$A$6:$A$104&amp;'AEA2012 update'!$B$6:$B$104,0),MATCH(X$16,'AEA2012 update'!$S$4:$Z$4,0)),INDEX('AEA2012 update'!$K$6:$R$104,MATCH($T65&amp;$U65,'AEA2012 update'!$A$6:$A$104&amp;'AEA2012 update'!$B$6:$B$104,0),MATCH(X$16,'AEA2012 update'!$S$4:$Z$4,0)))</f>
        <v>489098.7445710809</v>
      </c>
      <c r="Y65" s="103">
        <f t="array" ref="Y65">IF(Y$18,INDEX('AEA2012 update'!$K$6:$R$104,MATCH($T65&amp;$R65,'AEA2012 update'!$A$6:$A$104&amp;'AEA2012 update'!$B$6:$B$104,0),MATCH(Y$16,'AEA2012 update'!$S$4:$Z$4,0)),INDEX('AEA2012 update'!$K$6:$R$104,MATCH($T65&amp;$U65,'AEA2012 update'!$A$6:$A$104&amp;'AEA2012 update'!$B$6:$B$104,0),MATCH(Y$16,'AEA2012 update'!$S$4:$Z$4,0)))</f>
        <v>394374.96176505223</v>
      </c>
      <c r="Z65" s="103">
        <f t="array" ref="Z65">IF(Z$18,INDEX('AEA2012 update'!$K$6:$R$104,MATCH($T65&amp;$R65,'AEA2012 update'!$A$6:$A$104&amp;'AEA2012 update'!$B$6:$B$104,0),MATCH(Z$16,'AEA2012 update'!$S$4:$Z$4,0)),INDEX('AEA2012 update'!$K$6:$R$104,MATCH($T65&amp;$U65,'AEA2012 update'!$A$6:$A$104&amp;'AEA2012 update'!$B$6:$B$104,0),MATCH(Z$16,'AEA2012 update'!$S$4:$Z$4,0)))</f>
        <v>402987.36331977899</v>
      </c>
      <c r="AA65" s="103">
        <f t="array" ref="AA65">IF(AA$18,INDEX('AEA2012 update'!$K$6:$R$104,MATCH($T65&amp;$R65,'AEA2012 update'!$A$6:$A$104&amp;'AEA2012 update'!$B$6:$B$104,0),MATCH(AA$16,'AEA2012 update'!$S$4:$Z$4,0)),INDEX('AEA2012 update'!$K$6:$R$104,MATCH($T65&amp;$U65,'AEA2012 update'!$A$6:$A$104&amp;'AEA2012 update'!$B$6:$B$104,0),MATCH(AA$16,'AEA2012 update'!$S$4:$Z$4,0)))</f>
        <v>411599.76487450581</v>
      </c>
      <c r="AB65" s="103">
        <f t="array" ref="AB65">IF(AB$18,INDEX('AEA2012 update'!$K$6:$R$104,MATCH($T65&amp;$R65,'AEA2012 update'!$A$6:$A$104&amp;'AEA2012 update'!$B$6:$B$104,0),MATCH(AB$16,'AEA2012 update'!$S$4:$Z$4,0)),INDEX('AEA2012 update'!$K$6:$R$104,MATCH($T65&amp;$U65,'AEA2012 update'!$A$6:$A$104&amp;'AEA2012 update'!$B$6:$B$104,0),MATCH(AB$16,'AEA2012 update'!$S$4:$Z$4,0)))</f>
        <v>420229.93891377357</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445859.02702767157</v>
      </c>
      <c r="W66" s="103">
        <f t="array" ref="W66">IF(W$18,INDEX('AEA2012 update'!$K$6:$R$104,MATCH($T66&amp;$R66,'AEA2012 update'!$A$6:$A$104&amp;'AEA2012 update'!$B$6:$B$104,0),MATCH(W$16,'AEA2012 update'!$S$4:$Z$4,0)),INDEX('AEA2012 update'!$K$6:$R$104,MATCH($T66&amp;$U66,'AEA2012 update'!$A$6:$A$104&amp;'AEA2012 update'!$B$6:$B$104,0),MATCH(W$16,'AEA2012 update'!$S$4:$Z$4,0)))</f>
        <v>492225.59756974981</v>
      </c>
      <c r="X66" s="103">
        <f t="array" ref="X66">IF(X$18,INDEX('AEA2012 update'!$K$6:$R$104,MATCH($T66&amp;$R66,'AEA2012 update'!$A$6:$A$104&amp;'AEA2012 update'!$B$6:$B$104,0),MATCH(X$16,'AEA2012 update'!$S$4:$Z$4,0)),INDEX('AEA2012 update'!$K$6:$R$104,MATCH($T66&amp;$U66,'AEA2012 update'!$A$6:$A$104&amp;'AEA2012 update'!$B$6:$B$104,0),MATCH(X$16,'AEA2012 update'!$S$4:$Z$4,0)))</f>
        <v>500996.23509949562</v>
      </c>
      <c r="Y66" s="103">
        <f t="array" ref="Y66">IF(Y$18,INDEX('AEA2012 update'!$K$6:$R$104,MATCH($T66&amp;$R66,'AEA2012 update'!$A$6:$A$104&amp;'AEA2012 update'!$B$6:$B$104,0),MATCH(Y$16,'AEA2012 update'!$S$4:$Z$4,0)),INDEX('AEA2012 update'!$K$6:$R$104,MATCH($T66&amp;$U66,'AEA2012 update'!$A$6:$A$104&amp;'AEA2012 update'!$B$6:$B$104,0),MATCH(Y$16,'AEA2012 update'!$S$4:$Z$4,0)))</f>
        <v>394374.96176505223</v>
      </c>
      <c r="Z66" s="103">
        <f t="array" ref="Z66">IF(Z$18,INDEX('AEA2012 update'!$K$6:$R$104,MATCH($T66&amp;$R66,'AEA2012 update'!$A$6:$A$104&amp;'AEA2012 update'!$B$6:$B$104,0),MATCH(Z$16,'AEA2012 update'!$S$4:$Z$4,0)),INDEX('AEA2012 update'!$K$6:$R$104,MATCH($T66&amp;$U66,'AEA2012 update'!$A$6:$A$104&amp;'AEA2012 update'!$B$6:$B$104,0),MATCH(Z$16,'AEA2012 update'!$S$4:$Z$4,0)))</f>
        <v>402987.36331977899</v>
      </c>
      <c r="AA66" s="103">
        <f t="array" ref="AA66">IF(AA$18,INDEX('AEA2012 update'!$K$6:$R$104,MATCH($T66&amp;$R66,'AEA2012 update'!$A$6:$A$104&amp;'AEA2012 update'!$B$6:$B$104,0),MATCH(AA$16,'AEA2012 update'!$S$4:$Z$4,0)),INDEX('AEA2012 update'!$K$6:$R$104,MATCH($T66&amp;$U66,'AEA2012 update'!$A$6:$A$104&amp;'AEA2012 update'!$B$6:$B$104,0),MATCH(AA$16,'AEA2012 update'!$S$4:$Z$4,0)))</f>
        <v>411599.76487450581</v>
      </c>
      <c r="AB66" s="103">
        <f t="array" ref="AB66">IF(AB$18,INDEX('AEA2012 update'!$K$6:$R$104,MATCH($T66&amp;$R66,'AEA2012 update'!$A$6:$A$104&amp;'AEA2012 update'!$B$6:$B$104,0),MATCH(AB$16,'AEA2012 update'!$S$4:$Z$4,0)),INDEX('AEA2012 update'!$K$6:$R$104,MATCH($T66&amp;$U66,'AEA2012 update'!$A$6:$A$104&amp;'AEA2012 update'!$B$6:$B$104,0),MATCH(AB$16,'AEA2012 update'!$S$4:$Z$4,0)))</f>
        <v>420229.93891377357</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748081.44432304555</v>
      </c>
      <c r="W67" s="103">
        <f t="array" ref="W67">IF(W$18,INDEX('AEA2012 update'!$K$6:$R$104,MATCH($T67&amp;$R67,'AEA2012 update'!$A$6:$A$104&amp;'AEA2012 update'!$B$6:$B$104,0),MATCH(W$16,'AEA2012 update'!$S$4:$Z$4,0)),INDEX('AEA2012 update'!$K$6:$R$104,MATCH($T67&amp;$U67,'AEA2012 update'!$A$6:$A$104&amp;'AEA2012 update'!$B$6:$B$104,0),MATCH(W$16,'AEA2012 update'!$S$4:$Z$4,0)))</f>
        <v>738338.39635462465</v>
      </c>
      <c r="X67" s="103">
        <f t="array" ref="X67">IF(X$18,INDEX('AEA2012 update'!$K$6:$R$104,MATCH($T67&amp;$R67,'AEA2012 update'!$A$6:$A$104&amp;'AEA2012 update'!$B$6:$B$104,0),MATCH(X$16,'AEA2012 update'!$S$4:$Z$4,0)),INDEX('AEA2012 update'!$K$6:$R$104,MATCH($T67&amp;$U67,'AEA2012 update'!$A$6:$A$104&amp;'AEA2012 update'!$B$6:$B$104,0),MATCH(X$16,'AEA2012 update'!$S$4:$Z$4,0)))</f>
        <v>733376.89505628892</v>
      </c>
      <c r="Y67" s="103">
        <f t="array" ref="Y67">IF(Y$18,INDEX('AEA2012 update'!$K$6:$R$104,MATCH($T67&amp;$R67,'AEA2012 update'!$A$6:$A$104&amp;'AEA2012 update'!$B$6:$B$104,0),MATCH(Y$16,'AEA2012 update'!$S$4:$Z$4,0)),INDEX('AEA2012 update'!$K$6:$R$104,MATCH($T67&amp;$U67,'AEA2012 update'!$A$6:$A$104&amp;'AEA2012 update'!$B$6:$B$104,0),MATCH(Y$16,'AEA2012 update'!$S$4:$Z$4,0)))</f>
        <v>394374.96176505223</v>
      </c>
      <c r="Z67" s="103">
        <f t="array" ref="Z67">IF(Z$18,INDEX('AEA2012 update'!$K$6:$R$104,MATCH($T67&amp;$R67,'AEA2012 update'!$A$6:$A$104&amp;'AEA2012 update'!$B$6:$B$104,0),MATCH(Z$16,'AEA2012 update'!$S$4:$Z$4,0)),INDEX('AEA2012 update'!$K$6:$R$104,MATCH($T67&amp;$U67,'AEA2012 update'!$A$6:$A$104&amp;'AEA2012 update'!$B$6:$B$104,0),MATCH(Z$16,'AEA2012 update'!$S$4:$Z$4,0)))</f>
        <v>402987.36331977899</v>
      </c>
      <c r="AA67" s="103">
        <f t="array" ref="AA67">IF(AA$18,INDEX('AEA2012 update'!$K$6:$R$104,MATCH($T67&amp;$R67,'AEA2012 update'!$A$6:$A$104&amp;'AEA2012 update'!$B$6:$B$104,0),MATCH(AA$16,'AEA2012 update'!$S$4:$Z$4,0)),INDEX('AEA2012 update'!$K$6:$R$104,MATCH($T67&amp;$U67,'AEA2012 update'!$A$6:$A$104&amp;'AEA2012 update'!$B$6:$B$104,0),MATCH(AA$16,'AEA2012 update'!$S$4:$Z$4,0)))</f>
        <v>411599.76487450581</v>
      </c>
      <c r="AB67" s="103">
        <f t="array" ref="AB67">IF(AB$18,INDEX('AEA2012 update'!$K$6:$R$104,MATCH($T67&amp;$R67,'AEA2012 update'!$A$6:$A$104&amp;'AEA2012 update'!$B$6:$B$104,0),MATCH(AB$16,'AEA2012 update'!$S$4:$Z$4,0)),INDEX('AEA2012 update'!$K$6:$R$104,MATCH($T67&amp;$U67,'AEA2012 update'!$A$6:$A$104&amp;'AEA2012 update'!$B$6:$B$104,0),MATCH(AB$16,'AEA2012 update'!$S$4:$Z$4,0)))</f>
        <v>420229.93891377357</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1243115.7793198535</v>
      </c>
      <c r="W68" s="103">
        <f t="array" ref="W68">IF(W$18,INDEX('AEA2012 update'!$K$6:$R$104,MATCH($T68&amp;$R68,'AEA2012 update'!$A$6:$A$104&amp;'AEA2012 update'!$B$6:$B$104,0),MATCH(W$16,'AEA2012 update'!$S$4:$Z$4,0)),INDEX('AEA2012 update'!$K$6:$R$104,MATCH($T68&amp;$U68,'AEA2012 update'!$A$6:$A$104&amp;'AEA2012 update'!$B$6:$B$104,0),MATCH(W$16,'AEA2012 update'!$S$4:$Z$4,0)))</f>
        <v>850207.85034774966</v>
      </c>
      <c r="X68" s="103">
        <f t="array" ref="X68">IF(X$18,INDEX('AEA2012 update'!$K$6:$R$104,MATCH($T68&amp;$R68,'AEA2012 update'!$A$6:$A$104&amp;'AEA2012 update'!$B$6:$B$104,0),MATCH(X$16,'AEA2012 update'!$S$4:$Z$4,0)),INDEX('AEA2012 update'!$K$6:$R$104,MATCH($T68&amp;$U68,'AEA2012 update'!$A$6:$A$104&amp;'AEA2012 update'!$B$6:$B$104,0),MATCH(X$16,'AEA2012 update'!$S$4:$Z$4,0)))</f>
        <v>782240.65617094061</v>
      </c>
      <c r="Y68" s="103">
        <f t="array" ref="Y68">IF(Y$18,INDEX('AEA2012 update'!$K$6:$R$104,MATCH($T68&amp;$R68,'AEA2012 update'!$A$6:$A$104&amp;'AEA2012 update'!$B$6:$B$104,0),MATCH(Y$16,'AEA2012 update'!$S$4:$Z$4,0)),INDEX('AEA2012 update'!$K$6:$R$104,MATCH($T68&amp;$U68,'AEA2012 update'!$A$6:$A$104&amp;'AEA2012 update'!$B$6:$B$104,0),MATCH(Y$16,'AEA2012 update'!$S$4:$Z$4,0)))</f>
        <v>394374.96176505223</v>
      </c>
      <c r="Z68" s="103">
        <f t="array" ref="Z68">IF(Z$18,INDEX('AEA2012 update'!$K$6:$R$104,MATCH($T68&amp;$R68,'AEA2012 update'!$A$6:$A$104&amp;'AEA2012 update'!$B$6:$B$104,0),MATCH(Z$16,'AEA2012 update'!$S$4:$Z$4,0)),INDEX('AEA2012 update'!$K$6:$R$104,MATCH($T68&amp;$U68,'AEA2012 update'!$A$6:$A$104&amp;'AEA2012 update'!$B$6:$B$104,0),MATCH(Z$16,'AEA2012 update'!$S$4:$Z$4,0)))</f>
        <v>402987.36331977899</v>
      </c>
      <c r="AA68" s="103">
        <f t="array" ref="AA68">IF(AA$18,INDEX('AEA2012 update'!$K$6:$R$104,MATCH($T68&amp;$R68,'AEA2012 update'!$A$6:$A$104&amp;'AEA2012 update'!$B$6:$B$104,0),MATCH(AA$16,'AEA2012 update'!$S$4:$Z$4,0)),INDEX('AEA2012 update'!$K$6:$R$104,MATCH($T68&amp;$U68,'AEA2012 update'!$A$6:$A$104&amp;'AEA2012 update'!$B$6:$B$104,0),MATCH(AA$16,'AEA2012 update'!$S$4:$Z$4,0)))</f>
        <v>411599.76487450581</v>
      </c>
      <c r="AB68" s="103">
        <f t="array" ref="AB68">IF(AB$18,INDEX('AEA2012 update'!$K$6:$R$104,MATCH($T68&amp;$R68,'AEA2012 update'!$A$6:$A$104&amp;'AEA2012 update'!$B$6:$B$104,0),MATCH(AB$16,'AEA2012 update'!$S$4:$Z$4,0)),INDEX('AEA2012 update'!$K$6:$R$104,MATCH($T68&amp;$U68,'AEA2012 update'!$A$6:$A$104&amp;'AEA2012 update'!$B$6:$B$104,0),MATCH(AB$16,'AEA2012 update'!$S$4:$Z$4,0)))</f>
        <v>420229.93891377357</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8953673.1248607747</v>
      </c>
      <c r="W69" s="103">
        <f t="array" ref="W69">IF(W$18,INDEX('AEA2012 update'!$K$6:$R$104,MATCH($T69&amp;$R69,'AEA2012 update'!$A$6:$A$104&amp;'AEA2012 update'!$B$6:$B$104,0),MATCH(W$16,'AEA2012 update'!$S$4:$Z$4,0)),INDEX('AEA2012 update'!$K$6:$R$104,MATCH($T69&amp;$U69,'AEA2012 update'!$A$6:$A$104&amp;'AEA2012 update'!$B$6:$B$104,0),MATCH(W$16,'AEA2012 update'!$S$4:$Z$4,0)))</f>
        <v>3579822.5277799987</v>
      </c>
      <c r="X69" s="103">
        <f t="array" ref="X69">IF(X$18,INDEX('AEA2012 update'!$K$6:$R$104,MATCH($T69&amp;$R69,'AEA2012 update'!$A$6:$A$104&amp;'AEA2012 update'!$B$6:$B$104,0),MATCH(X$16,'AEA2012 update'!$S$4:$Z$4,0)),INDEX('AEA2012 update'!$K$6:$R$104,MATCH($T69&amp;$U69,'AEA2012 update'!$A$6:$A$104&amp;'AEA2012 update'!$B$6:$B$104,0),MATCH(X$16,'AEA2012 update'!$S$4:$Z$4,0)))</f>
        <v>2748124.143456737</v>
      </c>
      <c r="Y69" s="103">
        <f t="array" ref="Y69">IF(Y$18,INDEX('AEA2012 update'!$K$6:$R$104,MATCH($T69&amp;$R69,'AEA2012 update'!$A$6:$A$104&amp;'AEA2012 update'!$B$6:$B$104,0),MATCH(Y$16,'AEA2012 update'!$S$4:$Z$4,0)),INDEX('AEA2012 update'!$K$6:$R$104,MATCH($T69&amp;$U69,'AEA2012 update'!$A$6:$A$104&amp;'AEA2012 update'!$B$6:$B$104,0),MATCH(Y$16,'AEA2012 update'!$S$4:$Z$4,0)))</f>
        <v>394374.96176505223</v>
      </c>
      <c r="Z69" s="103">
        <f t="array" ref="Z69">IF(Z$18,INDEX('AEA2012 update'!$K$6:$R$104,MATCH($T69&amp;$R69,'AEA2012 update'!$A$6:$A$104&amp;'AEA2012 update'!$B$6:$B$104,0),MATCH(Z$16,'AEA2012 update'!$S$4:$Z$4,0)),INDEX('AEA2012 update'!$K$6:$R$104,MATCH($T69&amp;$U69,'AEA2012 update'!$A$6:$A$104&amp;'AEA2012 update'!$B$6:$B$104,0),MATCH(Z$16,'AEA2012 update'!$S$4:$Z$4,0)))</f>
        <v>402987.36331977899</v>
      </c>
      <c r="AA69" s="103">
        <f t="array" ref="AA69">IF(AA$18,INDEX('AEA2012 update'!$K$6:$R$104,MATCH($T69&amp;$R69,'AEA2012 update'!$A$6:$A$104&amp;'AEA2012 update'!$B$6:$B$104,0),MATCH(AA$16,'AEA2012 update'!$S$4:$Z$4,0)),INDEX('AEA2012 update'!$K$6:$R$104,MATCH($T69&amp;$U69,'AEA2012 update'!$A$6:$A$104&amp;'AEA2012 update'!$B$6:$B$104,0),MATCH(AA$16,'AEA2012 update'!$S$4:$Z$4,0)))</f>
        <v>411599.76487450581</v>
      </c>
      <c r="AB69" s="103">
        <f t="array" ref="AB69">IF(AB$18,INDEX('AEA2012 update'!$K$6:$R$104,MATCH($T69&amp;$R69,'AEA2012 update'!$A$6:$A$104&amp;'AEA2012 update'!$B$6:$B$104,0),MATCH(AB$16,'AEA2012 update'!$S$4:$Z$4,0)),INDEX('AEA2012 update'!$K$6:$R$104,MATCH($T69&amp;$U69,'AEA2012 update'!$A$6:$A$104&amp;'AEA2012 update'!$B$6:$B$104,0),MATCH(AB$16,'AEA2012 update'!$S$4:$Z$4,0)))</f>
        <v>420229.93891377357</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515144.81980383256</v>
      </c>
      <c r="W70" s="103">
        <f t="array" ref="W70">IF(W$18,INDEX('AEA2012 update'!$K$6:$R$104,MATCH($T70&amp;$R70,'AEA2012 update'!$A$6:$A$104&amp;'AEA2012 update'!$B$6:$B$104,0),MATCH(W$16,'AEA2012 update'!$S$4:$Z$4,0)),INDEX('AEA2012 update'!$K$6:$R$104,MATCH($T70&amp;$U70,'AEA2012 update'!$A$6:$A$104&amp;'AEA2012 update'!$B$6:$B$104,0),MATCH(W$16,'AEA2012 update'!$S$4:$Z$4,0)))</f>
        <v>541448.15732672473</v>
      </c>
      <c r="X70" s="103">
        <f t="array" ref="X70">IF(X$18,INDEX('AEA2012 update'!$K$6:$R$104,MATCH($T70&amp;$R70,'AEA2012 update'!$A$6:$A$104&amp;'AEA2012 update'!$B$6:$B$104,0),MATCH(X$16,'AEA2012 update'!$S$4:$Z$4,0)),INDEX('AEA2012 update'!$K$6:$R$104,MATCH($T70&amp;$U70,'AEA2012 update'!$A$6:$A$104&amp;'AEA2012 update'!$B$6:$B$104,0),MATCH(X$16,'AEA2012 update'!$S$4:$Z$4,0)))</f>
        <v>547147.5506547353</v>
      </c>
      <c r="Y70" s="103">
        <f t="array" ref="Y70">IF(Y$18,INDEX('AEA2012 update'!$K$6:$R$104,MATCH($T70&amp;$R70,'AEA2012 update'!$A$6:$A$104&amp;'AEA2012 update'!$B$6:$B$104,0),MATCH(Y$16,'AEA2012 update'!$S$4:$Z$4,0)),INDEX('AEA2012 update'!$K$6:$R$104,MATCH($T70&amp;$U70,'AEA2012 update'!$A$6:$A$104&amp;'AEA2012 update'!$B$6:$B$104,0),MATCH(Y$16,'AEA2012 update'!$S$4:$Z$4,0)))</f>
        <v>394374.96176505223</v>
      </c>
      <c r="Z70" s="103">
        <f t="array" ref="Z70">IF(Z$18,INDEX('AEA2012 update'!$K$6:$R$104,MATCH($T70&amp;$R70,'AEA2012 update'!$A$6:$A$104&amp;'AEA2012 update'!$B$6:$B$104,0),MATCH(Z$16,'AEA2012 update'!$S$4:$Z$4,0)),INDEX('AEA2012 update'!$K$6:$R$104,MATCH($T70&amp;$U70,'AEA2012 update'!$A$6:$A$104&amp;'AEA2012 update'!$B$6:$B$104,0),MATCH(Z$16,'AEA2012 update'!$S$4:$Z$4,0)))</f>
        <v>402987.36331977899</v>
      </c>
      <c r="AA70" s="103">
        <f t="array" ref="AA70">IF(AA$18,INDEX('AEA2012 update'!$K$6:$R$104,MATCH($T70&amp;$R70,'AEA2012 update'!$A$6:$A$104&amp;'AEA2012 update'!$B$6:$B$104,0),MATCH(AA$16,'AEA2012 update'!$S$4:$Z$4,0)),INDEX('AEA2012 update'!$K$6:$R$104,MATCH($T70&amp;$U70,'AEA2012 update'!$A$6:$A$104&amp;'AEA2012 update'!$B$6:$B$104,0),MATCH(AA$16,'AEA2012 update'!$S$4:$Z$4,0)))</f>
        <v>411599.76487450581</v>
      </c>
      <c r="AB70" s="103">
        <f t="array" ref="AB70">IF(AB$18,INDEX('AEA2012 update'!$K$6:$R$104,MATCH($T70&amp;$R70,'AEA2012 update'!$A$6:$A$104&amp;'AEA2012 update'!$B$6:$B$104,0),MATCH(AB$16,'AEA2012 update'!$S$4:$Z$4,0)),INDEX('AEA2012 update'!$K$6:$R$104,MATCH($T70&amp;$U70,'AEA2012 update'!$A$6:$A$104&amp;'AEA2012 update'!$B$6:$B$104,0),MATCH(AB$16,'AEA2012 update'!$S$4:$Z$4,0)))</f>
        <v>420229.93891377357</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446255.01297274197</v>
      </c>
      <c r="W72" s="103">
        <f t="array" ref="W72">IF(W$18,INDEX('AEA2012 update'!$K$6:$R$104,MATCH($T72&amp;$R72,'AEA2012 update'!$A$6:$A$104&amp;'AEA2012 update'!$B$6:$B$104,0),MATCH(W$16,'AEA2012 update'!$S$4:$Z$4,0)),INDEX('AEA2012 update'!$K$6:$R$104,MATCH($T72&amp;$U72,'AEA2012 update'!$A$6:$A$104&amp;'AEA2012 update'!$B$6:$B$104,0),MATCH(W$16,'AEA2012 update'!$S$4:$Z$4,0)))</f>
        <v>536973.37916699972</v>
      </c>
      <c r="X72" s="103">
        <f t="array" ref="X72">IF(X$18,INDEX('AEA2012 update'!$K$6:$R$104,MATCH($T72&amp;$R72,'AEA2012 update'!$A$6:$A$104&amp;'AEA2012 update'!$B$6:$B$104,0),MATCH(X$16,'AEA2012 update'!$S$4:$Z$4,0)),INDEX('AEA2012 update'!$K$6:$R$104,MATCH($T72&amp;$U72,'AEA2012 update'!$A$6:$A$104&amp;'AEA2012 update'!$B$6:$B$104,0),MATCH(X$16,'AEA2012 update'!$S$4:$Z$4,0)))</f>
        <v>553963.09506504517</v>
      </c>
      <c r="Y72" s="103">
        <f t="array" ref="Y72">IF(Y$18,INDEX('AEA2012 update'!$K$6:$R$104,MATCH($T72&amp;$R72,'AEA2012 update'!$A$6:$A$104&amp;'AEA2012 update'!$B$6:$B$104,0),MATCH(Y$16,'AEA2012 update'!$S$4:$Z$4,0)),INDEX('AEA2012 update'!$K$6:$R$104,MATCH($T72&amp;$U72,'AEA2012 update'!$A$6:$A$104&amp;'AEA2012 update'!$B$6:$B$104,0),MATCH(Y$16,'AEA2012 update'!$S$4:$Z$4,0)))</f>
        <v>570952.81096309063</v>
      </c>
      <c r="Z72" s="103">
        <f t="array" ref="Z72">IF(Z$18,INDEX('AEA2012 update'!$K$6:$R$104,MATCH($T72&amp;$R72,'AEA2012 update'!$A$6:$A$104&amp;'AEA2012 update'!$B$6:$B$104,0),MATCH(Z$16,'AEA2012 update'!$S$4:$Z$4,0)),INDEX('AEA2012 update'!$K$6:$R$104,MATCH($T72&amp;$U72,'AEA2012 update'!$A$6:$A$104&amp;'AEA2012 update'!$B$6:$B$104,0),MATCH(Z$16,'AEA2012 update'!$S$4:$Z$4,0)))</f>
        <v>586167.38460265577</v>
      </c>
      <c r="AA72" s="103">
        <f t="array" ref="AA72">IF(AA$18,INDEX('AEA2012 update'!$K$6:$R$104,MATCH($T72&amp;$R72,'AEA2012 update'!$A$6:$A$104&amp;'AEA2012 update'!$B$6:$B$104,0),MATCH(AA$16,'AEA2012 update'!$S$4:$Z$4,0)),INDEX('AEA2012 update'!$K$6:$R$104,MATCH($T72&amp;$U72,'AEA2012 update'!$A$6:$A$104&amp;'AEA2012 update'!$B$6:$B$104,0),MATCH(AA$16,'AEA2012 update'!$S$4:$Z$4,0)))</f>
        <v>601381.95824222104</v>
      </c>
      <c r="AB72" s="103">
        <f t="array" ref="AB72">IF(AB$18,INDEX('AEA2012 update'!$K$6:$R$104,MATCH($T72&amp;$R72,'AEA2012 update'!$A$6:$A$104&amp;'AEA2012 update'!$B$6:$B$104,0),MATCH(AB$16,'AEA2012 update'!$S$4:$Z$4,0)),INDEX('AEA2012 update'!$K$6:$R$104,MATCH($T72&amp;$U72,'AEA2012 update'!$A$6:$A$104&amp;'AEA2012 update'!$B$6:$B$104,0),MATCH(AB$16,'AEA2012 update'!$S$4:$Z$4,0)))</f>
        <v>621361.5428707269</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446255.01297274203</v>
      </c>
      <c r="W73" s="103">
        <f t="array" ref="W73">IF(W$18,INDEX('AEA2012 update'!$K$6:$R$104,MATCH($T73&amp;$R73,'AEA2012 update'!$A$6:$A$104&amp;'AEA2012 update'!$B$6:$B$104,0),MATCH(W$16,'AEA2012 update'!$S$4:$Z$4,0)),INDEX('AEA2012 update'!$K$6:$R$104,MATCH($T73&amp;$U73,'AEA2012 update'!$A$6:$A$104&amp;'AEA2012 update'!$B$6:$B$104,0),MATCH(W$16,'AEA2012 update'!$S$4:$Z$4,0)))</f>
        <v>536973.37916699972</v>
      </c>
      <c r="X73" s="103">
        <f t="array" ref="X73">IF(X$18,INDEX('AEA2012 update'!$K$6:$R$104,MATCH($T73&amp;$R73,'AEA2012 update'!$A$6:$A$104&amp;'AEA2012 update'!$B$6:$B$104,0),MATCH(X$16,'AEA2012 update'!$S$4:$Z$4,0)),INDEX('AEA2012 update'!$K$6:$R$104,MATCH($T73&amp;$U73,'AEA2012 update'!$A$6:$A$104&amp;'AEA2012 update'!$B$6:$B$104,0),MATCH(X$16,'AEA2012 update'!$S$4:$Z$4,0)))</f>
        <v>553963.09506504517</v>
      </c>
      <c r="Y73" s="103">
        <f t="array" ref="Y73">IF(Y$18,INDEX('AEA2012 update'!$K$6:$R$104,MATCH($T73&amp;$R73,'AEA2012 update'!$A$6:$A$104&amp;'AEA2012 update'!$B$6:$B$104,0),MATCH(Y$16,'AEA2012 update'!$S$4:$Z$4,0)),INDEX('AEA2012 update'!$K$6:$R$104,MATCH($T73&amp;$U73,'AEA2012 update'!$A$6:$A$104&amp;'AEA2012 update'!$B$6:$B$104,0),MATCH(Y$16,'AEA2012 update'!$S$4:$Z$4,0)))</f>
        <v>570952.81096309063</v>
      </c>
      <c r="Z73" s="103">
        <f t="array" ref="Z73">IF(Z$18,INDEX('AEA2012 update'!$K$6:$R$104,MATCH($T73&amp;$R73,'AEA2012 update'!$A$6:$A$104&amp;'AEA2012 update'!$B$6:$B$104,0),MATCH(Z$16,'AEA2012 update'!$S$4:$Z$4,0)),INDEX('AEA2012 update'!$K$6:$R$104,MATCH($T73&amp;$U73,'AEA2012 update'!$A$6:$A$104&amp;'AEA2012 update'!$B$6:$B$104,0),MATCH(Z$16,'AEA2012 update'!$S$4:$Z$4,0)))</f>
        <v>586167.38460265577</v>
      </c>
      <c r="AA73" s="103">
        <f t="array" ref="AA73">IF(AA$18,INDEX('AEA2012 update'!$K$6:$R$104,MATCH($T73&amp;$R73,'AEA2012 update'!$A$6:$A$104&amp;'AEA2012 update'!$B$6:$B$104,0),MATCH(AA$16,'AEA2012 update'!$S$4:$Z$4,0)),INDEX('AEA2012 update'!$K$6:$R$104,MATCH($T73&amp;$U73,'AEA2012 update'!$A$6:$A$104&amp;'AEA2012 update'!$B$6:$B$104,0),MATCH(AA$16,'AEA2012 update'!$S$4:$Z$4,0)))</f>
        <v>601381.95824222104</v>
      </c>
      <c r="AB73" s="103">
        <f t="array" ref="AB73">IF(AB$18,INDEX('AEA2012 update'!$K$6:$R$104,MATCH($T73&amp;$R73,'AEA2012 update'!$A$6:$A$104&amp;'AEA2012 update'!$B$6:$B$104,0),MATCH(AB$16,'AEA2012 update'!$S$4:$Z$4,0)),INDEX('AEA2012 update'!$K$6:$R$104,MATCH($T73&amp;$U73,'AEA2012 update'!$A$6:$A$104&amp;'AEA2012 update'!$B$6:$B$104,0),MATCH(AB$16,'AEA2012 update'!$S$4:$Z$4,0)))</f>
        <v>621361.5428707269</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6">
        <f t="shared" si="6"/>
        <v>-9.9551197902516078E-4</v>
      </c>
      <c r="AK73" s="256">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1636151.4442962299</v>
      </c>
      <c r="W74" s="103">
        <f t="array" ref="W74">IF(W$18,INDEX('AEA2012 update'!$K$6:$R$104,MATCH($T74&amp;$R74,'AEA2012 update'!$A$6:$A$104&amp;'AEA2012 update'!$B$6:$B$104,0),MATCH(W$16,'AEA2012 update'!$S$4:$Z$4,0)),INDEX('AEA2012 update'!$K$6:$R$104,MATCH($T74&amp;$U74,'AEA2012 update'!$A$6:$A$104&amp;'AEA2012 update'!$B$6:$B$104,0),MATCH(W$16,'AEA2012 update'!$S$4:$Z$4,0)))</f>
        <v>1073946.7583339994</v>
      </c>
      <c r="X74" s="103">
        <f t="array" ref="X74">IF(X$18,INDEX('AEA2012 update'!$K$6:$R$104,MATCH($T74&amp;$R74,'AEA2012 update'!$A$6:$A$104&amp;'AEA2012 update'!$B$6:$B$104,0),MATCH(X$16,'AEA2012 update'!$S$4:$Z$4,0)),INDEX('AEA2012 update'!$K$6:$R$104,MATCH($T74&amp;$U74,'AEA2012 update'!$A$6:$A$104&amp;'AEA2012 update'!$B$6:$B$104,0),MATCH(X$16,'AEA2012 update'!$S$4:$Z$4,0)))</f>
        <v>975194.95739002037</v>
      </c>
      <c r="Y74" s="103">
        <f t="array" ref="Y74">IF(Y$18,INDEX('AEA2012 update'!$K$6:$R$104,MATCH($T74&amp;$R74,'AEA2012 update'!$A$6:$A$104&amp;'AEA2012 update'!$B$6:$B$104,0),MATCH(Y$16,'AEA2012 update'!$S$4:$Z$4,0)),INDEX('AEA2012 update'!$K$6:$R$104,MATCH($T74&amp;$U74,'AEA2012 update'!$A$6:$A$104&amp;'AEA2012 update'!$B$6:$B$104,0),MATCH(Y$16,'AEA2012 update'!$S$4:$Z$4,0)))</f>
        <v>570952.81096309063</v>
      </c>
      <c r="Z74" s="103">
        <f t="array" ref="Z74">IF(Z$18,INDEX('AEA2012 update'!$K$6:$R$104,MATCH($T74&amp;$R74,'AEA2012 update'!$A$6:$A$104&amp;'AEA2012 update'!$B$6:$B$104,0),MATCH(Z$16,'AEA2012 update'!$S$4:$Z$4,0)),INDEX('AEA2012 update'!$K$6:$R$104,MATCH($T74&amp;$U74,'AEA2012 update'!$A$6:$A$104&amp;'AEA2012 update'!$B$6:$B$104,0),MATCH(Z$16,'AEA2012 update'!$S$4:$Z$4,0)))</f>
        <v>586167.38460265577</v>
      </c>
      <c r="AA74" s="103">
        <f t="array" ref="AA74">IF(AA$18,INDEX('AEA2012 update'!$K$6:$R$104,MATCH($T74&amp;$R74,'AEA2012 update'!$A$6:$A$104&amp;'AEA2012 update'!$B$6:$B$104,0),MATCH(AA$16,'AEA2012 update'!$S$4:$Z$4,0)),INDEX('AEA2012 update'!$K$6:$R$104,MATCH($T74&amp;$U74,'AEA2012 update'!$A$6:$A$104&amp;'AEA2012 update'!$B$6:$B$104,0),MATCH(AA$16,'AEA2012 update'!$S$4:$Z$4,0)))</f>
        <v>601381.95824222104</v>
      </c>
      <c r="AB74" s="103">
        <f t="array" ref="AB74">IF(AB$18,INDEX('AEA2012 update'!$K$6:$R$104,MATCH($T74&amp;$R74,'AEA2012 update'!$A$6:$A$104&amp;'AEA2012 update'!$B$6:$B$104,0),MATCH(AB$16,'AEA2012 update'!$S$4:$Z$4,0)),INDEX('AEA2012 update'!$K$6:$R$104,MATCH($T74&amp;$U74,'AEA2012 update'!$A$6:$A$104&amp;'AEA2012 update'!$B$6:$B$104,0),MATCH(AB$16,'AEA2012 update'!$S$4:$Z$4,0)))</f>
        <v>621361.5428707269</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8355229.278272992</v>
      </c>
      <c r="W75" s="103">
        <f t="array" ref="W75">IF(W$18,INDEX('AEA2012 update'!$K$6:$R$104,MATCH($T75&amp;$R75,'AEA2012 update'!$A$6:$A$104&amp;'AEA2012 update'!$B$6:$B$104,0),MATCH(W$16,'AEA2012 update'!$S$4:$Z$4,0)),INDEX('AEA2012 update'!$K$6:$R$104,MATCH($T75&amp;$U75,'AEA2012 update'!$A$6:$A$104&amp;'AEA2012 update'!$B$6:$B$104,0),MATCH(W$16,'AEA2012 update'!$S$4:$Z$4,0)))</f>
        <v>3579822.5277799983</v>
      </c>
      <c r="X75" s="103">
        <f t="array" ref="X75">IF(X$18,INDEX('AEA2012 update'!$K$6:$R$104,MATCH($T75&amp;$R75,'AEA2012 update'!$A$6:$A$104&amp;'AEA2012 update'!$B$6:$B$104,0),MATCH(X$16,'AEA2012 update'!$S$4:$Z$4,0)),INDEX('AEA2012 update'!$K$6:$R$104,MATCH($T75&amp;$U75,'AEA2012 update'!$A$6:$A$104&amp;'AEA2012 update'!$B$6:$B$104,0),MATCH(X$16,'AEA2012 update'!$S$4:$Z$4,0)))</f>
        <v>2820431.5710533736</v>
      </c>
      <c r="Y75" s="103">
        <f t="array" ref="Y75">IF(Y$18,INDEX('AEA2012 update'!$K$6:$R$104,MATCH($T75&amp;$R75,'AEA2012 update'!$A$6:$A$104&amp;'AEA2012 update'!$B$6:$B$104,0),MATCH(Y$16,'AEA2012 update'!$S$4:$Z$4,0)),INDEX('AEA2012 update'!$K$6:$R$104,MATCH($T75&amp;$U75,'AEA2012 update'!$A$6:$A$104&amp;'AEA2012 update'!$B$6:$B$104,0),MATCH(Y$16,'AEA2012 update'!$S$4:$Z$4,0)))</f>
        <v>570952.81096309063</v>
      </c>
      <c r="Z75" s="103">
        <f t="array" ref="Z75">IF(Z$18,INDEX('AEA2012 update'!$K$6:$R$104,MATCH($T75&amp;$R75,'AEA2012 update'!$A$6:$A$104&amp;'AEA2012 update'!$B$6:$B$104,0),MATCH(Z$16,'AEA2012 update'!$S$4:$Z$4,0)),INDEX('AEA2012 update'!$K$6:$R$104,MATCH($T75&amp;$U75,'AEA2012 update'!$A$6:$A$104&amp;'AEA2012 update'!$B$6:$B$104,0),MATCH(Z$16,'AEA2012 update'!$S$4:$Z$4,0)))</f>
        <v>586167.38460265577</v>
      </c>
      <c r="AA75" s="103">
        <f t="array" ref="AA75">IF(AA$18,INDEX('AEA2012 update'!$K$6:$R$104,MATCH($T75&amp;$R75,'AEA2012 update'!$A$6:$A$104&amp;'AEA2012 update'!$B$6:$B$104,0),MATCH(AA$16,'AEA2012 update'!$S$4:$Z$4,0)),INDEX('AEA2012 update'!$K$6:$R$104,MATCH($T75&amp;$U75,'AEA2012 update'!$A$6:$A$104&amp;'AEA2012 update'!$B$6:$B$104,0),MATCH(AA$16,'AEA2012 update'!$S$4:$Z$4,0)))</f>
        <v>601381.95824222104</v>
      </c>
      <c r="AB75" s="103">
        <f t="array" ref="AB75">IF(AB$18,INDEX('AEA2012 update'!$K$6:$R$104,MATCH($T75&amp;$R75,'AEA2012 update'!$A$6:$A$104&amp;'AEA2012 update'!$B$6:$B$104,0),MATCH(AB$16,'AEA2012 update'!$S$4:$Z$4,0)),INDEX('AEA2012 update'!$K$6:$R$104,MATCH($T75&amp;$U75,'AEA2012 update'!$A$6:$A$104&amp;'AEA2012 update'!$B$6:$B$104,0),MATCH(AB$16,'AEA2012 update'!$S$4:$Z$4,0)))</f>
        <v>621361.5428707269</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673891.27199202031</v>
      </c>
      <c r="W76" s="103">
        <f t="array" ref="W76">IF(W$18,INDEX('AEA2012 update'!$K$6:$R$104,MATCH($T76&amp;$R76,'AEA2012 update'!$A$6:$A$104&amp;'AEA2012 update'!$B$6:$B$104,0),MATCH(W$16,'AEA2012 update'!$S$4:$Z$4,0)),INDEX('AEA2012 update'!$K$6:$R$104,MATCH($T76&amp;$U76,'AEA2012 update'!$A$6:$A$104&amp;'AEA2012 update'!$B$6:$B$104,0),MATCH(W$16,'AEA2012 update'!$S$4:$Z$4,0)))</f>
        <v>663395.69588871428</v>
      </c>
      <c r="X76" s="103">
        <f t="array" ref="X76">IF(X$18,INDEX('AEA2012 update'!$K$6:$R$104,MATCH($T76&amp;$R76,'AEA2012 update'!$A$6:$A$104&amp;'AEA2012 update'!$B$6:$B$104,0),MATCH(X$16,'AEA2012 update'!$S$4:$Z$4,0)),INDEX('AEA2012 update'!$K$6:$R$104,MATCH($T76&amp;$U76,'AEA2012 update'!$A$6:$A$104&amp;'AEA2012 update'!$B$6:$B$104,0),MATCH(X$16,'AEA2012 update'!$S$4:$Z$4,0)))</f>
        <v>665698.18692593346</v>
      </c>
      <c r="Y76" s="103">
        <f t="array" ref="Y76">IF(Y$18,INDEX('AEA2012 update'!$K$6:$R$104,MATCH($T76&amp;$R76,'AEA2012 update'!$A$6:$A$104&amp;'AEA2012 update'!$B$6:$B$104,0),MATCH(Y$16,'AEA2012 update'!$S$4:$Z$4,0)),INDEX('AEA2012 update'!$K$6:$R$104,MATCH($T76&amp;$U76,'AEA2012 update'!$A$6:$A$104&amp;'AEA2012 update'!$B$6:$B$104,0),MATCH(Y$16,'AEA2012 update'!$S$4:$Z$4,0)))</f>
        <v>570952.81096309063</v>
      </c>
      <c r="Z76" s="103">
        <f t="array" ref="Z76">IF(Z$18,INDEX('AEA2012 update'!$K$6:$R$104,MATCH($T76&amp;$R76,'AEA2012 update'!$A$6:$A$104&amp;'AEA2012 update'!$B$6:$B$104,0),MATCH(Z$16,'AEA2012 update'!$S$4:$Z$4,0)),INDEX('AEA2012 update'!$K$6:$R$104,MATCH($T76&amp;$U76,'AEA2012 update'!$A$6:$A$104&amp;'AEA2012 update'!$B$6:$B$104,0),MATCH(Z$16,'AEA2012 update'!$S$4:$Z$4,0)))</f>
        <v>586167.38460265577</v>
      </c>
      <c r="AA76" s="103">
        <f t="array" ref="AA76">IF(AA$18,INDEX('AEA2012 update'!$K$6:$R$104,MATCH($T76&amp;$R76,'AEA2012 update'!$A$6:$A$104&amp;'AEA2012 update'!$B$6:$B$104,0),MATCH(AA$16,'AEA2012 update'!$S$4:$Z$4,0)),INDEX('AEA2012 update'!$K$6:$R$104,MATCH($T76&amp;$U76,'AEA2012 update'!$A$6:$A$104&amp;'AEA2012 update'!$B$6:$B$104,0),MATCH(AA$16,'AEA2012 update'!$S$4:$Z$4,0)))</f>
        <v>601381.95824222104</v>
      </c>
      <c r="AB76" s="103">
        <f t="array" ref="AB76">IF(AB$18,INDEX('AEA2012 update'!$K$6:$R$104,MATCH($T76&amp;$R76,'AEA2012 update'!$A$6:$A$104&amp;'AEA2012 update'!$B$6:$B$104,0),MATCH(AB$16,'AEA2012 update'!$S$4:$Z$4,0)),INDEX('AEA2012 update'!$K$6:$R$104,MATCH($T76&amp;$U76,'AEA2012 update'!$A$6:$A$104&amp;'AEA2012 update'!$B$6:$B$104,0),MATCH(AB$16,'AEA2012 update'!$S$4:$Z$4,0)))</f>
        <v>621361.5428707269</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446255.01297274197</v>
      </c>
      <c r="W78" s="103">
        <f t="array" ref="W78">IF(W$18,INDEX('AEA2012 update'!$K$6:$R$104,MATCH($T78&amp;$R78,'AEA2012 update'!$A$6:$A$104&amp;'AEA2012 update'!$B$6:$B$104,0),MATCH(W$16,'AEA2012 update'!$S$4:$Z$4,0)),INDEX('AEA2012 update'!$K$6:$R$104,MATCH($T78&amp;$U78,'AEA2012 update'!$A$6:$A$104&amp;'AEA2012 update'!$B$6:$B$104,0),MATCH(W$16,'AEA2012 update'!$S$4:$Z$4,0)))</f>
        <v>536973.37916699972</v>
      </c>
      <c r="X78" s="103">
        <f t="array" ref="X78">IF(X$18,INDEX('AEA2012 update'!$K$6:$R$104,MATCH($T78&amp;$R78,'AEA2012 update'!$A$6:$A$104&amp;'AEA2012 update'!$B$6:$B$104,0),MATCH(X$16,'AEA2012 update'!$S$4:$Z$4,0)),INDEX('AEA2012 update'!$K$6:$R$104,MATCH($T78&amp;$U78,'AEA2012 update'!$A$6:$A$104&amp;'AEA2012 update'!$B$6:$B$104,0),MATCH(X$16,'AEA2012 update'!$S$4:$Z$4,0)))</f>
        <v>553963.09506504517</v>
      </c>
      <c r="Y78" s="103">
        <f t="array" ref="Y78">IF(Y$18,INDEX('AEA2012 update'!$K$6:$R$104,MATCH($T78&amp;$R78,'AEA2012 update'!$A$6:$A$104&amp;'AEA2012 update'!$B$6:$B$104,0),MATCH(Y$16,'AEA2012 update'!$S$4:$Z$4,0)),INDEX('AEA2012 update'!$K$6:$R$104,MATCH($T78&amp;$U78,'AEA2012 update'!$A$6:$A$104&amp;'AEA2012 update'!$B$6:$B$104,0),MATCH(Y$16,'AEA2012 update'!$S$4:$Z$4,0)))</f>
        <v>570952.81096309063</v>
      </c>
      <c r="Z78" s="103">
        <f t="array" ref="Z78">IF(Z$18,INDEX('AEA2012 update'!$K$6:$R$104,MATCH($T78&amp;$R78,'AEA2012 update'!$A$6:$A$104&amp;'AEA2012 update'!$B$6:$B$104,0),MATCH(Z$16,'AEA2012 update'!$S$4:$Z$4,0)),INDEX('AEA2012 update'!$K$6:$R$104,MATCH($T78&amp;$U78,'AEA2012 update'!$A$6:$A$104&amp;'AEA2012 update'!$B$6:$B$104,0),MATCH(Z$16,'AEA2012 update'!$S$4:$Z$4,0)))</f>
        <v>586167.38460265577</v>
      </c>
      <c r="AA78" s="103">
        <f t="array" ref="AA78">IF(AA$18,INDEX('AEA2012 update'!$K$6:$R$104,MATCH($T78&amp;$R78,'AEA2012 update'!$A$6:$A$104&amp;'AEA2012 update'!$B$6:$B$104,0),MATCH(AA$16,'AEA2012 update'!$S$4:$Z$4,0)),INDEX('AEA2012 update'!$K$6:$R$104,MATCH($T78&amp;$U78,'AEA2012 update'!$A$6:$A$104&amp;'AEA2012 update'!$B$6:$B$104,0),MATCH(AA$16,'AEA2012 update'!$S$4:$Z$4,0)))</f>
        <v>601381.95824222104</v>
      </c>
      <c r="AB78" s="103">
        <f t="array" ref="AB78">IF(AB$18,INDEX('AEA2012 update'!$K$6:$R$104,MATCH($T78&amp;$R78,'AEA2012 update'!$A$6:$A$104&amp;'AEA2012 update'!$B$6:$B$104,0),MATCH(AB$16,'AEA2012 update'!$S$4:$Z$4,0)),INDEX('AEA2012 update'!$K$6:$R$104,MATCH($T78&amp;$U78,'AEA2012 update'!$A$6:$A$104&amp;'AEA2012 update'!$B$6:$B$104,0),MATCH(AB$16,'AEA2012 update'!$S$4:$Z$4,0)))</f>
        <v>621361.5428707269</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1636151.4442962299</v>
      </c>
      <c r="W79" s="103">
        <f t="array" ref="W79">IF(W$18,INDEX('AEA2012 update'!$K$6:$R$104,MATCH($T79&amp;$R79,'AEA2012 update'!$A$6:$A$104&amp;'AEA2012 update'!$B$6:$B$104,0),MATCH(W$16,'AEA2012 update'!$S$4:$Z$4,0)),INDEX('AEA2012 update'!$K$6:$R$104,MATCH($T79&amp;$U79,'AEA2012 update'!$A$6:$A$104&amp;'AEA2012 update'!$B$6:$B$104,0),MATCH(W$16,'AEA2012 update'!$S$4:$Z$4,0)))</f>
        <v>1073946.7583339994</v>
      </c>
      <c r="X79" s="103">
        <f t="array" ref="X79">IF(X$18,INDEX('AEA2012 update'!$K$6:$R$104,MATCH($T79&amp;$R79,'AEA2012 update'!$A$6:$A$104&amp;'AEA2012 update'!$B$6:$B$104,0),MATCH(X$16,'AEA2012 update'!$S$4:$Z$4,0)),INDEX('AEA2012 update'!$K$6:$R$104,MATCH($T79&amp;$U79,'AEA2012 update'!$A$6:$A$104&amp;'AEA2012 update'!$B$6:$B$104,0),MATCH(X$16,'AEA2012 update'!$S$4:$Z$4,0)))</f>
        <v>975194.95739002037</v>
      </c>
      <c r="Y79" s="103">
        <f t="array" ref="Y79">IF(Y$18,INDEX('AEA2012 update'!$K$6:$R$104,MATCH($T79&amp;$R79,'AEA2012 update'!$A$6:$A$104&amp;'AEA2012 update'!$B$6:$B$104,0),MATCH(Y$16,'AEA2012 update'!$S$4:$Z$4,0)),INDEX('AEA2012 update'!$K$6:$R$104,MATCH($T79&amp;$U79,'AEA2012 update'!$A$6:$A$104&amp;'AEA2012 update'!$B$6:$B$104,0),MATCH(Y$16,'AEA2012 update'!$S$4:$Z$4,0)))</f>
        <v>570952.81096309063</v>
      </c>
      <c r="Z79" s="103">
        <f t="array" ref="Z79">IF(Z$18,INDEX('AEA2012 update'!$K$6:$R$104,MATCH($T79&amp;$R79,'AEA2012 update'!$A$6:$A$104&amp;'AEA2012 update'!$B$6:$B$104,0),MATCH(Z$16,'AEA2012 update'!$S$4:$Z$4,0)),INDEX('AEA2012 update'!$K$6:$R$104,MATCH($T79&amp;$U79,'AEA2012 update'!$A$6:$A$104&amp;'AEA2012 update'!$B$6:$B$104,0),MATCH(Z$16,'AEA2012 update'!$S$4:$Z$4,0)))</f>
        <v>586167.38460265577</v>
      </c>
      <c r="AA79" s="103">
        <f t="array" ref="AA79">IF(AA$18,INDEX('AEA2012 update'!$K$6:$R$104,MATCH($T79&amp;$R79,'AEA2012 update'!$A$6:$A$104&amp;'AEA2012 update'!$B$6:$B$104,0),MATCH(AA$16,'AEA2012 update'!$S$4:$Z$4,0)),INDEX('AEA2012 update'!$K$6:$R$104,MATCH($T79&amp;$U79,'AEA2012 update'!$A$6:$A$104&amp;'AEA2012 update'!$B$6:$B$104,0),MATCH(AA$16,'AEA2012 update'!$S$4:$Z$4,0)))</f>
        <v>601381.95824222104</v>
      </c>
      <c r="AB79" s="103">
        <f t="array" ref="AB79">IF(AB$18,INDEX('AEA2012 update'!$K$6:$R$104,MATCH($T79&amp;$R79,'AEA2012 update'!$A$6:$A$104&amp;'AEA2012 update'!$B$6:$B$104,0),MATCH(AB$16,'AEA2012 update'!$S$4:$Z$4,0)),INDEX('AEA2012 update'!$K$6:$R$104,MATCH($T79&amp;$U79,'AEA2012 update'!$A$6:$A$104&amp;'AEA2012 update'!$B$6:$B$104,0),MATCH(AB$16,'AEA2012 update'!$S$4:$Z$4,0)))</f>
        <v>621361.5428707269</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8355229.278272992</v>
      </c>
      <c r="W80" s="103">
        <f t="array" ref="W80">IF(W$18,INDEX('AEA2012 update'!$K$6:$R$104,MATCH($T80&amp;$R80,'AEA2012 update'!$A$6:$A$104&amp;'AEA2012 update'!$B$6:$B$104,0),MATCH(W$16,'AEA2012 update'!$S$4:$Z$4,0)),INDEX('AEA2012 update'!$K$6:$R$104,MATCH($T80&amp;$U80,'AEA2012 update'!$A$6:$A$104&amp;'AEA2012 update'!$B$6:$B$104,0),MATCH(W$16,'AEA2012 update'!$S$4:$Z$4,0)))</f>
        <v>3579822.5277799983</v>
      </c>
      <c r="X80" s="103">
        <f t="array" ref="X80">IF(X$18,INDEX('AEA2012 update'!$K$6:$R$104,MATCH($T80&amp;$R80,'AEA2012 update'!$A$6:$A$104&amp;'AEA2012 update'!$B$6:$B$104,0),MATCH(X$16,'AEA2012 update'!$S$4:$Z$4,0)),INDEX('AEA2012 update'!$K$6:$R$104,MATCH($T80&amp;$U80,'AEA2012 update'!$A$6:$A$104&amp;'AEA2012 update'!$B$6:$B$104,0),MATCH(X$16,'AEA2012 update'!$S$4:$Z$4,0)))</f>
        <v>2820431.5710533736</v>
      </c>
      <c r="Y80" s="103">
        <f t="array" ref="Y80">IF(Y$18,INDEX('AEA2012 update'!$K$6:$R$104,MATCH($T80&amp;$R80,'AEA2012 update'!$A$6:$A$104&amp;'AEA2012 update'!$B$6:$B$104,0),MATCH(Y$16,'AEA2012 update'!$S$4:$Z$4,0)),INDEX('AEA2012 update'!$K$6:$R$104,MATCH($T80&amp;$U80,'AEA2012 update'!$A$6:$A$104&amp;'AEA2012 update'!$B$6:$B$104,0),MATCH(Y$16,'AEA2012 update'!$S$4:$Z$4,0)))</f>
        <v>570952.81096309063</v>
      </c>
      <c r="Z80" s="103">
        <f t="array" ref="Z80">IF(Z$18,INDEX('AEA2012 update'!$K$6:$R$104,MATCH($T80&amp;$R80,'AEA2012 update'!$A$6:$A$104&amp;'AEA2012 update'!$B$6:$B$104,0),MATCH(Z$16,'AEA2012 update'!$S$4:$Z$4,0)),INDEX('AEA2012 update'!$K$6:$R$104,MATCH($T80&amp;$U80,'AEA2012 update'!$A$6:$A$104&amp;'AEA2012 update'!$B$6:$B$104,0),MATCH(Z$16,'AEA2012 update'!$S$4:$Z$4,0)))</f>
        <v>586167.38460265577</v>
      </c>
      <c r="AA80" s="103">
        <f t="array" ref="AA80">IF(AA$18,INDEX('AEA2012 update'!$K$6:$R$104,MATCH($T80&amp;$R80,'AEA2012 update'!$A$6:$A$104&amp;'AEA2012 update'!$B$6:$B$104,0),MATCH(AA$16,'AEA2012 update'!$S$4:$Z$4,0)),INDEX('AEA2012 update'!$K$6:$R$104,MATCH($T80&amp;$U80,'AEA2012 update'!$A$6:$A$104&amp;'AEA2012 update'!$B$6:$B$104,0),MATCH(AA$16,'AEA2012 update'!$S$4:$Z$4,0)))</f>
        <v>601381.95824222104</v>
      </c>
      <c r="AB80" s="103">
        <f t="array" ref="AB80">IF(AB$18,INDEX('AEA2012 update'!$K$6:$R$104,MATCH($T80&amp;$R80,'AEA2012 update'!$A$6:$A$104&amp;'AEA2012 update'!$B$6:$B$104,0),MATCH(AB$16,'AEA2012 update'!$S$4:$Z$4,0)),INDEX('AEA2012 update'!$K$6:$R$104,MATCH($T80&amp;$U80,'AEA2012 update'!$A$6:$A$104&amp;'AEA2012 update'!$B$6:$B$104,0),MATCH(AB$16,'AEA2012 update'!$S$4:$Z$4,0)))</f>
        <v>621361.5428707269</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673891.27199202031</v>
      </c>
      <c r="W81" s="103">
        <f t="array" ref="W81">IF(W$18,INDEX('AEA2012 update'!$K$6:$R$104,MATCH($T81&amp;$R81,'AEA2012 update'!$A$6:$A$104&amp;'AEA2012 update'!$B$6:$B$104,0),MATCH(W$16,'AEA2012 update'!$S$4:$Z$4,0)),INDEX('AEA2012 update'!$K$6:$R$104,MATCH($T81&amp;$U81,'AEA2012 update'!$A$6:$A$104&amp;'AEA2012 update'!$B$6:$B$104,0),MATCH(W$16,'AEA2012 update'!$S$4:$Z$4,0)))</f>
        <v>663395.69588871428</v>
      </c>
      <c r="X81" s="103">
        <f t="array" ref="X81">IF(X$18,INDEX('AEA2012 update'!$K$6:$R$104,MATCH($T81&amp;$R81,'AEA2012 update'!$A$6:$A$104&amp;'AEA2012 update'!$B$6:$B$104,0),MATCH(X$16,'AEA2012 update'!$S$4:$Z$4,0)),INDEX('AEA2012 update'!$K$6:$R$104,MATCH($T81&amp;$U81,'AEA2012 update'!$A$6:$A$104&amp;'AEA2012 update'!$B$6:$B$104,0),MATCH(X$16,'AEA2012 update'!$S$4:$Z$4,0)))</f>
        <v>665698.18692593346</v>
      </c>
      <c r="Y81" s="103">
        <f t="array" ref="Y81">IF(Y$18,INDEX('AEA2012 update'!$K$6:$R$104,MATCH($T81&amp;$R81,'AEA2012 update'!$A$6:$A$104&amp;'AEA2012 update'!$B$6:$B$104,0),MATCH(Y$16,'AEA2012 update'!$S$4:$Z$4,0)),INDEX('AEA2012 update'!$K$6:$R$104,MATCH($T81&amp;$U81,'AEA2012 update'!$A$6:$A$104&amp;'AEA2012 update'!$B$6:$B$104,0),MATCH(Y$16,'AEA2012 update'!$S$4:$Z$4,0)))</f>
        <v>570952.81096309063</v>
      </c>
      <c r="Z81" s="103">
        <f t="array" ref="Z81">IF(Z$18,INDEX('AEA2012 update'!$K$6:$R$104,MATCH($T81&amp;$R81,'AEA2012 update'!$A$6:$A$104&amp;'AEA2012 update'!$B$6:$B$104,0),MATCH(Z$16,'AEA2012 update'!$S$4:$Z$4,0)),INDEX('AEA2012 update'!$K$6:$R$104,MATCH($T81&amp;$U81,'AEA2012 update'!$A$6:$A$104&amp;'AEA2012 update'!$B$6:$B$104,0),MATCH(Z$16,'AEA2012 update'!$S$4:$Z$4,0)))</f>
        <v>586167.38460265577</v>
      </c>
      <c r="AA81" s="103">
        <f t="array" ref="AA81">IF(AA$18,INDEX('AEA2012 update'!$K$6:$R$104,MATCH($T81&amp;$R81,'AEA2012 update'!$A$6:$A$104&amp;'AEA2012 update'!$B$6:$B$104,0),MATCH(AA$16,'AEA2012 update'!$S$4:$Z$4,0)),INDEX('AEA2012 update'!$K$6:$R$104,MATCH($T81&amp;$U81,'AEA2012 update'!$A$6:$A$104&amp;'AEA2012 update'!$B$6:$B$104,0),MATCH(AA$16,'AEA2012 update'!$S$4:$Z$4,0)))</f>
        <v>601381.95824222104</v>
      </c>
      <c r="AB81" s="103">
        <f t="array" ref="AB81">IF(AB$18,INDEX('AEA2012 update'!$K$6:$R$104,MATCH($T81&amp;$R81,'AEA2012 update'!$A$6:$A$104&amp;'AEA2012 update'!$B$6:$B$104,0),MATCH(AB$16,'AEA2012 update'!$S$4:$Z$4,0)),INDEX('AEA2012 update'!$K$6:$R$104,MATCH($T81&amp;$U81,'AEA2012 update'!$A$6:$A$104&amp;'AEA2012 update'!$B$6:$B$104,0),MATCH(AB$16,'AEA2012 update'!$S$4:$Z$4,0)))</f>
        <v>621361.5428707269</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446255.01297274197</v>
      </c>
      <c r="W83" s="103">
        <f t="array" ref="W83">IF(W$18,INDEX('AEA2012 update'!$K$6:$R$104,MATCH($T83&amp;$R83,'AEA2012 update'!$A$6:$A$104&amp;'AEA2012 update'!$B$6:$B$104,0),MATCH(W$16,'AEA2012 update'!$S$4:$Z$4,0)),INDEX('AEA2012 update'!$K$6:$R$104,MATCH($T83&amp;$U83,'AEA2012 update'!$A$6:$A$104&amp;'AEA2012 update'!$B$6:$B$104,0),MATCH(W$16,'AEA2012 update'!$S$4:$Z$4,0)))</f>
        <v>536973.37916699972</v>
      </c>
      <c r="X83" s="103">
        <f t="array" ref="X83">IF(X$18,INDEX('AEA2012 update'!$K$6:$R$104,MATCH($T83&amp;$R83,'AEA2012 update'!$A$6:$A$104&amp;'AEA2012 update'!$B$6:$B$104,0),MATCH(X$16,'AEA2012 update'!$S$4:$Z$4,0)),INDEX('AEA2012 update'!$K$6:$R$104,MATCH($T83&amp;$U83,'AEA2012 update'!$A$6:$A$104&amp;'AEA2012 update'!$B$6:$B$104,0),MATCH(X$16,'AEA2012 update'!$S$4:$Z$4,0)))</f>
        <v>553963.09506504517</v>
      </c>
      <c r="Y83" s="103">
        <f t="array" ref="Y83">IF(Y$18,INDEX('AEA2012 update'!$K$6:$R$104,MATCH($T83&amp;$R83,'AEA2012 update'!$A$6:$A$104&amp;'AEA2012 update'!$B$6:$B$104,0),MATCH(Y$16,'AEA2012 update'!$S$4:$Z$4,0)),INDEX('AEA2012 update'!$K$6:$R$104,MATCH($T83&amp;$U83,'AEA2012 update'!$A$6:$A$104&amp;'AEA2012 update'!$B$6:$B$104,0),MATCH(Y$16,'AEA2012 update'!$S$4:$Z$4,0)))</f>
        <v>570952.81096309063</v>
      </c>
      <c r="Z83" s="103">
        <f t="array" ref="Z83">IF(Z$18,INDEX('AEA2012 update'!$K$6:$R$104,MATCH($T83&amp;$R83,'AEA2012 update'!$A$6:$A$104&amp;'AEA2012 update'!$B$6:$B$104,0),MATCH(Z$16,'AEA2012 update'!$S$4:$Z$4,0)),INDEX('AEA2012 update'!$K$6:$R$104,MATCH($T83&amp;$U83,'AEA2012 update'!$A$6:$A$104&amp;'AEA2012 update'!$B$6:$B$104,0),MATCH(Z$16,'AEA2012 update'!$S$4:$Z$4,0)))</f>
        <v>586167.38460265577</v>
      </c>
      <c r="AA83" s="103">
        <f t="array" ref="AA83">IF(AA$18,INDEX('AEA2012 update'!$K$6:$R$104,MATCH($T83&amp;$R83,'AEA2012 update'!$A$6:$A$104&amp;'AEA2012 update'!$B$6:$B$104,0),MATCH(AA$16,'AEA2012 update'!$S$4:$Z$4,0)),INDEX('AEA2012 update'!$K$6:$R$104,MATCH($T83&amp;$U83,'AEA2012 update'!$A$6:$A$104&amp;'AEA2012 update'!$B$6:$B$104,0),MATCH(AA$16,'AEA2012 update'!$S$4:$Z$4,0)))</f>
        <v>601381.95824222104</v>
      </c>
      <c r="AB83" s="103">
        <f t="array" ref="AB83">IF(AB$18,INDEX('AEA2012 update'!$K$6:$R$104,MATCH($T83&amp;$R83,'AEA2012 update'!$A$6:$A$104&amp;'AEA2012 update'!$B$6:$B$104,0),MATCH(AB$16,'AEA2012 update'!$S$4:$Z$4,0)),INDEX('AEA2012 update'!$K$6:$R$104,MATCH($T83&amp;$U83,'AEA2012 update'!$A$6:$A$104&amp;'AEA2012 update'!$B$6:$B$104,0),MATCH(AB$16,'AEA2012 update'!$S$4:$Z$4,0)))</f>
        <v>621361.5428707269</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1636151.4442962299</v>
      </c>
      <c r="W84" s="103">
        <f t="array" ref="W84">IF(W$18,INDEX('AEA2012 update'!$K$6:$R$104,MATCH($T84&amp;$R84,'AEA2012 update'!$A$6:$A$104&amp;'AEA2012 update'!$B$6:$B$104,0),MATCH(W$16,'AEA2012 update'!$S$4:$Z$4,0)),INDEX('AEA2012 update'!$K$6:$R$104,MATCH($T84&amp;$U84,'AEA2012 update'!$A$6:$A$104&amp;'AEA2012 update'!$B$6:$B$104,0),MATCH(W$16,'AEA2012 update'!$S$4:$Z$4,0)))</f>
        <v>1073946.7583339994</v>
      </c>
      <c r="X84" s="103">
        <f t="array" ref="X84">IF(X$18,INDEX('AEA2012 update'!$K$6:$R$104,MATCH($T84&amp;$R84,'AEA2012 update'!$A$6:$A$104&amp;'AEA2012 update'!$B$6:$B$104,0),MATCH(X$16,'AEA2012 update'!$S$4:$Z$4,0)),INDEX('AEA2012 update'!$K$6:$R$104,MATCH($T84&amp;$U84,'AEA2012 update'!$A$6:$A$104&amp;'AEA2012 update'!$B$6:$B$104,0),MATCH(X$16,'AEA2012 update'!$S$4:$Z$4,0)))</f>
        <v>975194.95739002037</v>
      </c>
      <c r="Y84" s="103">
        <f t="array" ref="Y84">IF(Y$18,INDEX('AEA2012 update'!$K$6:$R$104,MATCH($T84&amp;$R84,'AEA2012 update'!$A$6:$A$104&amp;'AEA2012 update'!$B$6:$B$104,0),MATCH(Y$16,'AEA2012 update'!$S$4:$Z$4,0)),INDEX('AEA2012 update'!$K$6:$R$104,MATCH($T84&amp;$U84,'AEA2012 update'!$A$6:$A$104&amp;'AEA2012 update'!$B$6:$B$104,0),MATCH(Y$16,'AEA2012 update'!$S$4:$Z$4,0)))</f>
        <v>570952.81096309063</v>
      </c>
      <c r="Z84" s="103">
        <f t="array" ref="Z84">IF(Z$18,INDEX('AEA2012 update'!$K$6:$R$104,MATCH($T84&amp;$R84,'AEA2012 update'!$A$6:$A$104&amp;'AEA2012 update'!$B$6:$B$104,0),MATCH(Z$16,'AEA2012 update'!$S$4:$Z$4,0)),INDEX('AEA2012 update'!$K$6:$R$104,MATCH($T84&amp;$U84,'AEA2012 update'!$A$6:$A$104&amp;'AEA2012 update'!$B$6:$B$104,0),MATCH(Z$16,'AEA2012 update'!$S$4:$Z$4,0)))</f>
        <v>586167.38460265577</v>
      </c>
      <c r="AA84" s="103">
        <f t="array" ref="AA84">IF(AA$18,INDEX('AEA2012 update'!$K$6:$R$104,MATCH($T84&amp;$R84,'AEA2012 update'!$A$6:$A$104&amp;'AEA2012 update'!$B$6:$B$104,0),MATCH(AA$16,'AEA2012 update'!$S$4:$Z$4,0)),INDEX('AEA2012 update'!$K$6:$R$104,MATCH($T84&amp;$U84,'AEA2012 update'!$A$6:$A$104&amp;'AEA2012 update'!$B$6:$B$104,0),MATCH(AA$16,'AEA2012 update'!$S$4:$Z$4,0)))</f>
        <v>601381.95824222104</v>
      </c>
      <c r="AB84" s="103">
        <f t="array" ref="AB84">IF(AB$18,INDEX('AEA2012 update'!$K$6:$R$104,MATCH($T84&amp;$R84,'AEA2012 update'!$A$6:$A$104&amp;'AEA2012 update'!$B$6:$B$104,0),MATCH(AB$16,'AEA2012 update'!$S$4:$Z$4,0)),INDEX('AEA2012 update'!$K$6:$R$104,MATCH($T84&amp;$U84,'AEA2012 update'!$A$6:$A$104&amp;'AEA2012 update'!$B$6:$B$104,0),MATCH(AB$16,'AEA2012 update'!$S$4:$Z$4,0)))</f>
        <v>621361.5428707269</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8355229.278272992</v>
      </c>
      <c r="W85" s="103">
        <f t="array" ref="W85">IF(W$18,INDEX('AEA2012 update'!$K$6:$R$104,MATCH($T85&amp;$R85,'AEA2012 update'!$A$6:$A$104&amp;'AEA2012 update'!$B$6:$B$104,0),MATCH(W$16,'AEA2012 update'!$S$4:$Z$4,0)),INDEX('AEA2012 update'!$K$6:$R$104,MATCH($T85&amp;$U85,'AEA2012 update'!$A$6:$A$104&amp;'AEA2012 update'!$B$6:$B$104,0),MATCH(W$16,'AEA2012 update'!$S$4:$Z$4,0)))</f>
        <v>3579822.5277799983</v>
      </c>
      <c r="X85" s="103">
        <f t="array" ref="X85">IF(X$18,INDEX('AEA2012 update'!$K$6:$R$104,MATCH($T85&amp;$R85,'AEA2012 update'!$A$6:$A$104&amp;'AEA2012 update'!$B$6:$B$104,0),MATCH(X$16,'AEA2012 update'!$S$4:$Z$4,0)),INDEX('AEA2012 update'!$K$6:$R$104,MATCH($T85&amp;$U85,'AEA2012 update'!$A$6:$A$104&amp;'AEA2012 update'!$B$6:$B$104,0),MATCH(X$16,'AEA2012 update'!$S$4:$Z$4,0)))</f>
        <v>2820431.5710533736</v>
      </c>
      <c r="Y85" s="103">
        <f t="array" ref="Y85">IF(Y$18,INDEX('AEA2012 update'!$K$6:$R$104,MATCH($T85&amp;$R85,'AEA2012 update'!$A$6:$A$104&amp;'AEA2012 update'!$B$6:$B$104,0),MATCH(Y$16,'AEA2012 update'!$S$4:$Z$4,0)),INDEX('AEA2012 update'!$K$6:$R$104,MATCH($T85&amp;$U85,'AEA2012 update'!$A$6:$A$104&amp;'AEA2012 update'!$B$6:$B$104,0),MATCH(Y$16,'AEA2012 update'!$S$4:$Z$4,0)))</f>
        <v>570952.81096309063</v>
      </c>
      <c r="Z85" s="103">
        <f t="array" ref="Z85">IF(Z$18,INDEX('AEA2012 update'!$K$6:$R$104,MATCH($T85&amp;$R85,'AEA2012 update'!$A$6:$A$104&amp;'AEA2012 update'!$B$6:$B$104,0),MATCH(Z$16,'AEA2012 update'!$S$4:$Z$4,0)),INDEX('AEA2012 update'!$K$6:$R$104,MATCH($T85&amp;$U85,'AEA2012 update'!$A$6:$A$104&amp;'AEA2012 update'!$B$6:$B$104,0),MATCH(Z$16,'AEA2012 update'!$S$4:$Z$4,0)))</f>
        <v>586167.38460265577</v>
      </c>
      <c r="AA85" s="103">
        <f t="array" ref="AA85">IF(AA$18,INDEX('AEA2012 update'!$K$6:$R$104,MATCH($T85&amp;$R85,'AEA2012 update'!$A$6:$A$104&amp;'AEA2012 update'!$B$6:$B$104,0),MATCH(AA$16,'AEA2012 update'!$S$4:$Z$4,0)),INDEX('AEA2012 update'!$K$6:$R$104,MATCH($T85&amp;$U85,'AEA2012 update'!$A$6:$A$104&amp;'AEA2012 update'!$B$6:$B$104,0),MATCH(AA$16,'AEA2012 update'!$S$4:$Z$4,0)))</f>
        <v>601381.95824222104</v>
      </c>
      <c r="AB85" s="103">
        <f t="array" ref="AB85">IF(AB$18,INDEX('AEA2012 update'!$K$6:$R$104,MATCH($T85&amp;$R85,'AEA2012 update'!$A$6:$A$104&amp;'AEA2012 update'!$B$6:$B$104,0),MATCH(AB$16,'AEA2012 update'!$S$4:$Z$4,0)),INDEX('AEA2012 update'!$K$6:$R$104,MATCH($T85&amp;$U85,'AEA2012 update'!$A$6:$A$104&amp;'AEA2012 update'!$B$6:$B$104,0),MATCH(AB$16,'AEA2012 update'!$S$4:$Z$4,0)))</f>
        <v>621361.5428707269</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673891.27199202031</v>
      </c>
      <c r="W86" s="103">
        <f t="array" ref="W86">IF(W$18,INDEX('AEA2012 update'!$K$6:$R$104,MATCH($T86&amp;$R86,'AEA2012 update'!$A$6:$A$104&amp;'AEA2012 update'!$B$6:$B$104,0),MATCH(W$16,'AEA2012 update'!$S$4:$Z$4,0)),INDEX('AEA2012 update'!$K$6:$R$104,MATCH($T86&amp;$U86,'AEA2012 update'!$A$6:$A$104&amp;'AEA2012 update'!$B$6:$B$104,0),MATCH(W$16,'AEA2012 update'!$S$4:$Z$4,0)))</f>
        <v>663395.69588871428</v>
      </c>
      <c r="X86" s="103">
        <f t="array" ref="X86">IF(X$18,INDEX('AEA2012 update'!$K$6:$R$104,MATCH($T86&amp;$R86,'AEA2012 update'!$A$6:$A$104&amp;'AEA2012 update'!$B$6:$B$104,0),MATCH(X$16,'AEA2012 update'!$S$4:$Z$4,0)),INDEX('AEA2012 update'!$K$6:$R$104,MATCH($T86&amp;$U86,'AEA2012 update'!$A$6:$A$104&amp;'AEA2012 update'!$B$6:$B$104,0),MATCH(X$16,'AEA2012 update'!$S$4:$Z$4,0)))</f>
        <v>665698.18692593346</v>
      </c>
      <c r="Y86" s="103">
        <f t="array" ref="Y86">IF(Y$18,INDEX('AEA2012 update'!$K$6:$R$104,MATCH($T86&amp;$R86,'AEA2012 update'!$A$6:$A$104&amp;'AEA2012 update'!$B$6:$B$104,0),MATCH(Y$16,'AEA2012 update'!$S$4:$Z$4,0)),INDEX('AEA2012 update'!$K$6:$R$104,MATCH($T86&amp;$U86,'AEA2012 update'!$A$6:$A$104&amp;'AEA2012 update'!$B$6:$B$104,0),MATCH(Y$16,'AEA2012 update'!$S$4:$Z$4,0)))</f>
        <v>570952.81096309063</v>
      </c>
      <c r="Z86" s="103">
        <f t="array" ref="Z86">IF(Z$18,INDEX('AEA2012 update'!$K$6:$R$104,MATCH($T86&amp;$R86,'AEA2012 update'!$A$6:$A$104&amp;'AEA2012 update'!$B$6:$B$104,0),MATCH(Z$16,'AEA2012 update'!$S$4:$Z$4,0)),INDEX('AEA2012 update'!$K$6:$R$104,MATCH($T86&amp;$U86,'AEA2012 update'!$A$6:$A$104&amp;'AEA2012 update'!$B$6:$B$104,0),MATCH(Z$16,'AEA2012 update'!$S$4:$Z$4,0)))</f>
        <v>586167.38460265577</v>
      </c>
      <c r="AA86" s="103">
        <f t="array" ref="AA86">IF(AA$18,INDEX('AEA2012 update'!$K$6:$R$104,MATCH($T86&amp;$R86,'AEA2012 update'!$A$6:$A$104&amp;'AEA2012 update'!$B$6:$B$104,0),MATCH(AA$16,'AEA2012 update'!$S$4:$Z$4,0)),INDEX('AEA2012 update'!$K$6:$R$104,MATCH($T86&amp;$U86,'AEA2012 update'!$A$6:$A$104&amp;'AEA2012 update'!$B$6:$B$104,0),MATCH(AA$16,'AEA2012 update'!$S$4:$Z$4,0)))</f>
        <v>601381.95824222104</v>
      </c>
      <c r="AB86" s="103">
        <f t="array" ref="AB86">IF(AB$18,INDEX('AEA2012 update'!$K$6:$R$104,MATCH($T86&amp;$R86,'AEA2012 update'!$A$6:$A$104&amp;'AEA2012 update'!$B$6:$B$104,0),MATCH(AB$16,'AEA2012 update'!$S$4:$Z$4,0)),INDEX('AEA2012 update'!$K$6:$R$104,MATCH($T86&amp;$U86,'AEA2012 update'!$A$6:$A$104&amp;'AEA2012 update'!$B$6:$B$104,0),MATCH(AB$16,'AEA2012 update'!$S$4:$Z$4,0)))</f>
        <v>621361.5428707269</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956363.0638347615</v>
      </c>
      <c r="W88" s="103">
        <f t="array" ref="W88">IF(W$18,INDEX('AEA2012 update'!$K$6:$R$104,MATCH($T88&amp;$R88,'AEA2012 update'!$A$6:$A$104&amp;'AEA2012 update'!$B$6:$B$104,0),MATCH(W$16,'AEA2012 update'!$S$4:$Z$4,0)),INDEX('AEA2012 update'!$K$6:$R$104,MATCH($T88&amp;$U88,'AEA2012 update'!$A$6:$A$104&amp;'AEA2012 update'!$B$6:$B$104,0),MATCH(W$16,'AEA2012 update'!$S$4:$Z$4,0)))</f>
        <v>1163442.3215284995</v>
      </c>
      <c r="X88" s="103">
        <f t="array" ref="X88">IF(X$18,INDEX('AEA2012 update'!$K$6:$R$104,MATCH($T88&amp;$R88,'AEA2012 update'!$A$6:$A$104&amp;'AEA2012 update'!$B$6:$B$104,0),MATCH(X$16,'AEA2012 update'!$S$4:$Z$4,0)),INDEX('AEA2012 update'!$K$6:$R$104,MATCH($T88&amp;$U88,'AEA2012 update'!$A$6:$A$104&amp;'AEA2012 update'!$B$6:$B$104,0),MATCH(X$16,'AEA2012 update'!$S$4:$Z$4,0)))</f>
        <v>1195505.6816828223</v>
      </c>
      <c r="Y88" s="103">
        <f t="array" ref="Y88">IF(Y$18,INDEX('AEA2012 update'!$K$6:$R$104,MATCH($T88&amp;$R88,'AEA2012 update'!$A$6:$A$104&amp;'AEA2012 update'!$B$6:$B$104,0),MATCH(Y$16,'AEA2012 update'!$S$4:$Z$4,0)),INDEX('AEA2012 update'!$K$6:$R$104,MATCH($T88&amp;$U88,'AEA2012 update'!$A$6:$A$104&amp;'AEA2012 update'!$B$6:$B$104,0),MATCH(Y$16,'AEA2012 update'!$S$4:$Z$4,0)))</f>
        <v>1227569.0418371451</v>
      </c>
      <c r="Z88" s="103">
        <f t="array" ref="Z88">IF(Z$18,INDEX('AEA2012 update'!$K$6:$R$104,MATCH($T88&amp;$R88,'AEA2012 update'!$A$6:$A$104&amp;'AEA2012 update'!$B$6:$B$104,0),MATCH(Z$16,'AEA2012 update'!$S$4:$Z$4,0)),INDEX('AEA2012 update'!$K$6:$R$104,MATCH($T88&amp;$U88,'AEA2012 update'!$A$6:$A$104&amp;'AEA2012 update'!$B$6:$B$104,0),MATCH(Z$16,'AEA2012 update'!$S$4:$Z$4,0)))</f>
        <v>1253597.2478984545</v>
      </c>
      <c r="AA88" s="103">
        <f t="array" ref="AA88">IF(AA$18,INDEX('AEA2012 update'!$K$6:$R$104,MATCH($T88&amp;$R88,'AEA2012 update'!$A$6:$A$104&amp;'AEA2012 update'!$B$6:$B$104,0),MATCH(AA$16,'AEA2012 update'!$S$4:$Z$4,0)),INDEX('AEA2012 update'!$K$6:$R$104,MATCH($T88&amp;$U88,'AEA2012 update'!$A$6:$A$104&amp;'AEA2012 update'!$B$6:$B$104,0),MATCH(AA$16,'AEA2012 update'!$S$4:$Z$4,0)))</f>
        <v>1279625.453959764</v>
      </c>
      <c r="AB88" s="103">
        <f t="array" ref="AB88">IF(AB$18,INDEX('AEA2012 update'!$K$6:$R$104,MATCH($T88&amp;$R88,'AEA2012 update'!$A$6:$A$104&amp;'AEA2012 update'!$B$6:$B$104,0),MATCH(AB$16,'AEA2012 update'!$S$4:$Z$4,0)),INDEX('AEA2012 update'!$K$6:$R$104,MATCH($T88&amp;$U88,'AEA2012 update'!$A$6:$A$104&amp;'AEA2012 update'!$B$6:$B$104,0),MATCH(AB$16,'AEA2012 update'!$S$4:$Z$4,0)))</f>
        <v>1327574.0610755279</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8042741.4583561001</v>
      </c>
      <c r="W89" s="103">
        <f t="array" ref="W89">IF(W$18,INDEX('AEA2012 update'!$K$6:$R$104,MATCH($T89&amp;$R89,'AEA2012 update'!$A$6:$A$104&amp;'AEA2012 update'!$B$6:$B$104,0),MATCH(W$16,'AEA2012 update'!$S$4:$Z$4,0)),INDEX('AEA2012 update'!$K$6:$R$104,MATCH($T89&amp;$U89,'AEA2012 update'!$A$6:$A$104&amp;'AEA2012 update'!$B$6:$B$104,0),MATCH(W$16,'AEA2012 update'!$S$4:$Z$4,0)))</f>
        <v>3579822.5277799987</v>
      </c>
      <c r="X89" s="103">
        <f t="array" ref="X89">IF(X$18,INDEX('AEA2012 update'!$K$6:$R$104,MATCH($T89&amp;$R89,'AEA2012 update'!$A$6:$A$104&amp;'AEA2012 update'!$B$6:$B$104,0),MATCH(X$16,'AEA2012 update'!$S$4:$Z$4,0)),INDEX('AEA2012 update'!$K$6:$R$104,MATCH($T89&amp;$U89,'AEA2012 update'!$A$6:$A$104&amp;'AEA2012 update'!$B$6:$B$104,0),MATCH(X$16,'AEA2012 update'!$S$4:$Z$4,0)))</f>
        <v>2873517.7770202667</v>
      </c>
      <c r="Y89" s="103">
        <f t="array" ref="Y89">IF(Y$18,INDEX('AEA2012 update'!$K$6:$R$104,MATCH($T89&amp;$R89,'AEA2012 update'!$A$6:$A$104&amp;'AEA2012 update'!$B$6:$B$104,0),MATCH(Y$16,'AEA2012 update'!$S$4:$Z$4,0)),INDEX('AEA2012 update'!$K$6:$R$104,MATCH($T89&amp;$U89,'AEA2012 update'!$A$6:$A$104&amp;'AEA2012 update'!$B$6:$B$104,0),MATCH(Y$16,'AEA2012 update'!$S$4:$Z$4,0)))</f>
        <v>1227569.0418371451</v>
      </c>
      <c r="Z89" s="103">
        <f t="array" ref="Z89">IF(Z$18,INDEX('AEA2012 update'!$K$6:$R$104,MATCH($T89&amp;$R89,'AEA2012 update'!$A$6:$A$104&amp;'AEA2012 update'!$B$6:$B$104,0),MATCH(Z$16,'AEA2012 update'!$S$4:$Z$4,0)),INDEX('AEA2012 update'!$K$6:$R$104,MATCH($T89&amp;$U89,'AEA2012 update'!$A$6:$A$104&amp;'AEA2012 update'!$B$6:$B$104,0),MATCH(Z$16,'AEA2012 update'!$S$4:$Z$4,0)))</f>
        <v>1253597.2478984545</v>
      </c>
      <c r="AA89" s="103">
        <f t="array" ref="AA89">IF(AA$18,INDEX('AEA2012 update'!$K$6:$R$104,MATCH($T89&amp;$R89,'AEA2012 update'!$A$6:$A$104&amp;'AEA2012 update'!$B$6:$B$104,0),MATCH(AA$16,'AEA2012 update'!$S$4:$Z$4,0)),INDEX('AEA2012 update'!$K$6:$R$104,MATCH($T89&amp;$U89,'AEA2012 update'!$A$6:$A$104&amp;'AEA2012 update'!$B$6:$B$104,0),MATCH(AA$16,'AEA2012 update'!$S$4:$Z$4,0)))</f>
        <v>1279625.453959764</v>
      </c>
      <c r="AB89" s="103">
        <f t="array" ref="AB89">IF(AB$18,INDEX('AEA2012 update'!$K$6:$R$104,MATCH($T89&amp;$R89,'AEA2012 update'!$A$6:$A$104&amp;'AEA2012 update'!$B$6:$B$104,0),MATCH(AB$16,'AEA2012 update'!$S$4:$Z$4,0)),INDEX('AEA2012 update'!$K$6:$R$104,MATCH($T89&amp;$U89,'AEA2012 update'!$A$6:$A$104&amp;'AEA2012 update'!$B$6:$B$104,0),MATCH(AB$16,'AEA2012 update'!$S$4:$Z$4,0)))</f>
        <v>1327574.0610755279</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3828882.6328785373</v>
      </c>
      <c r="W90" s="103">
        <f t="array" ref="W90">IF(W$18,INDEX('AEA2012 update'!$K$6:$R$104,MATCH($T90&amp;$R90,'AEA2012 update'!$A$6:$A$104&amp;'AEA2012 update'!$B$6:$B$104,0),MATCH(W$16,'AEA2012 update'!$S$4:$Z$4,0)),INDEX('AEA2012 update'!$K$6:$R$104,MATCH($T90&amp;$U90,'AEA2012 update'!$A$6:$A$104&amp;'AEA2012 update'!$B$6:$B$104,0),MATCH(W$16,'AEA2012 update'!$S$4:$Z$4,0)))</f>
        <v>3923336.7782480051</v>
      </c>
      <c r="X90" s="103">
        <f t="array" ref="X90">IF(X$18,INDEX('AEA2012 update'!$K$6:$R$104,MATCH($T90&amp;$R90,'AEA2012 update'!$A$6:$A$104&amp;'AEA2012 update'!$B$6:$B$104,0),MATCH(X$16,'AEA2012 update'!$S$4:$Z$4,0)),INDEX('AEA2012 update'!$K$6:$R$104,MATCH($T90&amp;$U90,'AEA2012 update'!$A$6:$A$104&amp;'AEA2012 update'!$B$6:$B$104,0),MATCH(X$16,'AEA2012 update'!$S$4:$Z$4,0)))</f>
        <v>3932219.397730872</v>
      </c>
      <c r="Y90" s="103">
        <f t="array" ref="Y90">IF(Y$18,INDEX('AEA2012 update'!$K$6:$R$104,MATCH($T90&amp;$R90,'AEA2012 update'!$A$6:$A$104&amp;'AEA2012 update'!$B$6:$B$104,0),MATCH(Y$16,'AEA2012 update'!$S$4:$Z$4,0)),INDEX('AEA2012 update'!$K$6:$R$104,MATCH($T90&amp;$U90,'AEA2012 update'!$A$6:$A$104&amp;'AEA2012 update'!$B$6:$B$104,0),MATCH(Y$16,'AEA2012 update'!$S$4:$Z$4,0)))</f>
        <v>1227569.0418371451</v>
      </c>
      <c r="Z90" s="103">
        <f t="array" ref="Z90">IF(Z$18,INDEX('AEA2012 update'!$K$6:$R$104,MATCH($T90&amp;$R90,'AEA2012 update'!$A$6:$A$104&amp;'AEA2012 update'!$B$6:$B$104,0),MATCH(Z$16,'AEA2012 update'!$S$4:$Z$4,0)),INDEX('AEA2012 update'!$K$6:$R$104,MATCH($T90&amp;$U90,'AEA2012 update'!$A$6:$A$104&amp;'AEA2012 update'!$B$6:$B$104,0),MATCH(Z$16,'AEA2012 update'!$S$4:$Z$4,0)))</f>
        <v>1253597.2478984545</v>
      </c>
      <c r="AA90" s="103">
        <f t="array" ref="AA90">IF(AA$18,INDEX('AEA2012 update'!$K$6:$R$104,MATCH($T90&amp;$R90,'AEA2012 update'!$A$6:$A$104&amp;'AEA2012 update'!$B$6:$B$104,0),MATCH(AA$16,'AEA2012 update'!$S$4:$Z$4,0)),INDEX('AEA2012 update'!$K$6:$R$104,MATCH($T90&amp;$U90,'AEA2012 update'!$A$6:$A$104&amp;'AEA2012 update'!$B$6:$B$104,0),MATCH(AA$16,'AEA2012 update'!$S$4:$Z$4,0)))</f>
        <v>1279625.453959764</v>
      </c>
      <c r="AB90" s="103">
        <f t="array" ref="AB90">IF(AB$18,INDEX('AEA2012 update'!$K$6:$R$104,MATCH($T90&amp;$R90,'AEA2012 update'!$A$6:$A$104&amp;'AEA2012 update'!$B$6:$B$104,0),MATCH(AB$16,'AEA2012 update'!$S$4:$Z$4,0)),INDEX('AEA2012 update'!$K$6:$R$104,MATCH($T90&amp;$U90,'AEA2012 update'!$A$6:$A$104&amp;'AEA2012 update'!$B$6:$B$104,0),MATCH(AB$16,'AEA2012 update'!$S$4:$Z$4,0)))</f>
        <v>1327574.0610755279</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741559.52682539471</v>
      </c>
      <c r="W92" s="103">
        <f t="array" ref="W92">IF(W$18,INDEX('AEA2012 update'!$K$6:$R$104,MATCH($T92&amp;$R92,'AEA2012 update'!$A$6:$A$104&amp;'AEA2012 update'!$B$6:$B$104,0),MATCH(W$16,'AEA2012 update'!$S$4:$Z$4,0)),INDEX('AEA2012 update'!$K$6:$R$104,MATCH($T92&amp;$U92,'AEA2012 update'!$A$6:$A$104&amp;'AEA2012 update'!$B$6:$B$104,0),MATCH(W$16,'AEA2012 update'!$S$4:$Z$4,0)))</f>
        <v>894955.63194499956</v>
      </c>
      <c r="X92" s="103">
        <f t="array" ref="X92">IF(X$18,INDEX('AEA2012 update'!$K$6:$R$104,MATCH($T92&amp;$R92,'AEA2012 update'!$A$6:$A$104&amp;'AEA2012 update'!$B$6:$B$104,0),MATCH(X$16,'AEA2012 update'!$S$4:$Z$4,0)),INDEX('AEA2012 update'!$K$6:$R$104,MATCH($T92&amp;$U92,'AEA2012 update'!$A$6:$A$104&amp;'AEA2012 update'!$B$6:$B$104,0),MATCH(X$16,'AEA2012 update'!$S$4:$Z$4,0)))</f>
        <v>923899.17935124564</v>
      </c>
      <c r="Y92" s="103">
        <f t="array" ref="Y92">IF(Y$18,INDEX('AEA2012 update'!$K$6:$R$104,MATCH($T92&amp;$R92,'AEA2012 update'!$A$6:$A$104&amp;'AEA2012 update'!$B$6:$B$104,0),MATCH(Y$16,'AEA2012 update'!$S$4:$Z$4,0)),INDEX('AEA2012 update'!$K$6:$R$104,MATCH($T92&amp;$U92,'AEA2012 update'!$A$6:$A$104&amp;'AEA2012 update'!$B$6:$B$104,0),MATCH(Y$16,'AEA2012 update'!$S$4:$Z$4,0)))</f>
        <v>952842.72675749194</v>
      </c>
      <c r="Z92" s="103">
        <f t="array" ref="Z92">IF(Z$18,INDEX('AEA2012 update'!$K$6:$R$104,MATCH($T92&amp;$R92,'AEA2012 update'!$A$6:$A$104&amp;'AEA2012 update'!$B$6:$B$104,0),MATCH(Z$16,'AEA2012 update'!$S$4:$Z$4,0)),INDEX('AEA2012 update'!$K$6:$R$104,MATCH($T92&amp;$U92,'AEA2012 update'!$A$6:$A$104&amp;'AEA2012 update'!$B$6:$B$104,0),MATCH(Z$16,'AEA2012 update'!$S$4:$Z$4,0)))</f>
        <v>971419.63513485843</v>
      </c>
      <c r="AA92" s="103">
        <f t="array" ref="AA92">IF(AA$18,INDEX('AEA2012 update'!$K$6:$R$104,MATCH($T92&amp;$R92,'AEA2012 update'!$A$6:$A$104&amp;'AEA2012 update'!$B$6:$B$104,0),MATCH(AA$16,'AEA2012 update'!$S$4:$Z$4,0)),INDEX('AEA2012 update'!$K$6:$R$104,MATCH($T92&amp;$U92,'AEA2012 update'!$A$6:$A$104&amp;'AEA2012 update'!$B$6:$B$104,0),MATCH(AA$16,'AEA2012 update'!$S$4:$Z$4,0)))</f>
        <v>989996.5435122248</v>
      </c>
      <c r="AB92" s="103">
        <f t="array" ref="AB92">IF(AB$18,INDEX('AEA2012 update'!$K$6:$R$104,MATCH($T92&amp;$R92,'AEA2012 update'!$A$6:$A$104&amp;'AEA2012 update'!$B$6:$B$104,0),MATCH(AB$16,'AEA2012 update'!$S$4:$Z$4,0)),INDEX('AEA2012 update'!$K$6:$R$104,MATCH($T92&amp;$U92,'AEA2012 update'!$A$6:$A$104&amp;'AEA2012 update'!$B$6:$B$104,0),MATCH(AB$16,'AEA2012 update'!$S$4:$Z$4,0)))</f>
        <v>1021986.1260127533</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8255760.0731620239</v>
      </c>
      <c r="W93" s="103">
        <f t="array" ref="W93">IF(W$18,INDEX('AEA2012 update'!$K$6:$R$104,MATCH($T93&amp;$R93,'AEA2012 update'!$A$6:$A$104&amp;'AEA2012 update'!$B$6:$B$104,0),MATCH(W$16,'AEA2012 update'!$S$4:$Z$4,0)),INDEX('AEA2012 update'!$K$6:$R$104,MATCH($T93&amp;$U93,'AEA2012 update'!$A$6:$A$104&amp;'AEA2012 update'!$B$6:$B$104,0),MATCH(W$16,'AEA2012 update'!$S$4:$Z$4,0)))</f>
        <v>3579822.5277799983</v>
      </c>
      <c r="X93" s="103">
        <f t="array" ref="X93">IF(X$18,INDEX('AEA2012 update'!$K$6:$R$104,MATCH($T93&amp;$R93,'AEA2012 update'!$A$6:$A$104&amp;'AEA2012 update'!$B$6:$B$104,0),MATCH(X$16,'AEA2012 update'!$S$4:$Z$4,0)),INDEX('AEA2012 update'!$K$6:$R$104,MATCH($T93&amp;$U93,'AEA2012 update'!$A$6:$A$104&amp;'AEA2012 update'!$B$6:$B$104,0),MATCH(X$16,'AEA2012 update'!$S$4:$Z$4,0)))</f>
        <v>2837547.8965716679</v>
      </c>
      <c r="Y93" s="103">
        <f t="array" ref="Y93">IF(Y$18,INDEX('AEA2012 update'!$K$6:$R$104,MATCH($T93&amp;$R93,'AEA2012 update'!$A$6:$A$104&amp;'AEA2012 update'!$B$6:$B$104,0),MATCH(Y$16,'AEA2012 update'!$S$4:$Z$4,0)),INDEX('AEA2012 update'!$K$6:$R$104,MATCH($T93&amp;$U93,'AEA2012 update'!$A$6:$A$104&amp;'AEA2012 update'!$B$6:$B$104,0),MATCH(Y$16,'AEA2012 update'!$S$4:$Z$4,0)))</f>
        <v>952842.72675749194</v>
      </c>
      <c r="Z93" s="103">
        <f t="array" ref="Z93">IF(Z$18,INDEX('AEA2012 update'!$K$6:$R$104,MATCH($T93&amp;$R93,'AEA2012 update'!$A$6:$A$104&amp;'AEA2012 update'!$B$6:$B$104,0),MATCH(Z$16,'AEA2012 update'!$S$4:$Z$4,0)),INDEX('AEA2012 update'!$K$6:$R$104,MATCH($T93&amp;$U93,'AEA2012 update'!$A$6:$A$104&amp;'AEA2012 update'!$B$6:$B$104,0),MATCH(Z$16,'AEA2012 update'!$S$4:$Z$4,0)))</f>
        <v>971419.63513485843</v>
      </c>
      <c r="AA93" s="103">
        <f t="array" ref="AA93">IF(AA$18,INDEX('AEA2012 update'!$K$6:$R$104,MATCH($T93&amp;$R93,'AEA2012 update'!$A$6:$A$104&amp;'AEA2012 update'!$B$6:$B$104,0),MATCH(AA$16,'AEA2012 update'!$S$4:$Z$4,0)),INDEX('AEA2012 update'!$K$6:$R$104,MATCH($T93&amp;$U93,'AEA2012 update'!$A$6:$A$104&amp;'AEA2012 update'!$B$6:$B$104,0),MATCH(AA$16,'AEA2012 update'!$S$4:$Z$4,0)))</f>
        <v>989996.5435122248</v>
      </c>
      <c r="AB93" s="103">
        <f t="array" ref="AB93">IF(AB$18,INDEX('AEA2012 update'!$K$6:$R$104,MATCH($T93&amp;$R93,'AEA2012 update'!$A$6:$A$104&amp;'AEA2012 update'!$B$6:$B$104,0),MATCH(AB$16,'AEA2012 update'!$S$4:$Z$4,0)),INDEX('AEA2012 update'!$K$6:$R$104,MATCH($T93&amp;$U93,'AEA2012 update'!$A$6:$A$104&amp;'AEA2012 update'!$B$6:$B$104,0),MATCH(AB$16,'AEA2012 update'!$S$4:$Z$4,0)))</f>
        <v>1021986.1260127533</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3503687.3203862505</v>
      </c>
      <c r="W94" s="103">
        <f t="array" ref="W94">IF(W$18,INDEX('AEA2012 update'!$K$6:$R$104,MATCH($T94&amp;$R94,'AEA2012 update'!$A$6:$A$104&amp;'AEA2012 update'!$B$6:$B$104,0),MATCH(W$16,'AEA2012 update'!$S$4:$Z$4,0)),INDEX('AEA2012 update'!$K$6:$R$104,MATCH($T94&amp;$U94,'AEA2012 update'!$A$6:$A$104&amp;'AEA2012 update'!$B$6:$B$104,0),MATCH(W$16,'AEA2012 update'!$S$4:$Z$4,0)))</f>
        <v>3579822.5277799983</v>
      </c>
      <c r="X94" s="103">
        <f t="array" ref="X94">IF(X$18,INDEX('AEA2012 update'!$K$6:$R$104,MATCH($T94&amp;$R94,'AEA2012 update'!$A$6:$A$104&amp;'AEA2012 update'!$B$6:$B$104,0),MATCH(X$16,'AEA2012 update'!$S$4:$Z$4,0)),INDEX('AEA2012 update'!$K$6:$R$104,MATCH($T94&amp;$U94,'AEA2012 update'!$A$6:$A$104&amp;'AEA2012 update'!$B$6:$B$104,0),MATCH(X$16,'AEA2012 update'!$S$4:$Z$4,0)))</f>
        <v>3600432.9692446296</v>
      </c>
      <c r="Y94" s="103">
        <f t="array" ref="Y94">IF(Y$18,INDEX('AEA2012 update'!$K$6:$R$104,MATCH($T94&amp;$R94,'AEA2012 update'!$A$6:$A$104&amp;'AEA2012 update'!$B$6:$B$104,0),MATCH(Y$16,'AEA2012 update'!$S$4:$Z$4,0)),INDEX('AEA2012 update'!$K$6:$R$104,MATCH($T94&amp;$U94,'AEA2012 update'!$A$6:$A$104&amp;'AEA2012 update'!$B$6:$B$104,0),MATCH(Y$16,'AEA2012 update'!$S$4:$Z$4,0)))</f>
        <v>952842.72675749194</v>
      </c>
      <c r="Z94" s="103">
        <f t="array" ref="Z94">IF(Z$18,INDEX('AEA2012 update'!$K$6:$R$104,MATCH($T94&amp;$R94,'AEA2012 update'!$A$6:$A$104&amp;'AEA2012 update'!$B$6:$B$104,0),MATCH(Z$16,'AEA2012 update'!$S$4:$Z$4,0)),INDEX('AEA2012 update'!$K$6:$R$104,MATCH($T94&amp;$U94,'AEA2012 update'!$A$6:$A$104&amp;'AEA2012 update'!$B$6:$B$104,0),MATCH(Z$16,'AEA2012 update'!$S$4:$Z$4,0)))</f>
        <v>971419.63513485843</v>
      </c>
      <c r="AA94" s="103">
        <f t="array" ref="AA94">IF(AA$18,INDEX('AEA2012 update'!$K$6:$R$104,MATCH($T94&amp;$R94,'AEA2012 update'!$A$6:$A$104&amp;'AEA2012 update'!$B$6:$B$104,0),MATCH(AA$16,'AEA2012 update'!$S$4:$Z$4,0)),INDEX('AEA2012 update'!$K$6:$R$104,MATCH($T94&amp;$U94,'AEA2012 update'!$A$6:$A$104&amp;'AEA2012 update'!$B$6:$B$104,0),MATCH(AA$16,'AEA2012 update'!$S$4:$Z$4,0)))</f>
        <v>989996.5435122248</v>
      </c>
      <c r="AB94" s="103">
        <f t="array" ref="AB94">IF(AB$18,INDEX('AEA2012 update'!$K$6:$R$104,MATCH($T94&amp;$R94,'AEA2012 update'!$A$6:$A$104&amp;'AEA2012 update'!$B$6:$B$104,0),MATCH(AB$16,'AEA2012 update'!$S$4:$Z$4,0)),INDEX('AEA2012 update'!$K$6:$R$104,MATCH($T94&amp;$U94,'AEA2012 update'!$A$6:$A$104&amp;'AEA2012 update'!$B$6:$B$104,0),MATCH(AB$16,'AEA2012 update'!$S$4:$Z$4,0)))</f>
        <v>1021986.1260127533</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741559.52682539471</v>
      </c>
      <c r="W96" s="103">
        <f t="array" ref="W96">IF(W$18,INDEX('AEA2012 update'!$K$6:$R$104,MATCH($T96&amp;$R96,'AEA2012 update'!$A$6:$A$104&amp;'AEA2012 update'!$B$6:$B$104,0),MATCH(W$16,'AEA2012 update'!$S$4:$Z$4,0)),INDEX('AEA2012 update'!$K$6:$R$104,MATCH($T96&amp;$U96,'AEA2012 update'!$A$6:$A$104&amp;'AEA2012 update'!$B$6:$B$104,0),MATCH(W$16,'AEA2012 update'!$S$4:$Z$4,0)))</f>
        <v>894955.63194499956</v>
      </c>
      <c r="X96" s="103">
        <f t="array" ref="X96">IF(X$18,INDEX('AEA2012 update'!$K$6:$R$104,MATCH($T96&amp;$R96,'AEA2012 update'!$A$6:$A$104&amp;'AEA2012 update'!$B$6:$B$104,0),MATCH(X$16,'AEA2012 update'!$S$4:$Z$4,0)),INDEX('AEA2012 update'!$K$6:$R$104,MATCH($T96&amp;$U96,'AEA2012 update'!$A$6:$A$104&amp;'AEA2012 update'!$B$6:$B$104,0),MATCH(X$16,'AEA2012 update'!$S$4:$Z$4,0)))</f>
        <v>923899.17935124564</v>
      </c>
      <c r="Y96" s="103">
        <f t="array" ref="Y96">IF(Y$18,INDEX('AEA2012 update'!$K$6:$R$104,MATCH($T96&amp;$R96,'AEA2012 update'!$A$6:$A$104&amp;'AEA2012 update'!$B$6:$B$104,0),MATCH(Y$16,'AEA2012 update'!$S$4:$Z$4,0)),INDEX('AEA2012 update'!$K$6:$R$104,MATCH($T96&amp;$U96,'AEA2012 update'!$A$6:$A$104&amp;'AEA2012 update'!$B$6:$B$104,0),MATCH(Y$16,'AEA2012 update'!$S$4:$Z$4,0)))</f>
        <v>952842.72675749194</v>
      </c>
      <c r="Z96" s="103">
        <f t="array" ref="Z96">IF(Z$18,INDEX('AEA2012 update'!$K$6:$R$104,MATCH($T96&amp;$R96,'AEA2012 update'!$A$6:$A$104&amp;'AEA2012 update'!$B$6:$B$104,0),MATCH(Z$16,'AEA2012 update'!$S$4:$Z$4,0)),INDEX('AEA2012 update'!$K$6:$R$104,MATCH($T96&amp;$U96,'AEA2012 update'!$A$6:$A$104&amp;'AEA2012 update'!$B$6:$B$104,0),MATCH(Z$16,'AEA2012 update'!$S$4:$Z$4,0)))</f>
        <v>971419.63513485843</v>
      </c>
      <c r="AA96" s="103">
        <f t="array" ref="AA96">IF(AA$18,INDEX('AEA2012 update'!$K$6:$R$104,MATCH($T96&amp;$R96,'AEA2012 update'!$A$6:$A$104&amp;'AEA2012 update'!$B$6:$B$104,0),MATCH(AA$16,'AEA2012 update'!$S$4:$Z$4,0)),INDEX('AEA2012 update'!$K$6:$R$104,MATCH($T96&amp;$U96,'AEA2012 update'!$A$6:$A$104&amp;'AEA2012 update'!$B$6:$B$104,0),MATCH(AA$16,'AEA2012 update'!$S$4:$Z$4,0)))</f>
        <v>989996.5435122248</v>
      </c>
      <c r="AB96" s="103">
        <f t="array" ref="AB96">IF(AB$18,INDEX('AEA2012 update'!$K$6:$R$104,MATCH($T96&amp;$R96,'AEA2012 update'!$A$6:$A$104&amp;'AEA2012 update'!$B$6:$B$104,0),MATCH(AB$16,'AEA2012 update'!$S$4:$Z$4,0)),INDEX('AEA2012 update'!$K$6:$R$104,MATCH($T96&amp;$U96,'AEA2012 update'!$A$6:$A$104&amp;'AEA2012 update'!$B$6:$B$104,0),MATCH(AB$16,'AEA2012 update'!$S$4:$Z$4,0)))</f>
        <v>1021986.1260127533</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8255760.0731620239</v>
      </c>
      <c r="W97" s="103">
        <f t="array" ref="W97">IF(W$18,INDEX('AEA2012 update'!$K$6:$R$104,MATCH($T97&amp;$R97,'AEA2012 update'!$A$6:$A$104&amp;'AEA2012 update'!$B$6:$B$104,0),MATCH(W$16,'AEA2012 update'!$S$4:$Z$4,0)),INDEX('AEA2012 update'!$K$6:$R$104,MATCH($T97&amp;$U97,'AEA2012 update'!$A$6:$A$104&amp;'AEA2012 update'!$B$6:$B$104,0),MATCH(W$16,'AEA2012 update'!$S$4:$Z$4,0)))</f>
        <v>3579822.5277799983</v>
      </c>
      <c r="X97" s="103">
        <f t="array" ref="X97">IF(X$18,INDEX('AEA2012 update'!$K$6:$R$104,MATCH($T97&amp;$R97,'AEA2012 update'!$A$6:$A$104&amp;'AEA2012 update'!$B$6:$B$104,0),MATCH(X$16,'AEA2012 update'!$S$4:$Z$4,0)),INDEX('AEA2012 update'!$K$6:$R$104,MATCH($T97&amp;$U97,'AEA2012 update'!$A$6:$A$104&amp;'AEA2012 update'!$B$6:$B$104,0),MATCH(X$16,'AEA2012 update'!$S$4:$Z$4,0)))</f>
        <v>2837547.8965716679</v>
      </c>
      <c r="Y97" s="103">
        <f t="array" ref="Y97">IF(Y$18,INDEX('AEA2012 update'!$K$6:$R$104,MATCH($T97&amp;$R97,'AEA2012 update'!$A$6:$A$104&amp;'AEA2012 update'!$B$6:$B$104,0),MATCH(Y$16,'AEA2012 update'!$S$4:$Z$4,0)),INDEX('AEA2012 update'!$K$6:$R$104,MATCH($T97&amp;$U97,'AEA2012 update'!$A$6:$A$104&amp;'AEA2012 update'!$B$6:$B$104,0),MATCH(Y$16,'AEA2012 update'!$S$4:$Z$4,0)))</f>
        <v>952842.72675749194</v>
      </c>
      <c r="Z97" s="103">
        <f t="array" ref="Z97">IF(Z$18,INDEX('AEA2012 update'!$K$6:$R$104,MATCH($T97&amp;$R97,'AEA2012 update'!$A$6:$A$104&amp;'AEA2012 update'!$B$6:$B$104,0),MATCH(Z$16,'AEA2012 update'!$S$4:$Z$4,0)),INDEX('AEA2012 update'!$K$6:$R$104,MATCH($T97&amp;$U97,'AEA2012 update'!$A$6:$A$104&amp;'AEA2012 update'!$B$6:$B$104,0),MATCH(Z$16,'AEA2012 update'!$S$4:$Z$4,0)))</f>
        <v>971419.63513485843</v>
      </c>
      <c r="AA97" s="103">
        <f t="array" ref="AA97">IF(AA$18,INDEX('AEA2012 update'!$K$6:$R$104,MATCH($T97&amp;$R97,'AEA2012 update'!$A$6:$A$104&amp;'AEA2012 update'!$B$6:$B$104,0),MATCH(AA$16,'AEA2012 update'!$S$4:$Z$4,0)),INDEX('AEA2012 update'!$K$6:$R$104,MATCH($T97&amp;$U97,'AEA2012 update'!$A$6:$A$104&amp;'AEA2012 update'!$B$6:$B$104,0),MATCH(AA$16,'AEA2012 update'!$S$4:$Z$4,0)))</f>
        <v>989996.5435122248</v>
      </c>
      <c r="AB97" s="103">
        <f t="array" ref="AB97">IF(AB$18,INDEX('AEA2012 update'!$K$6:$R$104,MATCH($T97&amp;$R97,'AEA2012 update'!$A$6:$A$104&amp;'AEA2012 update'!$B$6:$B$104,0),MATCH(AB$16,'AEA2012 update'!$S$4:$Z$4,0)),INDEX('AEA2012 update'!$K$6:$R$104,MATCH($T97&amp;$U97,'AEA2012 update'!$A$6:$A$104&amp;'AEA2012 update'!$B$6:$B$104,0),MATCH(AB$16,'AEA2012 update'!$S$4:$Z$4,0)))</f>
        <v>1021986.1260127533</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3503687.3203862505</v>
      </c>
      <c r="W98" s="103">
        <f t="array" ref="W98">IF(W$18,INDEX('AEA2012 update'!$K$6:$R$104,MATCH($T98&amp;$R98,'AEA2012 update'!$A$6:$A$104&amp;'AEA2012 update'!$B$6:$B$104,0),MATCH(W$16,'AEA2012 update'!$S$4:$Z$4,0)),INDEX('AEA2012 update'!$K$6:$R$104,MATCH($T98&amp;$U98,'AEA2012 update'!$A$6:$A$104&amp;'AEA2012 update'!$B$6:$B$104,0),MATCH(W$16,'AEA2012 update'!$S$4:$Z$4,0)))</f>
        <v>3579822.5277799983</v>
      </c>
      <c r="X98" s="103">
        <f t="array" ref="X98">IF(X$18,INDEX('AEA2012 update'!$K$6:$R$104,MATCH($T98&amp;$R98,'AEA2012 update'!$A$6:$A$104&amp;'AEA2012 update'!$B$6:$B$104,0),MATCH(X$16,'AEA2012 update'!$S$4:$Z$4,0)),INDEX('AEA2012 update'!$K$6:$R$104,MATCH($T98&amp;$U98,'AEA2012 update'!$A$6:$A$104&amp;'AEA2012 update'!$B$6:$B$104,0),MATCH(X$16,'AEA2012 update'!$S$4:$Z$4,0)))</f>
        <v>3600432.9692446296</v>
      </c>
      <c r="Y98" s="103">
        <f t="array" ref="Y98">IF(Y$18,INDEX('AEA2012 update'!$K$6:$R$104,MATCH($T98&amp;$R98,'AEA2012 update'!$A$6:$A$104&amp;'AEA2012 update'!$B$6:$B$104,0),MATCH(Y$16,'AEA2012 update'!$S$4:$Z$4,0)),INDEX('AEA2012 update'!$K$6:$R$104,MATCH($T98&amp;$U98,'AEA2012 update'!$A$6:$A$104&amp;'AEA2012 update'!$B$6:$B$104,0),MATCH(Y$16,'AEA2012 update'!$S$4:$Z$4,0)))</f>
        <v>952842.72675749194</v>
      </c>
      <c r="Z98" s="103">
        <f t="array" ref="Z98">IF(Z$18,INDEX('AEA2012 update'!$K$6:$R$104,MATCH($T98&amp;$R98,'AEA2012 update'!$A$6:$A$104&amp;'AEA2012 update'!$B$6:$B$104,0),MATCH(Z$16,'AEA2012 update'!$S$4:$Z$4,0)),INDEX('AEA2012 update'!$K$6:$R$104,MATCH($T98&amp;$U98,'AEA2012 update'!$A$6:$A$104&amp;'AEA2012 update'!$B$6:$B$104,0),MATCH(Z$16,'AEA2012 update'!$S$4:$Z$4,0)))</f>
        <v>971419.63513485843</v>
      </c>
      <c r="AA98" s="103">
        <f t="array" ref="AA98">IF(AA$18,INDEX('AEA2012 update'!$K$6:$R$104,MATCH($T98&amp;$R98,'AEA2012 update'!$A$6:$A$104&amp;'AEA2012 update'!$B$6:$B$104,0),MATCH(AA$16,'AEA2012 update'!$S$4:$Z$4,0)),INDEX('AEA2012 update'!$K$6:$R$104,MATCH($T98&amp;$U98,'AEA2012 update'!$A$6:$A$104&amp;'AEA2012 update'!$B$6:$B$104,0),MATCH(AA$16,'AEA2012 update'!$S$4:$Z$4,0)))</f>
        <v>989996.5435122248</v>
      </c>
      <c r="AB98" s="103">
        <f t="array" ref="AB98">IF(AB$18,INDEX('AEA2012 update'!$K$6:$R$104,MATCH($T98&amp;$R98,'AEA2012 update'!$A$6:$A$104&amp;'AEA2012 update'!$B$6:$B$104,0),MATCH(AB$16,'AEA2012 update'!$S$4:$Z$4,0)),INDEX('AEA2012 update'!$K$6:$R$104,MATCH($T98&amp;$U98,'AEA2012 update'!$A$6:$A$104&amp;'AEA2012 update'!$B$6:$B$104,0),MATCH(AB$16,'AEA2012 update'!$S$4:$Z$4,0)))</f>
        <v>1021986.1260127533</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938190.54794185585</v>
      </c>
      <c r="W100" s="103">
        <f t="array" ref="W100">IF(W$18,INDEX('AEA2012 update'!$K$6:$R$104,MATCH($T100&amp;$R100,'AEA2012 update'!$A$6:$A$104&amp;'AEA2012 update'!$B$6:$B$104,0),MATCH(W$16,'AEA2012 update'!$S$4:$Z$4,0)),INDEX('AEA2012 update'!$K$6:$R$104,MATCH($T100&amp;$U100,'AEA2012 update'!$A$6:$A$104&amp;'AEA2012 update'!$B$6:$B$104,0),MATCH(W$16,'AEA2012 update'!$S$4:$Z$4,0)))</f>
        <v>1163442.3215284995</v>
      </c>
      <c r="X100" s="103">
        <f t="array" ref="X100">IF(X$18,INDEX('AEA2012 update'!$K$6:$R$104,MATCH($T100&amp;$R100,'AEA2012 update'!$A$6:$A$104&amp;'AEA2012 update'!$B$6:$B$104,0),MATCH(X$16,'AEA2012 update'!$S$4:$Z$4,0)),INDEX('AEA2012 update'!$K$6:$R$104,MATCH($T100&amp;$U100,'AEA2012 update'!$A$6:$A$104&amp;'AEA2012 update'!$B$6:$B$104,0),MATCH(X$16,'AEA2012 update'!$S$4:$Z$4,0)))</f>
        <v>1193514.1920029502</v>
      </c>
      <c r="Y100" s="103">
        <f t="array" ref="Y100">IF(Y$18,INDEX('AEA2012 update'!$K$6:$R$104,MATCH($T100&amp;$R100,'AEA2012 update'!$A$6:$A$104&amp;'AEA2012 update'!$B$6:$B$104,0),MATCH(Y$16,'AEA2012 update'!$S$4:$Z$4,0)),INDEX('AEA2012 update'!$K$6:$R$104,MATCH($T100&amp;$U100,'AEA2012 update'!$A$6:$A$104&amp;'AEA2012 update'!$B$6:$B$104,0),MATCH(Y$16,'AEA2012 update'!$S$4:$Z$4,0)))</f>
        <v>1223586.062477401</v>
      </c>
      <c r="Z100" s="103">
        <f t="array" ref="Z100">IF(Z$18,INDEX('AEA2012 update'!$K$6:$R$104,MATCH($T100&amp;$R100,'AEA2012 update'!$A$6:$A$104&amp;'AEA2012 update'!$B$6:$B$104,0),MATCH(Z$16,'AEA2012 update'!$S$4:$Z$4,0)),INDEX('AEA2012 update'!$K$6:$R$104,MATCH($T100&amp;$U100,'AEA2012 update'!$A$6:$A$104&amp;'AEA2012 update'!$B$6:$B$104,0),MATCH(Z$16,'AEA2012 update'!$S$4:$Z$4,0)))</f>
        <v>1247056.6408129311</v>
      </c>
      <c r="AA100" s="103">
        <f t="array" ref="AA100">IF(AA$18,INDEX('AEA2012 update'!$K$6:$R$104,MATCH($T100&amp;$R100,'AEA2012 update'!$A$6:$A$104&amp;'AEA2012 update'!$B$6:$B$104,0),MATCH(AA$16,'AEA2012 update'!$S$4:$Z$4,0)),INDEX('AEA2012 update'!$K$6:$R$104,MATCH($T100&amp;$U100,'AEA2012 update'!$A$6:$A$104&amp;'AEA2012 update'!$B$6:$B$104,0),MATCH(AA$16,'AEA2012 update'!$S$4:$Z$4,0)))</f>
        <v>1270527.2191484615</v>
      </c>
      <c r="AB100" s="103">
        <f t="array" ref="AB100">IF(AB$18,INDEX('AEA2012 update'!$K$6:$R$104,MATCH($T100&amp;$R100,'AEA2012 update'!$A$6:$A$104&amp;'AEA2012 update'!$B$6:$B$104,0),MATCH(AB$16,'AEA2012 update'!$S$4:$Z$4,0)),INDEX('AEA2012 update'!$K$6:$R$104,MATCH($T100&amp;$U100,'AEA2012 update'!$A$6:$A$104&amp;'AEA2012 update'!$B$6:$B$104,0),MATCH(AB$16,'AEA2012 update'!$S$4:$Z$4,0)))</f>
        <v>1299690.0714375132</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8530855.2923044767</v>
      </c>
      <c r="W101" s="103">
        <f t="array" ref="W101">IF(W$18,INDEX('AEA2012 update'!$K$6:$R$104,MATCH($T101&amp;$R101,'AEA2012 update'!$A$6:$A$104&amp;'AEA2012 update'!$B$6:$B$104,0),MATCH(W$16,'AEA2012 update'!$S$4:$Z$4,0)),INDEX('AEA2012 update'!$K$6:$R$104,MATCH($T101&amp;$U101,'AEA2012 update'!$A$6:$A$104&amp;'AEA2012 update'!$B$6:$B$104,0),MATCH(W$16,'AEA2012 update'!$S$4:$Z$4,0)))</f>
        <v>3579822.5277799983</v>
      </c>
      <c r="X101" s="103">
        <f t="array" ref="X101">IF(X$18,INDEX('AEA2012 update'!$K$6:$R$104,MATCH($T101&amp;$R101,'AEA2012 update'!$A$6:$A$104&amp;'AEA2012 update'!$B$6:$B$104,0),MATCH(X$16,'AEA2012 update'!$S$4:$Z$4,0)),INDEX('AEA2012 update'!$K$6:$R$104,MATCH($T101&amp;$U101,'AEA2012 update'!$A$6:$A$104&amp;'AEA2012 update'!$B$6:$B$104,0),MATCH(X$16,'AEA2012 update'!$S$4:$Z$4,0)))</f>
        <v>2803750.521302348</v>
      </c>
      <c r="Y101" s="103">
        <f t="array" ref="Y101">IF(Y$18,INDEX('AEA2012 update'!$K$6:$R$104,MATCH($T101&amp;$R101,'AEA2012 update'!$A$6:$A$104&amp;'AEA2012 update'!$B$6:$B$104,0),MATCH(Y$16,'AEA2012 update'!$S$4:$Z$4,0)),INDEX('AEA2012 update'!$K$6:$R$104,MATCH($T101&amp;$U101,'AEA2012 update'!$A$6:$A$104&amp;'AEA2012 update'!$B$6:$B$104,0),MATCH(Y$16,'AEA2012 update'!$S$4:$Z$4,0)))</f>
        <v>1223586.062477401</v>
      </c>
      <c r="Z101" s="103">
        <f t="array" ref="Z101">IF(Z$18,INDEX('AEA2012 update'!$K$6:$R$104,MATCH($T101&amp;$R101,'AEA2012 update'!$A$6:$A$104&amp;'AEA2012 update'!$B$6:$B$104,0),MATCH(Z$16,'AEA2012 update'!$S$4:$Z$4,0)),INDEX('AEA2012 update'!$K$6:$R$104,MATCH($T101&amp;$U101,'AEA2012 update'!$A$6:$A$104&amp;'AEA2012 update'!$B$6:$B$104,0),MATCH(Z$16,'AEA2012 update'!$S$4:$Z$4,0)))</f>
        <v>1247056.6408129311</v>
      </c>
      <c r="AA101" s="103">
        <f t="array" ref="AA101">IF(AA$18,INDEX('AEA2012 update'!$K$6:$R$104,MATCH($T101&amp;$R101,'AEA2012 update'!$A$6:$A$104&amp;'AEA2012 update'!$B$6:$B$104,0),MATCH(AA$16,'AEA2012 update'!$S$4:$Z$4,0)),INDEX('AEA2012 update'!$K$6:$R$104,MATCH($T101&amp;$U101,'AEA2012 update'!$A$6:$A$104&amp;'AEA2012 update'!$B$6:$B$104,0),MATCH(AA$16,'AEA2012 update'!$S$4:$Z$4,0)))</f>
        <v>1270527.2191484615</v>
      </c>
      <c r="AB101" s="103">
        <f t="array" ref="AB101">IF(AB$18,INDEX('AEA2012 update'!$K$6:$R$104,MATCH($T101&amp;$R101,'AEA2012 update'!$A$6:$A$104&amp;'AEA2012 update'!$B$6:$B$104,0),MATCH(AB$16,'AEA2012 update'!$S$4:$Z$4,0)),INDEX('AEA2012 update'!$K$6:$R$104,MATCH($T101&amp;$U101,'AEA2012 update'!$A$6:$A$104&amp;'AEA2012 update'!$B$6:$B$104,0),MATCH(AB$16,'AEA2012 update'!$S$4:$Z$4,0)))</f>
        <v>1299690.0714375132</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4557107.5795656033</v>
      </c>
      <c r="W102" s="103">
        <f t="array" ref="W102">IF(W$18,INDEX('AEA2012 update'!$K$6:$R$104,MATCH($T102&amp;$R102,'AEA2012 update'!$A$6:$A$104&amp;'AEA2012 update'!$B$6:$B$104,0),MATCH(W$16,'AEA2012 update'!$S$4:$Z$4,0)),INDEX('AEA2012 update'!$K$6:$R$104,MATCH($T102&amp;$U102,'AEA2012 update'!$A$6:$A$104&amp;'AEA2012 update'!$B$6:$B$104,0),MATCH(W$16,'AEA2012 update'!$S$4:$Z$4,0)))</f>
        <v>4727145.9737712285</v>
      </c>
      <c r="X102" s="103">
        <f t="array" ref="X102">IF(X$18,INDEX('AEA2012 update'!$K$6:$R$104,MATCH($T102&amp;$R102,'AEA2012 update'!$A$6:$A$104&amp;'AEA2012 update'!$B$6:$B$104,0),MATCH(X$16,'AEA2012 update'!$S$4:$Z$4,0)),INDEX('AEA2012 update'!$K$6:$R$104,MATCH($T102&amp;$U102,'AEA2012 update'!$A$6:$A$104&amp;'AEA2012 update'!$B$6:$B$104,0),MATCH(X$16,'AEA2012 update'!$S$4:$Z$4,0)))</f>
        <v>4713504.5648636129</v>
      </c>
      <c r="Y102" s="103">
        <f t="array" ref="Y102">IF(Y$18,INDEX('AEA2012 update'!$K$6:$R$104,MATCH($T102&amp;$R102,'AEA2012 update'!$A$6:$A$104&amp;'AEA2012 update'!$B$6:$B$104,0),MATCH(Y$16,'AEA2012 update'!$S$4:$Z$4,0)),INDEX('AEA2012 update'!$K$6:$R$104,MATCH($T102&amp;$U102,'AEA2012 update'!$A$6:$A$104&amp;'AEA2012 update'!$B$6:$B$104,0),MATCH(Y$16,'AEA2012 update'!$S$4:$Z$4,0)))</f>
        <v>1223586.062477401</v>
      </c>
      <c r="Z102" s="103">
        <f t="array" ref="Z102">IF(Z$18,INDEX('AEA2012 update'!$K$6:$R$104,MATCH($T102&amp;$R102,'AEA2012 update'!$A$6:$A$104&amp;'AEA2012 update'!$B$6:$B$104,0),MATCH(Z$16,'AEA2012 update'!$S$4:$Z$4,0)),INDEX('AEA2012 update'!$K$6:$R$104,MATCH($T102&amp;$U102,'AEA2012 update'!$A$6:$A$104&amp;'AEA2012 update'!$B$6:$B$104,0),MATCH(Z$16,'AEA2012 update'!$S$4:$Z$4,0)))</f>
        <v>1247056.6408129311</v>
      </c>
      <c r="AA102" s="103">
        <f t="array" ref="AA102">IF(AA$18,INDEX('AEA2012 update'!$K$6:$R$104,MATCH($T102&amp;$R102,'AEA2012 update'!$A$6:$A$104&amp;'AEA2012 update'!$B$6:$B$104,0),MATCH(AA$16,'AEA2012 update'!$S$4:$Z$4,0)),INDEX('AEA2012 update'!$K$6:$R$104,MATCH($T102&amp;$U102,'AEA2012 update'!$A$6:$A$104&amp;'AEA2012 update'!$B$6:$B$104,0),MATCH(AA$16,'AEA2012 update'!$S$4:$Z$4,0)))</f>
        <v>1270527.2191484615</v>
      </c>
      <c r="AB102" s="103">
        <f t="array" ref="AB102">IF(AB$18,INDEX('AEA2012 update'!$K$6:$R$104,MATCH($T102&amp;$R102,'AEA2012 update'!$A$6:$A$104&amp;'AEA2012 update'!$B$6:$B$104,0),MATCH(AB$16,'AEA2012 update'!$S$4:$Z$4,0)),INDEX('AEA2012 update'!$K$6:$R$104,MATCH($T102&amp;$U102,'AEA2012 update'!$A$6:$A$104&amp;'AEA2012 update'!$B$6:$B$104,0),MATCH(AB$16,'AEA2012 update'!$S$4:$Z$4,0)))</f>
        <v>1299690.0714375132</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938190.54794185585</v>
      </c>
      <c r="W104" s="103">
        <f t="array" ref="W104">IF(W$18,INDEX('AEA2012 update'!$K$6:$R$104,MATCH($T104&amp;$R104,'AEA2012 update'!$A$6:$A$104&amp;'AEA2012 update'!$B$6:$B$104,0),MATCH(W$16,'AEA2012 update'!$S$4:$Z$4,0)),INDEX('AEA2012 update'!$K$6:$R$104,MATCH($T104&amp;$U104,'AEA2012 update'!$A$6:$A$104&amp;'AEA2012 update'!$B$6:$B$104,0),MATCH(W$16,'AEA2012 update'!$S$4:$Z$4,0)))</f>
        <v>1163442.3215284995</v>
      </c>
      <c r="X104" s="103">
        <f t="array" ref="X104">IF(X$18,INDEX('AEA2012 update'!$K$6:$R$104,MATCH($T104&amp;$R104,'AEA2012 update'!$A$6:$A$104&amp;'AEA2012 update'!$B$6:$B$104,0),MATCH(X$16,'AEA2012 update'!$S$4:$Z$4,0)),INDEX('AEA2012 update'!$K$6:$R$104,MATCH($T104&amp;$U104,'AEA2012 update'!$A$6:$A$104&amp;'AEA2012 update'!$B$6:$B$104,0),MATCH(X$16,'AEA2012 update'!$S$4:$Z$4,0)))</f>
        <v>1193514.1920029502</v>
      </c>
      <c r="Y104" s="103">
        <f t="array" ref="Y104">IF(Y$18,INDEX('AEA2012 update'!$K$6:$R$104,MATCH($T104&amp;$R104,'AEA2012 update'!$A$6:$A$104&amp;'AEA2012 update'!$B$6:$B$104,0),MATCH(Y$16,'AEA2012 update'!$S$4:$Z$4,0)),INDEX('AEA2012 update'!$K$6:$R$104,MATCH($T104&amp;$U104,'AEA2012 update'!$A$6:$A$104&amp;'AEA2012 update'!$B$6:$B$104,0),MATCH(Y$16,'AEA2012 update'!$S$4:$Z$4,0)))</f>
        <v>1223586.062477401</v>
      </c>
      <c r="Z104" s="103">
        <f t="array" ref="Z104">IF(Z$18,INDEX('AEA2012 update'!$K$6:$R$104,MATCH($T104&amp;$R104,'AEA2012 update'!$A$6:$A$104&amp;'AEA2012 update'!$B$6:$B$104,0),MATCH(Z$16,'AEA2012 update'!$S$4:$Z$4,0)),INDEX('AEA2012 update'!$K$6:$R$104,MATCH($T104&amp;$U104,'AEA2012 update'!$A$6:$A$104&amp;'AEA2012 update'!$B$6:$B$104,0),MATCH(Z$16,'AEA2012 update'!$S$4:$Z$4,0)))</f>
        <v>1247056.6408129311</v>
      </c>
      <c r="AA104" s="103">
        <f t="array" ref="AA104">IF(AA$18,INDEX('AEA2012 update'!$K$6:$R$104,MATCH($T104&amp;$R104,'AEA2012 update'!$A$6:$A$104&amp;'AEA2012 update'!$B$6:$B$104,0),MATCH(AA$16,'AEA2012 update'!$S$4:$Z$4,0)),INDEX('AEA2012 update'!$K$6:$R$104,MATCH($T104&amp;$U104,'AEA2012 update'!$A$6:$A$104&amp;'AEA2012 update'!$B$6:$B$104,0),MATCH(AA$16,'AEA2012 update'!$S$4:$Z$4,0)))</f>
        <v>1270527.2191484615</v>
      </c>
      <c r="AB104" s="103">
        <f t="array" ref="AB104">IF(AB$18,INDEX('AEA2012 update'!$K$6:$R$104,MATCH($T104&amp;$R104,'AEA2012 update'!$A$6:$A$104&amp;'AEA2012 update'!$B$6:$B$104,0),MATCH(AB$16,'AEA2012 update'!$S$4:$Z$4,0)),INDEX('AEA2012 update'!$K$6:$R$104,MATCH($T104&amp;$U104,'AEA2012 update'!$A$6:$A$104&amp;'AEA2012 update'!$B$6:$B$104,0),MATCH(AB$16,'AEA2012 update'!$S$4:$Z$4,0)))</f>
        <v>1299690.0714375132</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8530855.2923044767</v>
      </c>
      <c r="W105" s="103">
        <f t="array" ref="W105">IF(W$18,INDEX('AEA2012 update'!$K$6:$R$104,MATCH($T105&amp;$R105,'AEA2012 update'!$A$6:$A$104&amp;'AEA2012 update'!$B$6:$B$104,0),MATCH(W$16,'AEA2012 update'!$S$4:$Z$4,0)),INDEX('AEA2012 update'!$K$6:$R$104,MATCH($T105&amp;$U105,'AEA2012 update'!$A$6:$A$104&amp;'AEA2012 update'!$B$6:$B$104,0),MATCH(W$16,'AEA2012 update'!$S$4:$Z$4,0)))</f>
        <v>3579822.5277799983</v>
      </c>
      <c r="X105" s="103">
        <f t="array" ref="X105">IF(X$18,INDEX('AEA2012 update'!$K$6:$R$104,MATCH($T105&amp;$R105,'AEA2012 update'!$A$6:$A$104&amp;'AEA2012 update'!$B$6:$B$104,0),MATCH(X$16,'AEA2012 update'!$S$4:$Z$4,0)),INDEX('AEA2012 update'!$K$6:$R$104,MATCH($T105&amp;$U105,'AEA2012 update'!$A$6:$A$104&amp;'AEA2012 update'!$B$6:$B$104,0),MATCH(X$16,'AEA2012 update'!$S$4:$Z$4,0)))</f>
        <v>2803750.521302348</v>
      </c>
      <c r="Y105" s="103">
        <f t="array" ref="Y105">IF(Y$18,INDEX('AEA2012 update'!$K$6:$R$104,MATCH($T105&amp;$R105,'AEA2012 update'!$A$6:$A$104&amp;'AEA2012 update'!$B$6:$B$104,0),MATCH(Y$16,'AEA2012 update'!$S$4:$Z$4,0)),INDEX('AEA2012 update'!$K$6:$R$104,MATCH($T105&amp;$U105,'AEA2012 update'!$A$6:$A$104&amp;'AEA2012 update'!$B$6:$B$104,0),MATCH(Y$16,'AEA2012 update'!$S$4:$Z$4,0)))</f>
        <v>1223586.062477401</v>
      </c>
      <c r="Z105" s="103">
        <f t="array" ref="Z105">IF(Z$18,INDEX('AEA2012 update'!$K$6:$R$104,MATCH($T105&amp;$R105,'AEA2012 update'!$A$6:$A$104&amp;'AEA2012 update'!$B$6:$B$104,0),MATCH(Z$16,'AEA2012 update'!$S$4:$Z$4,0)),INDEX('AEA2012 update'!$K$6:$R$104,MATCH($T105&amp;$U105,'AEA2012 update'!$A$6:$A$104&amp;'AEA2012 update'!$B$6:$B$104,0),MATCH(Z$16,'AEA2012 update'!$S$4:$Z$4,0)))</f>
        <v>1247056.6408129311</v>
      </c>
      <c r="AA105" s="103">
        <f t="array" ref="AA105">IF(AA$18,INDEX('AEA2012 update'!$K$6:$R$104,MATCH($T105&amp;$R105,'AEA2012 update'!$A$6:$A$104&amp;'AEA2012 update'!$B$6:$B$104,0),MATCH(AA$16,'AEA2012 update'!$S$4:$Z$4,0)),INDEX('AEA2012 update'!$K$6:$R$104,MATCH($T105&amp;$U105,'AEA2012 update'!$A$6:$A$104&amp;'AEA2012 update'!$B$6:$B$104,0),MATCH(AA$16,'AEA2012 update'!$S$4:$Z$4,0)))</f>
        <v>1270527.2191484615</v>
      </c>
      <c r="AB105" s="103">
        <f t="array" ref="AB105">IF(AB$18,INDEX('AEA2012 update'!$K$6:$R$104,MATCH($T105&amp;$R105,'AEA2012 update'!$A$6:$A$104&amp;'AEA2012 update'!$B$6:$B$104,0),MATCH(AB$16,'AEA2012 update'!$S$4:$Z$4,0)),INDEX('AEA2012 update'!$K$6:$R$104,MATCH($T105&amp;$U105,'AEA2012 update'!$A$6:$A$104&amp;'AEA2012 update'!$B$6:$B$104,0),MATCH(AB$16,'AEA2012 update'!$S$4:$Z$4,0)))</f>
        <v>1299690.0714375132</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4557107.5795656033</v>
      </c>
      <c r="W106" s="103">
        <f t="array" ref="W106">IF(W$18,INDEX('AEA2012 update'!$K$6:$R$104,MATCH($T106&amp;$R106,'AEA2012 update'!$A$6:$A$104&amp;'AEA2012 update'!$B$6:$B$104,0),MATCH(W$16,'AEA2012 update'!$S$4:$Z$4,0)),INDEX('AEA2012 update'!$K$6:$R$104,MATCH($T106&amp;$U106,'AEA2012 update'!$A$6:$A$104&amp;'AEA2012 update'!$B$6:$B$104,0),MATCH(W$16,'AEA2012 update'!$S$4:$Z$4,0)))</f>
        <v>4727145.9737712285</v>
      </c>
      <c r="X106" s="103">
        <f t="array" ref="X106">IF(X$18,INDEX('AEA2012 update'!$K$6:$R$104,MATCH($T106&amp;$R106,'AEA2012 update'!$A$6:$A$104&amp;'AEA2012 update'!$B$6:$B$104,0),MATCH(X$16,'AEA2012 update'!$S$4:$Z$4,0)),INDEX('AEA2012 update'!$K$6:$R$104,MATCH($T106&amp;$U106,'AEA2012 update'!$A$6:$A$104&amp;'AEA2012 update'!$B$6:$B$104,0),MATCH(X$16,'AEA2012 update'!$S$4:$Z$4,0)))</f>
        <v>4713504.5648636129</v>
      </c>
      <c r="Y106" s="103">
        <f t="array" ref="Y106">IF(Y$18,INDEX('AEA2012 update'!$K$6:$R$104,MATCH($T106&amp;$R106,'AEA2012 update'!$A$6:$A$104&amp;'AEA2012 update'!$B$6:$B$104,0),MATCH(Y$16,'AEA2012 update'!$S$4:$Z$4,0)),INDEX('AEA2012 update'!$K$6:$R$104,MATCH($T106&amp;$U106,'AEA2012 update'!$A$6:$A$104&amp;'AEA2012 update'!$B$6:$B$104,0),MATCH(Y$16,'AEA2012 update'!$S$4:$Z$4,0)))</f>
        <v>1223586.062477401</v>
      </c>
      <c r="Z106" s="103">
        <f t="array" ref="Z106">IF(Z$18,INDEX('AEA2012 update'!$K$6:$R$104,MATCH($T106&amp;$R106,'AEA2012 update'!$A$6:$A$104&amp;'AEA2012 update'!$B$6:$B$104,0),MATCH(Z$16,'AEA2012 update'!$S$4:$Z$4,0)),INDEX('AEA2012 update'!$K$6:$R$104,MATCH($T106&amp;$U106,'AEA2012 update'!$A$6:$A$104&amp;'AEA2012 update'!$B$6:$B$104,0),MATCH(Z$16,'AEA2012 update'!$S$4:$Z$4,0)))</f>
        <v>1247056.6408129311</v>
      </c>
      <c r="AA106" s="103">
        <f t="array" ref="AA106">IF(AA$18,INDEX('AEA2012 update'!$K$6:$R$104,MATCH($T106&amp;$R106,'AEA2012 update'!$A$6:$A$104&amp;'AEA2012 update'!$B$6:$B$104,0),MATCH(AA$16,'AEA2012 update'!$S$4:$Z$4,0)),INDEX('AEA2012 update'!$K$6:$R$104,MATCH($T106&amp;$U106,'AEA2012 update'!$A$6:$A$104&amp;'AEA2012 update'!$B$6:$B$104,0),MATCH(AA$16,'AEA2012 update'!$S$4:$Z$4,0)))</f>
        <v>1270527.2191484615</v>
      </c>
      <c r="AB106" s="103">
        <f t="array" ref="AB106">IF(AB$18,INDEX('AEA2012 update'!$K$6:$R$104,MATCH($T106&amp;$R106,'AEA2012 update'!$A$6:$A$104&amp;'AEA2012 update'!$B$6:$B$104,0),MATCH(AB$16,'AEA2012 update'!$S$4:$Z$4,0)),INDEX('AEA2012 update'!$K$6:$R$104,MATCH($T106&amp;$U106,'AEA2012 update'!$A$6:$A$104&amp;'AEA2012 update'!$B$6:$B$104,0),MATCH(AB$16,'AEA2012 update'!$S$4:$Z$4,0)))</f>
        <v>1299690.0714375132</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938190.54794185585</v>
      </c>
      <c r="W108" s="103">
        <f t="array" ref="W108">IF(W$18,INDEX('AEA2012 update'!$K$6:$R$104,MATCH($T108&amp;$R108,'AEA2012 update'!$A$6:$A$104&amp;'AEA2012 update'!$B$6:$B$104,0),MATCH(W$16,'AEA2012 update'!$S$4:$Z$4,0)),INDEX('AEA2012 update'!$K$6:$R$104,MATCH($T108&amp;$U108,'AEA2012 update'!$A$6:$A$104&amp;'AEA2012 update'!$B$6:$B$104,0),MATCH(W$16,'AEA2012 update'!$S$4:$Z$4,0)))</f>
        <v>1163442.3215284995</v>
      </c>
      <c r="X108" s="103">
        <f t="array" ref="X108">IF(X$18,INDEX('AEA2012 update'!$K$6:$R$104,MATCH($T108&amp;$R108,'AEA2012 update'!$A$6:$A$104&amp;'AEA2012 update'!$B$6:$B$104,0),MATCH(X$16,'AEA2012 update'!$S$4:$Z$4,0)),INDEX('AEA2012 update'!$K$6:$R$104,MATCH($T108&amp;$U108,'AEA2012 update'!$A$6:$A$104&amp;'AEA2012 update'!$B$6:$B$104,0),MATCH(X$16,'AEA2012 update'!$S$4:$Z$4,0)))</f>
        <v>1193514.1920029502</v>
      </c>
      <c r="Y108" s="103">
        <f t="array" ref="Y108">IF(Y$18,INDEX('AEA2012 update'!$K$6:$R$104,MATCH($T108&amp;$R108,'AEA2012 update'!$A$6:$A$104&amp;'AEA2012 update'!$B$6:$B$104,0),MATCH(Y$16,'AEA2012 update'!$S$4:$Z$4,0)),INDEX('AEA2012 update'!$K$6:$R$104,MATCH($T108&amp;$U108,'AEA2012 update'!$A$6:$A$104&amp;'AEA2012 update'!$B$6:$B$104,0),MATCH(Y$16,'AEA2012 update'!$S$4:$Z$4,0)))</f>
        <v>1223586.062477401</v>
      </c>
      <c r="Z108" s="103">
        <f t="array" ref="Z108">IF(Z$18,INDEX('AEA2012 update'!$K$6:$R$104,MATCH($T108&amp;$R108,'AEA2012 update'!$A$6:$A$104&amp;'AEA2012 update'!$B$6:$B$104,0),MATCH(Z$16,'AEA2012 update'!$S$4:$Z$4,0)),INDEX('AEA2012 update'!$K$6:$R$104,MATCH($T108&amp;$U108,'AEA2012 update'!$A$6:$A$104&amp;'AEA2012 update'!$B$6:$B$104,0),MATCH(Z$16,'AEA2012 update'!$S$4:$Z$4,0)))</f>
        <v>1247056.6408129311</v>
      </c>
      <c r="AA108" s="103">
        <f t="array" ref="AA108">IF(AA$18,INDEX('AEA2012 update'!$K$6:$R$104,MATCH($T108&amp;$R108,'AEA2012 update'!$A$6:$A$104&amp;'AEA2012 update'!$B$6:$B$104,0),MATCH(AA$16,'AEA2012 update'!$S$4:$Z$4,0)),INDEX('AEA2012 update'!$K$6:$R$104,MATCH($T108&amp;$U108,'AEA2012 update'!$A$6:$A$104&amp;'AEA2012 update'!$B$6:$B$104,0),MATCH(AA$16,'AEA2012 update'!$S$4:$Z$4,0)))</f>
        <v>1270527.2191484615</v>
      </c>
      <c r="AB108" s="103">
        <f t="array" ref="AB108">IF(AB$18,INDEX('AEA2012 update'!$K$6:$R$104,MATCH($T108&amp;$R108,'AEA2012 update'!$A$6:$A$104&amp;'AEA2012 update'!$B$6:$B$104,0),MATCH(AB$16,'AEA2012 update'!$S$4:$Z$4,0)),INDEX('AEA2012 update'!$K$6:$R$104,MATCH($T108&amp;$U108,'AEA2012 update'!$A$6:$A$104&amp;'AEA2012 update'!$B$6:$B$104,0),MATCH(AB$16,'AEA2012 update'!$S$4:$Z$4,0)))</f>
        <v>1299690.0714375132</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8530855.2923044767</v>
      </c>
      <c r="W109" s="103">
        <f t="array" ref="W109">IF(W$18,INDEX('AEA2012 update'!$K$6:$R$104,MATCH($T109&amp;$R109,'AEA2012 update'!$A$6:$A$104&amp;'AEA2012 update'!$B$6:$B$104,0),MATCH(W$16,'AEA2012 update'!$S$4:$Z$4,0)),INDEX('AEA2012 update'!$K$6:$R$104,MATCH($T109&amp;$U109,'AEA2012 update'!$A$6:$A$104&amp;'AEA2012 update'!$B$6:$B$104,0),MATCH(W$16,'AEA2012 update'!$S$4:$Z$4,0)))</f>
        <v>3579822.5277799983</v>
      </c>
      <c r="X109" s="103">
        <f t="array" ref="X109">IF(X$18,INDEX('AEA2012 update'!$K$6:$R$104,MATCH($T109&amp;$R109,'AEA2012 update'!$A$6:$A$104&amp;'AEA2012 update'!$B$6:$B$104,0),MATCH(X$16,'AEA2012 update'!$S$4:$Z$4,0)),INDEX('AEA2012 update'!$K$6:$R$104,MATCH($T109&amp;$U109,'AEA2012 update'!$A$6:$A$104&amp;'AEA2012 update'!$B$6:$B$104,0),MATCH(X$16,'AEA2012 update'!$S$4:$Z$4,0)))</f>
        <v>2803750.521302348</v>
      </c>
      <c r="Y109" s="103">
        <f t="array" ref="Y109">IF(Y$18,INDEX('AEA2012 update'!$K$6:$R$104,MATCH($T109&amp;$R109,'AEA2012 update'!$A$6:$A$104&amp;'AEA2012 update'!$B$6:$B$104,0),MATCH(Y$16,'AEA2012 update'!$S$4:$Z$4,0)),INDEX('AEA2012 update'!$K$6:$R$104,MATCH($T109&amp;$U109,'AEA2012 update'!$A$6:$A$104&amp;'AEA2012 update'!$B$6:$B$104,0),MATCH(Y$16,'AEA2012 update'!$S$4:$Z$4,0)))</f>
        <v>1223586.062477401</v>
      </c>
      <c r="Z109" s="103">
        <f t="array" ref="Z109">IF(Z$18,INDEX('AEA2012 update'!$K$6:$R$104,MATCH($T109&amp;$R109,'AEA2012 update'!$A$6:$A$104&amp;'AEA2012 update'!$B$6:$B$104,0),MATCH(Z$16,'AEA2012 update'!$S$4:$Z$4,0)),INDEX('AEA2012 update'!$K$6:$R$104,MATCH($T109&amp;$U109,'AEA2012 update'!$A$6:$A$104&amp;'AEA2012 update'!$B$6:$B$104,0),MATCH(Z$16,'AEA2012 update'!$S$4:$Z$4,0)))</f>
        <v>1247056.6408129311</v>
      </c>
      <c r="AA109" s="103">
        <f t="array" ref="AA109">IF(AA$18,INDEX('AEA2012 update'!$K$6:$R$104,MATCH($T109&amp;$R109,'AEA2012 update'!$A$6:$A$104&amp;'AEA2012 update'!$B$6:$B$104,0),MATCH(AA$16,'AEA2012 update'!$S$4:$Z$4,0)),INDEX('AEA2012 update'!$K$6:$R$104,MATCH($T109&amp;$U109,'AEA2012 update'!$A$6:$A$104&amp;'AEA2012 update'!$B$6:$B$104,0),MATCH(AA$16,'AEA2012 update'!$S$4:$Z$4,0)))</f>
        <v>1270527.2191484615</v>
      </c>
      <c r="AB109" s="103">
        <f t="array" ref="AB109">IF(AB$18,INDEX('AEA2012 update'!$K$6:$R$104,MATCH($T109&amp;$R109,'AEA2012 update'!$A$6:$A$104&amp;'AEA2012 update'!$B$6:$B$104,0),MATCH(AB$16,'AEA2012 update'!$S$4:$Z$4,0)),INDEX('AEA2012 update'!$K$6:$R$104,MATCH($T109&amp;$U109,'AEA2012 update'!$A$6:$A$104&amp;'AEA2012 update'!$B$6:$B$104,0),MATCH(AB$16,'AEA2012 update'!$S$4:$Z$4,0)))</f>
        <v>1299690.0714375132</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4557107.5795656033</v>
      </c>
      <c r="W110" s="103">
        <f t="array" ref="W110">IF(W$18,INDEX('AEA2012 update'!$K$6:$R$104,MATCH($T110&amp;$R110,'AEA2012 update'!$A$6:$A$104&amp;'AEA2012 update'!$B$6:$B$104,0),MATCH(W$16,'AEA2012 update'!$S$4:$Z$4,0)),INDEX('AEA2012 update'!$K$6:$R$104,MATCH($T110&amp;$U110,'AEA2012 update'!$A$6:$A$104&amp;'AEA2012 update'!$B$6:$B$104,0),MATCH(W$16,'AEA2012 update'!$S$4:$Z$4,0)))</f>
        <v>4727145.9737712285</v>
      </c>
      <c r="X110" s="103">
        <f t="array" ref="X110">IF(X$18,INDEX('AEA2012 update'!$K$6:$R$104,MATCH($T110&amp;$R110,'AEA2012 update'!$A$6:$A$104&amp;'AEA2012 update'!$B$6:$B$104,0),MATCH(X$16,'AEA2012 update'!$S$4:$Z$4,0)),INDEX('AEA2012 update'!$K$6:$R$104,MATCH($T110&amp;$U110,'AEA2012 update'!$A$6:$A$104&amp;'AEA2012 update'!$B$6:$B$104,0),MATCH(X$16,'AEA2012 update'!$S$4:$Z$4,0)))</f>
        <v>4713504.5648636129</v>
      </c>
      <c r="Y110" s="103">
        <f t="array" ref="Y110">IF(Y$18,INDEX('AEA2012 update'!$K$6:$R$104,MATCH($T110&amp;$R110,'AEA2012 update'!$A$6:$A$104&amp;'AEA2012 update'!$B$6:$B$104,0),MATCH(Y$16,'AEA2012 update'!$S$4:$Z$4,0)),INDEX('AEA2012 update'!$K$6:$R$104,MATCH($T110&amp;$U110,'AEA2012 update'!$A$6:$A$104&amp;'AEA2012 update'!$B$6:$B$104,0),MATCH(Y$16,'AEA2012 update'!$S$4:$Z$4,0)))</f>
        <v>1223586.062477401</v>
      </c>
      <c r="Z110" s="103">
        <f t="array" ref="Z110">IF(Z$18,INDEX('AEA2012 update'!$K$6:$R$104,MATCH($T110&amp;$R110,'AEA2012 update'!$A$6:$A$104&amp;'AEA2012 update'!$B$6:$B$104,0),MATCH(Z$16,'AEA2012 update'!$S$4:$Z$4,0)),INDEX('AEA2012 update'!$K$6:$R$104,MATCH($T110&amp;$U110,'AEA2012 update'!$A$6:$A$104&amp;'AEA2012 update'!$B$6:$B$104,0),MATCH(Z$16,'AEA2012 update'!$S$4:$Z$4,0)))</f>
        <v>1247056.6408129311</v>
      </c>
      <c r="AA110" s="103">
        <f t="array" ref="AA110">IF(AA$18,INDEX('AEA2012 update'!$K$6:$R$104,MATCH($T110&amp;$R110,'AEA2012 update'!$A$6:$A$104&amp;'AEA2012 update'!$B$6:$B$104,0),MATCH(AA$16,'AEA2012 update'!$S$4:$Z$4,0)),INDEX('AEA2012 update'!$K$6:$R$104,MATCH($T110&amp;$U110,'AEA2012 update'!$A$6:$A$104&amp;'AEA2012 update'!$B$6:$B$104,0),MATCH(AA$16,'AEA2012 update'!$S$4:$Z$4,0)))</f>
        <v>1270527.2191484615</v>
      </c>
      <c r="AB110" s="103">
        <f t="array" ref="AB110">IF(AB$18,INDEX('AEA2012 update'!$K$6:$R$104,MATCH($T110&amp;$R110,'AEA2012 update'!$A$6:$A$104&amp;'AEA2012 update'!$B$6:$B$104,0),MATCH(AB$16,'AEA2012 update'!$S$4:$Z$4,0)),INDEX('AEA2012 update'!$K$6:$R$104,MATCH($T110&amp;$U110,'AEA2012 update'!$A$6:$A$104&amp;'AEA2012 update'!$B$6:$B$104,0),MATCH(AB$16,'AEA2012 update'!$S$4:$Z$4,0)))</f>
        <v>1299690.0714375132</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3.8544926288750614</v>
      </c>
      <c r="W116" s="194">
        <f>(H26/H27)</f>
        <v>2.0232263513513513</v>
      </c>
      <c r="X116" s="194">
        <f>W27/W20</f>
        <v>2.416666666666667</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1003" t="s">
        <v>991</v>
      </c>
      <c r="B9" s="1005" t="s">
        <v>990</v>
      </c>
      <c r="C9" s="1007" t="s">
        <v>941</v>
      </c>
      <c r="D9" s="1007" t="s">
        <v>989</v>
      </c>
      <c r="E9" s="1007" t="s">
        <v>988</v>
      </c>
      <c r="F9" s="1009"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1004"/>
      <c r="B10" s="1006"/>
      <c r="C10" s="1008"/>
      <c r="D10" s="1008"/>
      <c r="E10" s="1008"/>
      <c r="F10" s="1010"/>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t="e">
        <f>Analytica!AL66/Analytica!AL67</f>
        <v>#DIV/0!</v>
      </c>
      <c r="E88" s="525" t="e">
        <f>Analytica!AN66/Analytica!AN67</f>
        <v>#DIV/0!</v>
      </c>
      <c r="F88" s="525" t="e">
        <f>Analytica!AP66/Analytica!AP67</f>
        <v>#DIV/0!</v>
      </c>
      <c r="G88" s="525" t="e">
        <f>Analytica!AQ66/Analytica!AQ67</f>
        <v>#DIV/0!</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TRP</vt:lpstr>
      <vt:lpstr>ITEMS_Tech</vt:lpstr>
      <vt:lpstr>NT_TRP</vt:lpstr>
      <vt:lpstr>ITEMS_nTech</vt:lpstr>
      <vt:lpstr>Demand</vt:lpstr>
      <vt:lpstr>Calib_2017</vt:lpstr>
      <vt:lpstr>EB_2017</vt:lpstr>
      <vt:lpstr>SOL</vt:lpstr>
      <vt:lpstr>Analytica</vt:lpstr>
      <vt:lpstr>CostProjections</vt:lpstr>
      <vt:lpstr>VehicleCostData2022</vt:lpstr>
      <vt:lpstr>IEAWEO2023 cost data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2024-01-16T13:35:01Z</dcterms:modified>
</cp:coreProperties>
</file>