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38F7E041-72A8-42A9-81E7-6B1C4BBDBF83}" xr6:coauthVersionLast="47" xr6:coauthVersionMax="47" xr10:uidLastSave="{00000000-0000-0000-0000-000000000000}"/>
  <bookViews>
    <workbookView xWindow="-120" yWindow="-120" windowWidth="38640" windowHeight="21390" xr2:uid="{E2E76818-39F4-4BBE-93AA-8C71FE1D5983}"/>
    <workbookView xWindow="2880" yWindow="0" windowWidth="21315" windowHeight="12510" activeTab="2" xr2:uid="{2CAB5348-3A5C-453D-8E79-FBBD2C206FCF}"/>
  </bookViews>
  <sheets>
    <sheet name="INVCOST" sheetId="13" r:id="rId1"/>
    <sheet name="FIXOM" sheetId="25" r:id="rId2"/>
    <sheet name="CostProjections" sheetId="24" r:id="rId3"/>
    <sheet name="VehicleCostData2022" sheetId="22" r:id="rId4"/>
    <sheet name="IEAWEO2023 cost data" sheetId="2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CostProjections!$A$10:$M$92</definedName>
    <definedName name="_xlnm._FilterDatabase" localSheetId="1" hidden="1">FIXOM!$A$6:$O$83</definedName>
    <definedName name="_xlnm._FilterDatabase" localSheetId="0" hidden="1">INVCOST!$A$6:$O$83</definedName>
    <definedName name="base.year">[1]NT_TRP!$A$2</definedName>
    <definedName name="ComTechs">#REF!</definedName>
    <definedName name="cv.diesel.hhv.MJL">[1]Units.CV!$C$9</definedName>
    <definedName name="cv.diesel.lhv.MJL">[1]Units.CV!$B$9</definedName>
    <definedName name="CV.LHV.E85">[1]Units.CV!$F$50</definedName>
    <definedName name="cv.petrol.hhv.MJL">[1]Units.CV!$C$13</definedName>
    <definedName name="CVV_DIESEL">'[2]Constants Tables'!$F$48</definedName>
    <definedName name="CVV_Petrol">'[2]Constants Tables'!$K$8</definedName>
    <definedName name="DieselLHV">[1]Units.CV!$F$46</definedName>
    <definedName name="EB.year">[1]NT_TRP!$A$2</definedName>
    <definedName name="emissions_data">[3]NameConv!$V$4:$AL$38</definedName>
    <definedName name="emissions_data_parameters">[3]NameConv!$V$3:$AL$3</definedName>
    <definedName name="emissions_start">[3]NameConv!$W$3</definedName>
    <definedName name="emissions_types">[3]NameConv!$V$2</definedName>
    <definedName name="eMode">[1]Scenarios!$B$21</definedName>
    <definedName name="eps">[1]NameConv!$F$1</definedName>
    <definedName name="ERC.Efficiency">[1]Scenarios!$B$16</definedName>
    <definedName name="EV.Battery">[1]Scenarios!$B$28</definedName>
    <definedName name="flagPenetrationOnly">[1]Scenarios!$B$3</definedName>
    <definedName name="fuel_types">#REF!</definedName>
    <definedName name="FuelNames">[1]NameConv!$D$3:$E$39</definedName>
    <definedName name="GasolineLHV">[1]Units.CV!$F$43</definedName>
    <definedName name="NTECH_ROW1" localSheetId="1">FIXOM!$B$8</definedName>
    <definedName name="NTECH_ROW1">INVCOST!$B$8</definedName>
    <definedName name="Pal_Workbook_GUID" hidden="1">"VPJDZVPESBNLN75EMHY6J774"</definedName>
    <definedName name="reftrofits">[4]TRP_Retrofit!$AL$67</definedName>
    <definedName name="retrofits">[1]Scenarios!$B$24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ctor_prefix">[3]UPS!$B$6</definedName>
    <definedName name="TRA.freight.capex">[1]Scenarios!$B$18</definedName>
    <definedName name="XLSIMSIM" hidden="1">{"Sim",3,"Output 1","'Reworked data'!$AI$84","Output 2","'Reworked data'!$AJ$84","Output 3","'Reworked data'!$AK$84","1","2","100","0"}</definedName>
    <definedName name="zar.2010">[5]Deflator!$P$4</definedName>
    <definedName name="zar.2012">[5]Deflator!$R$4</definedName>
    <definedName name="zar.2015">[5]Deflator!$U$4</definedName>
    <definedName name="zar.base">[5]Deflator!$B$12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3" i="25" l="1"/>
  <c r="N83" i="25"/>
  <c r="M83" i="25"/>
  <c r="L83" i="25"/>
  <c r="O82" i="25"/>
  <c r="N82" i="25"/>
  <c r="M82" i="25"/>
  <c r="L82" i="25"/>
  <c r="O81" i="25"/>
  <c r="N81" i="25"/>
  <c r="M81" i="25"/>
  <c r="L81" i="25"/>
  <c r="O80" i="25"/>
  <c r="N80" i="25"/>
  <c r="M80" i="25"/>
  <c r="L80" i="25"/>
  <c r="O79" i="25"/>
  <c r="N79" i="25"/>
  <c r="M79" i="25"/>
  <c r="L79" i="25"/>
  <c r="O78" i="25"/>
  <c r="N78" i="25"/>
  <c r="M78" i="25"/>
  <c r="L78" i="25"/>
  <c r="O77" i="25"/>
  <c r="N77" i="25"/>
  <c r="M77" i="25"/>
  <c r="L77" i="25"/>
  <c r="O76" i="25"/>
  <c r="N76" i="25"/>
  <c r="M76" i="25"/>
  <c r="L76" i="25"/>
  <c r="O75" i="25"/>
  <c r="N75" i="25"/>
  <c r="M75" i="25"/>
  <c r="L75" i="25"/>
  <c r="O74" i="25"/>
  <c r="N74" i="25"/>
  <c r="M74" i="25"/>
  <c r="L74" i="25"/>
  <c r="O73" i="25"/>
  <c r="N73" i="25"/>
  <c r="M73" i="25"/>
  <c r="L73" i="25"/>
  <c r="O72" i="25"/>
  <c r="N72" i="25"/>
  <c r="M72" i="25"/>
  <c r="L72" i="25"/>
  <c r="O71" i="25"/>
  <c r="N71" i="25"/>
  <c r="M71" i="25"/>
  <c r="L71" i="25"/>
  <c r="O70" i="25"/>
  <c r="N70" i="25"/>
  <c r="M70" i="25"/>
  <c r="L70" i="25"/>
  <c r="O69" i="25"/>
  <c r="N69" i="25"/>
  <c r="M69" i="25"/>
  <c r="L69" i="25"/>
  <c r="O68" i="25"/>
  <c r="N68" i="25"/>
  <c r="M68" i="25"/>
  <c r="L68" i="25"/>
  <c r="O67" i="25"/>
  <c r="N67" i="25"/>
  <c r="M67" i="25"/>
  <c r="L67" i="25"/>
  <c r="O66" i="25"/>
  <c r="N66" i="25"/>
  <c r="M66" i="25"/>
  <c r="L66" i="25"/>
  <c r="O65" i="25"/>
  <c r="N65" i="25"/>
  <c r="M65" i="25"/>
  <c r="L65" i="25"/>
  <c r="O64" i="25"/>
  <c r="N64" i="25"/>
  <c r="M64" i="25"/>
  <c r="L64" i="25"/>
  <c r="O63" i="25"/>
  <c r="N63" i="25"/>
  <c r="M63" i="25"/>
  <c r="L63" i="25"/>
  <c r="O62" i="25"/>
  <c r="N62" i="25"/>
  <c r="M62" i="25"/>
  <c r="L62" i="25"/>
  <c r="O61" i="25"/>
  <c r="N61" i="25"/>
  <c r="M61" i="25"/>
  <c r="L61" i="25"/>
  <c r="O60" i="25"/>
  <c r="N60" i="25"/>
  <c r="M60" i="25"/>
  <c r="L60" i="25"/>
  <c r="O59" i="25"/>
  <c r="N59" i="25"/>
  <c r="M59" i="25"/>
  <c r="L59" i="25"/>
  <c r="O58" i="25"/>
  <c r="N58" i="25"/>
  <c r="M58" i="25"/>
  <c r="L58" i="25"/>
  <c r="O57" i="25"/>
  <c r="N57" i="25"/>
  <c r="M57" i="25"/>
  <c r="L57" i="25"/>
  <c r="O56" i="25"/>
  <c r="N56" i="25"/>
  <c r="M56" i="25"/>
  <c r="L56" i="25"/>
  <c r="O55" i="25"/>
  <c r="N55" i="25"/>
  <c r="M55" i="25"/>
  <c r="L55" i="25"/>
  <c r="O54" i="25"/>
  <c r="N54" i="25"/>
  <c r="M54" i="25"/>
  <c r="L54" i="25"/>
  <c r="O53" i="25"/>
  <c r="N53" i="25"/>
  <c r="M53" i="25"/>
  <c r="L53" i="25"/>
  <c r="O52" i="25"/>
  <c r="N52" i="25"/>
  <c r="M52" i="25"/>
  <c r="L52" i="25"/>
  <c r="O51" i="25"/>
  <c r="N51" i="25"/>
  <c r="M51" i="25"/>
  <c r="L51" i="25"/>
  <c r="O50" i="25"/>
  <c r="N50" i="25"/>
  <c r="M50" i="25"/>
  <c r="L50" i="25"/>
  <c r="O49" i="25"/>
  <c r="N49" i="25"/>
  <c r="M49" i="25"/>
  <c r="L49" i="25"/>
  <c r="O48" i="25"/>
  <c r="N48" i="25"/>
  <c r="M48" i="25"/>
  <c r="L48" i="25"/>
  <c r="O47" i="25"/>
  <c r="N47" i="25"/>
  <c r="M47" i="25"/>
  <c r="L47" i="25"/>
  <c r="O46" i="25"/>
  <c r="N46" i="25"/>
  <c r="M46" i="25"/>
  <c r="L46" i="25"/>
  <c r="O45" i="25"/>
  <c r="N45" i="25"/>
  <c r="M45" i="25"/>
  <c r="L45" i="25"/>
  <c r="O44" i="25"/>
  <c r="N44" i="25"/>
  <c r="M44" i="25"/>
  <c r="L44" i="25"/>
  <c r="O43" i="25"/>
  <c r="N43" i="25"/>
  <c r="M43" i="25"/>
  <c r="L43" i="25"/>
  <c r="O42" i="25"/>
  <c r="N42" i="25"/>
  <c r="M42" i="25"/>
  <c r="L42" i="25"/>
  <c r="O41" i="25"/>
  <c r="N41" i="25"/>
  <c r="M41" i="25"/>
  <c r="L41" i="25"/>
  <c r="O40" i="25"/>
  <c r="N40" i="25"/>
  <c r="M40" i="25"/>
  <c r="L40" i="25"/>
  <c r="O39" i="25"/>
  <c r="N39" i="25"/>
  <c r="M39" i="25"/>
  <c r="L39" i="25"/>
  <c r="O38" i="25"/>
  <c r="N38" i="25"/>
  <c r="M38" i="25"/>
  <c r="L38" i="25"/>
  <c r="O37" i="25"/>
  <c r="N37" i="25"/>
  <c r="M37" i="25"/>
  <c r="L37" i="25"/>
  <c r="O36" i="25"/>
  <c r="N36" i="25"/>
  <c r="M36" i="25"/>
  <c r="L36" i="25"/>
  <c r="O35" i="25"/>
  <c r="N35" i="25"/>
  <c r="M35" i="25"/>
  <c r="L35" i="25"/>
  <c r="O34" i="25"/>
  <c r="N34" i="25"/>
  <c r="M34" i="25"/>
  <c r="L34" i="25"/>
  <c r="O33" i="25"/>
  <c r="N33" i="25"/>
  <c r="M33" i="25"/>
  <c r="L33" i="25"/>
  <c r="O32" i="25"/>
  <c r="N32" i="25"/>
  <c r="M32" i="25"/>
  <c r="L32" i="25"/>
  <c r="O31" i="25"/>
  <c r="N31" i="25"/>
  <c r="M31" i="25"/>
  <c r="L31" i="25"/>
  <c r="O30" i="25"/>
  <c r="N30" i="25"/>
  <c r="M30" i="25"/>
  <c r="L30" i="25"/>
  <c r="O29" i="25"/>
  <c r="N29" i="25"/>
  <c r="M29" i="25"/>
  <c r="L29" i="25"/>
  <c r="O28" i="25"/>
  <c r="N28" i="25"/>
  <c r="M28" i="25"/>
  <c r="L28" i="25"/>
  <c r="O27" i="25"/>
  <c r="N27" i="25"/>
  <c r="M27" i="25"/>
  <c r="L27" i="25"/>
  <c r="O26" i="25"/>
  <c r="N26" i="25"/>
  <c r="M26" i="25"/>
  <c r="L26" i="25"/>
  <c r="O25" i="25"/>
  <c r="N25" i="25"/>
  <c r="M25" i="25"/>
  <c r="L25" i="25"/>
  <c r="O24" i="25"/>
  <c r="N24" i="25"/>
  <c r="M24" i="25"/>
  <c r="L24" i="25"/>
  <c r="O23" i="25"/>
  <c r="N23" i="25"/>
  <c r="M23" i="25"/>
  <c r="L23" i="25"/>
  <c r="O22" i="25"/>
  <c r="N22" i="25"/>
  <c r="M22" i="25"/>
  <c r="L22" i="25"/>
  <c r="O21" i="25"/>
  <c r="N21" i="25"/>
  <c r="M21" i="25"/>
  <c r="L21" i="25"/>
  <c r="O20" i="25"/>
  <c r="N20" i="25"/>
  <c r="M20" i="25"/>
  <c r="L20" i="25"/>
  <c r="O19" i="25"/>
  <c r="N19" i="25"/>
  <c r="M19" i="25"/>
  <c r="L19" i="25"/>
  <c r="O18" i="25"/>
  <c r="N18" i="25"/>
  <c r="M18" i="25"/>
  <c r="L18" i="25"/>
  <c r="O17" i="25"/>
  <c r="N17" i="25"/>
  <c r="M17" i="25"/>
  <c r="L17" i="25"/>
  <c r="O16" i="25"/>
  <c r="N16" i="25"/>
  <c r="M16" i="25"/>
  <c r="L16" i="25"/>
  <c r="O15" i="25"/>
  <c r="N15" i="25"/>
  <c r="M15" i="25"/>
  <c r="L15" i="25"/>
  <c r="O14" i="25"/>
  <c r="N14" i="25"/>
  <c r="M14" i="25"/>
  <c r="L14" i="25"/>
  <c r="O13" i="25"/>
  <c r="N13" i="25"/>
  <c r="M13" i="25"/>
  <c r="L13" i="25"/>
  <c r="O12" i="25"/>
  <c r="N12" i="25"/>
  <c r="M12" i="25"/>
  <c r="L12" i="25"/>
  <c r="O11" i="25"/>
  <c r="N11" i="25"/>
  <c r="M11" i="25"/>
  <c r="L11" i="25"/>
  <c r="O10" i="25"/>
  <c r="N10" i="25"/>
  <c r="M10" i="25"/>
  <c r="L10" i="25"/>
  <c r="O9" i="25"/>
  <c r="N9" i="25"/>
  <c r="M9" i="25"/>
  <c r="L9" i="25"/>
  <c r="O8" i="25"/>
  <c r="N8" i="25"/>
  <c r="M8" i="25"/>
  <c r="L8" i="25"/>
  <c r="G4" i="25"/>
  <c r="G3" i="25"/>
  <c r="G2" i="25"/>
  <c r="C14" i="21" l="1"/>
  <c r="C8" i="21"/>
  <c r="A5" i="21"/>
  <c r="B5" i="21"/>
  <c r="C5" i="21"/>
  <c r="A4" i="21"/>
  <c r="B4" i="21"/>
  <c r="C4" i="21"/>
  <c r="Y92" i="24" l="1"/>
  <c r="Y91" i="24"/>
  <c r="Y90" i="24"/>
  <c r="Y89" i="24"/>
  <c r="Y88" i="24"/>
  <c r="Y87" i="24"/>
  <c r="Y86" i="24"/>
  <c r="Y85" i="24"/>
  <c r="Y84" i="24"/>
  <c r="Y83" i="24"/>
  <c r="Y82" i="24"/>
  <c r="Y81" i="24"/>
  <c r="Y80" i="24"/>
  <c r="Y79" i="24"/>
  <c r="Y78" i="24"/>
  <c r="Y77" i="24"/>
  <c r="Y76" i="24"/>
  <c r="Y75" i="24"/>
  <c r="Y74" i="24"/>
  <c r="Y73" i="24"/>
  <c r="Y72" i="24"/>
  <c r="Y71" i="24"/>
  <c r="Y70" i="24"/>
  <c r="Y69" i="24"/>
  <c r="Y68" i="24"/>
  <c r="Y67" i="24"/>
  <c r="Y66" i="24"/>
  <c r="Y65" i="24"/>
  <c r="Y64" i="24"/>
  <c r="Y63" i="24"/>
  <c r="Y62" i="24"/>
  <c r="Y61" i="24"/>
  <c r="Y60" i="24"/>
  <c r="Y59" i="24"/>
  <c r="Y58" i="24"/>
  <c r="Y57" i="24"/>
  <c r="Y56" i="24"/>
  <c r="Y55" i="24"/>
  <c r="Y54" i="24"/>
  <c r="Y53" i="24"/>
  <c r="Y52" i="24"/>
  <c r="Y51" i="24"/>
  <c r="Y50" i="24"/>
  <c r="Y49" i="24"/>
  <c r="Y48" i="24"/>
  <c r="Y47" i="24"/>
  <c r="Y46" i="24"/>
  <c r="Y45" i="24"/>
  <c r="Y44" i="24"/>
  <c r="Y43" i="24"/>
  <c r="Y42" i="24"/>
  <c r="Y41" i="24"/>
  <c r="Y40" i="24"/>
  <c r="Y39" i="24"/>
  <c r="Y38" i="24"/>
  <c r="Y37" i="24"/>
  <c r="Y36" i="24"/>
  <c r="Y35" i="24"/>
  <c r="Y34" i="24"/>
  <c r="Y33" i="24"/>
  <c r="Y32" i="24"/>
  <c r="Y31" i="24"/>
  <c r="Y30" i="24"/>
  <c r="Y29" i="24"/>
  <c r="Y28" i="24"/>
  <c r="Y27" i="24"/>
  <c r="Y26" i="24"/>
  <c r="Y25" i="24"/>
  <c r="Y24" i="24"/>
  <c r="Y23" i="24"/>
  <c r="Y22" i="24"/>
  <c r="Y21" i="24"/>
  <c r="Y20" i="24"/>
  <c r="Y19" i="24"/>
  <c r="Y18" i="24"/>
  <c r="Y17" i="24"/>
  <c r="Y16" i="24"/>
  <c r="Y15" i="24"/>
  <c r="Y14" i="24"/>
  <c r="Y13" i="24"/>
  <c r="Y12" i="24"/>
  <c r="Y11" i="24"/>
  <c r="AG10" i="24"/>
  <c r="AH10" i="24"/>
  <c r="AA10" i="24"/>
  <c r="AB10" i="24"/>
  <c r="AC10" i="24"/>
  <c r="AD10" i="24"/>
  <c r="AE10" i="24"/>
  <c r="AF10" i="24"/>
  <c r="Z10" i="24"/>
  <c r="Y10" i="24"/>
  <c r="G4" i="13"/>
  <c r="G3" i="13"/>
  <c r="G2" i="13"/>
  <c r="G54" i="24"/>
  <c r="G47" i="24"/>
  <c r="G42" i="24"/>
  <c r="G38" i="24"/>
  <c r="G33" i="24"/>
  <c r="G27" i="24"/>
  <c r="G19" i="24"/>
  <c r="V28" i="24"/>
  <c r="AG28" i="24" s="1"/>
  <c r="R4" i="24" a="1"/>
  <c r="R4" i="24" s="1"/>
  <c r="S4" i="24" a="1"/>
  <c r="S4" i="24" s="1"/>
  <c r="T4" i="24" a="1"/>
  <c r="T4" i="24" s="1"/>
  <c r="U4" i="24" a="1"/>
  <c r="U4" i="24" s="1"/>
  <c r="V4" i="24" a="1"/>
  <c r="V4" i="24" s="1"/>
  <c r="W4" i="24" a="1"/>
  <c r="W4" i="24" s="1"/>
  <c r="R5" i="24" a="1"/>
  <c r="R5" i="24" s="1"/>
  <c r="R6" i="24" s="1"/>
  <c r="S5" i="24" a="1"/>
  <c r="S5" i="24" s="1"/>
  <c r="S6" i="24" s="1"/>
  <c r="T5" i="24" a="1"/>
  <c r="T5" i="24" s="1"/>
  <c r="T6" i="24" s="1"/>
  <c r="T71" i="24" s="1"/>
  <c r="AE71" i="24" s="1"/>
  <c r="U5" i="24" a="1"/>
  <c r="U5" i="24" s="1"/>
  <c r="U6" i="24" s="1"/>
  <c r="V5" i="24" a="1"/>
  <c r="V5" i="24" s="1"/>
  <c r="V6" i="24" s="1"/>
  <c r="W5" i="24" a="1"/>
  <c r="W5" i="24" s="1"/>
  <c r="W6" i="24" s="1"/>
  <c r="P3" i="24"/>
  <c r="Q3" i="24"/>
  <c r="R3" i="24"/>
  <c r="S3" i="24"/>
  <c r="T3" i="24"/>
  <c r="U3" i="24"/>
  <c r="V3" i="24"/>
  <c r="W3" i="24"/>
  <c r="O3" i="24"/>
  <c r="W2" i="24"/>
  <c r="V2" i="24"/>
  <c r="U2" i="24"/>
  <c r="T2" i="24"/>
  <c r="S2" i="24"/>
  <c r="R2" i="24"/>
  <c r="Q2" i="24"/>
  <c r="P2" i="24"/>
  <c r="O2" i="24"/>
  <c r="N2" i="24"/>
  <c r="G12" i="24"/>
  <c r="G13" i="24"/>
  <c r="G14" i="24"/>
  <c r="G15" i="24"/>
  <c r="G16" i="24"/>
  <c r="G17" i="24"/>
  <c r="G18" i="24"/>
  <c r="G20" i="24"/>
  <c r="G21" i="24"/>
  <c r="G22" i="24"/>
  <c r="G23" i="24"/>
  <c r="G24" i="24"/>
  <c r="G25" i="24"/>
  <c r="G26" i="24"/>
  <c r="G28" i="24"/>
  <c r="G29" i="24"/>
  <c r="G30" i="24"/>
  <c r="G31" i="24"/>
  <c r="G32" i="24"/>
  <c r="G34" i="24"/>
  <c r="G35" i="24"/>
  <c r="G36" i="24"/>
  <c r="G37" i="24"/>
  <c r="G39" i="24"/>
  <c r="S39" i="24" s="1"/>
  <c r="AD39" i="24" s="1"/>
  <c r="G40" i="24"/>
  <c r="G41" i="24"/>
  <c r="G43" i="24"/>
  <c r="G44" i="24"/>
  <c r="G45" i="24"/>
  <c r="G46" i="24"/>
  <c r="G48" i="24"/>
  <c r="G49" i="24"/>
  <c r="G50" i="24"/>
  <c r="G51" i="24"/>
  <c r="G52" i="24"/>
  <c r="G53" i="24"/>
  <c r="G55" i="24"/>
  <c r="G56" i="24"/>
  <c r="G57" i="24"/>
  <c r="G58" i="24"/>
  <c r="G60" i="24"/>
  <c r="G61" i="24"/>
  <c r="G62" i="24"/>
  <c r="G64" i="24"/>
  <c r="G65" i="24"/>
  <c r="G66" i="24"/>
  <c r="G68" i="24"/>
  <c r="G69" i="24"/>
  <c r="G70" i="24"/>
  <c r="G72" i="24"/>
  <c r="G73" i="24"/>
  <c r="G74" i="24"/>
  <c r="G76" i="24"/>
  <c r="G77" i="24"/>
  <c r="G78" i="24"/>
  <c r="G80" i="24"/>
  <c r="G81" i="24"/>
  <c r="G82" i="24"/>
  <c r="G84" i="24"/>
  <c r="G85" i="24"/>
  <c r="G86" i="24"/>
  <c r="G88" i="24"/>
  <c r="G89" i="24"/>
  <c r="G90" i="24"/>
  <c r="G92" i="24"/>
  <c r="G11" i="24"/>
  <c r="N12" i="24" a="1"/>
  <c r="N12" i="24" s="1"/>
  <c r="W12" i="24" s="1"/>
  <c r="AH12" i="24" s="1"/>
  <c r="N13" i="24" a="1"/>
  <c r="N13" i="24" s="1"/>
  <c r="N14" i="24" a="1"/>
  <c r="N14" i="24" s="1"/>
  <c r="T14" i="24" s="1"/>
  <c r="AE14" i="24" s="1"/>
  <c r="N15" i="24" a="1"/>
  <c r="N15" i="24" s="1"/>
  <c r="T15" i="24" s="1"/>
  <c r="AE15" i="24" s="1"/>
  <c r="N16" i="24" a="1"/>
  <c r="N16" i="24" s="1"/>
  <c r="N17" i="24" a="1"/>
  <c r="N17" i="24" s="1"/>
  <c r="N18" i="24" a="1"/>
  <c r="N18" i="24" s="1"/>
  <c r="N19" i="24" a="1"/>
  <c r="N19" i="24" s="1"/>
  <c r="N20" i="24" a="1"/>
  <c r="N20" i="24" s="1"/>
  <c r="N21" i="24" a="1"/>
  <c r="N21" i="24" s="1"/>
  <c r="U21" i="24" s="1"/>
  <c r="AF21" i="24" s="1"/>
  <c r="N22" i="24" a="1"/>
  <c r="N22" i="24" s="1"/>
  <c r="U22" i="24" s="1"/>
  <c r="AF22" i="24" s="1"/>
  <c r="N23" i="24" a="1"/>
  <c r="N23" i="24" s="1"/>
  <c r="T23" i="24" s="1"/>
  <c r="AE23" i="24" s="1"/>
  <c r="N24" i="24" a="1"/>
  <c r="N24" i="24" s="1"/>
  <c r="N25" i="24" a="1"/>
  <c r="N25" i="24" s="1"/>
  <c r="N26" i="24" a="1"/>
  <c r="N26" i="24" s="1"/>
  <c r="N27" i="24" a="1"/>
  <c r="N27" i="24" s="1"/>
  <c r="N28" i="24" a="1"/>
  <c r="N28" i="24" s="1"/>
  <c r="N29" i="24" a="1"/>
  <c r="N29" i="24" s="1"/>
  <c r="N30" i="24" a="1"/>
  <c r="N30" i="24" s="1"/>
  <c r="U30" i="24" s="1"/>
  <c r="AF30" i="24" s="1"/>
  <c r="N31" i="24" a="1"/>
  <c r="N31" i="24" s="1"/>
  <c r="N32" i="24" a="1"/>
  <c r="N32" i="24" s="1"/>
  <c r="N33" i="24" a="1"/>
  <c r="N33" i="24" s="1"/>
  <c r="N34" i="24" a="1"/>
  <c r="N34" i="24" s="1"/>
  <c r="N35" i="24" a="1"/>
  <c r="N35" i="24" s="1"/>
  <c r="W35" i="24" s="1"/>
  <c r="AH35" i="24" s="1"/>
  <c r="N36" i="24" a="1"/>
  <c r="N36" i="24" s="1"/>
  <c r="N37" i="24" a="1"/>
  <c r="N37" i="24" s="1"/>
  <c r="N38" i="24" a="1"/>
  <c r="N38" i="24" s="1"/>
  <c r="N39" i="24" a="1"/>
  <c r="N39" i="24" s="1"/>
  <c r="N40" i="24" a="1"/>
  <c r="N40" i="24" s="1"/>
  <c r="S40" i="24" s="1"/>
  <c r="AD40" i="24" s="1"/>
  <c r="N41" i="24" a="1"/>
  <c r="N41" i="24" s="1"/>
  <c r="N42" i="24" a="1"/>
  <c r="N42" i="24" s="1"/>
  <c r="N43" i="24" a="1"/>
  <c r="N43" i="24" s="1"/>
  <c r="P43" i="24" s="1"/>
  <c r="AA43" i="24" s="1"/>
  <c r="N44" i="24" a="1"/>
  <c r="N44" i="24" s="1"/>
  <c r="N45" i="24" a="1"/>
  <c r="N45" i="24" s="1"/>
  <c r="N46" i="24" a="1"/>
  <c r="N46" i="24" s="1"/>
  <c r="N47" i="24" a="1"/>
  <c r="N47" i="24" s="1"/>
  <c r="N48" i="24" a="1"/>
  <c r="N48" i="24" s="1"/>
  <c r="R48" i="24" s="1"/>
  <c r="AC48" i="24" s="1"/>
  <c r="N49" i="24" a="1"/>
  <c r="N49" i="24" s="1"/>
  <c r="N50" i="24" a="1"/>
  <c r="N50" i="24" s="1"/>
  <c r="N51" i="24" a="1"/>
  <c r="N51" i="24" s="1"/>
  <c r="N52" i="24" a="1"/>
  <c r="N52" i="24" s="1"/>
  <c r="N53" i="24" a="1"/>
  <c r="N53" i="24" s="1"/>
  <c r="N54" i="24" a="1"/>
  <c r="N54" i="24" s="1"/>
  <c r="N55" i="24" a="1"/>
  <c r="N55" i="24" s="1"/>
  <c r="T55" i="24" s="1"/>
  <c r="AE55" i="24" s="1"/>
  <c r="N56" i="24" a="1"/>
  <c r="N56" i="24" s="1"/>
  <c r="N57" i="24" a="1"/>
  <c r="N57" i="24" s="1"/>
  <c r="R57" i="24" s="1"/>
  <c r="AC57" i="24" s="1"/>
  <c r="N58" i="24" a="1"/>
  <c r="N58" i="24" s="1"/>
  <c r="N59" i="24" a="1"/>
  <c r="N59" i="24" s="1"/>
  <c r="N60" i="24" a="1"/>
  <c r="N60" i="24" s="1"/>
  <c r="V60" i="24" s="1"/>
  <c r="AG60" i="24" s="1"/>
  <c r="N61" i="24" a="1"/>
  <c r="N61" i="24" s="1"/>
  <c r="N62" i="24" a="1"/>
  <c r="N62" i="24" s="1"/>
  <c r="N63" i="24" a="1"/>
  <c r="N63" i="24" s="1"/>
  <c r="N64" i="24" a="1"/>
  <c r="N64" i="24" s="1"/>
  <c r="S64" i="24" s="1"/>
  <c r="AD64" i="24" s="1"/>
  <c r="N65" i="24" a="1"/>
  <c r="N65" i="24" s="1"/>
  <c r="R65" i="24" s="1"/>
  <c r="AC65" i="24" s="1"/>
  <c r="N66" i="24" a="1"/>
  <c r="N66" i="24" s="1"/>
  <c r="N67" i="24" a="1"/>
  <c r="N67" i="24" s="1"/>
  <c r="N68" i="24" a="1"/>
  <c r="N68" i="24" s="1"/>
  <c r="N69" i="24" a="1"/>
  <c r="N69" i="24" s="1"/>
  <c r="N70" i="24" a="1"/>
  <c r="N70" i="24" s="1"/>
  <c r="N71" i="24" a="1"/>
  <c r="N71" i="24" s="1"/>
  <c r="N72" i="24" a="1"/>
  <c r="N72" i="24" s="1"/>
  <c r="S72" i="24" s="1"/>
  <c r="AD72" i="24" s="1"/>
  <c r="N73" i="24" a="1"/>
  <c r="N73" i="24" s="1"/>
  <c r="N74" i="24" a="1"/>
  <c r="N74" i="24" s="1"/>
  <c r="N75" i="24" a="1"/>
  <c r="N75" i="24" s="1"/>
  <c r="N76" i="24" a="1"/>
  <c r="N76" i="24" s="1"/>
  <c r="O76" i="24" s="1"/>
  <c r="Z76" i="24" s="1"/>
  <c r="N77" i="24" a="1"/>
  <c r="N77" i="24" s="1"/>
  <c r="N78" i="24" a="1"/>
  <c r="N78" i="24" s="1"/>
  <c r="N79" i="24" a="1"/>
  <c r="N79" i="24" s="1"/>
  <c r="N80" i="24" a="1"/>
  <c r="N80" i="24" s="1"/>
  <c r="N81" i="24" a="1"/>
  <c r="N81" i="24" s="1"/>
  <c r="S81" i="24" s="1"/>
  <c r="AD81" i="24" s="1"/>
  <c r="N82" i="24" a="1"/>
  <c r="N82" i="24" s="1"/>
  <c r="N83" i="24" a="1"/>
  <c r="N83" i="24" s="1"/>
  <c r="N84" i="24" a="1"/>
  <c r="N84" i="24" s="1"/>
  <c r="N85" i="24" a="1"/>
  <c r="N85" i="24" s="1"/>
  <c r="N86" i="24" a="1"/>
  <c r="N86" i="24" s="1"/>
  <c r="N87" i="24" a="1"/>
  <c r="N87" i="24" s="1"/>
  <c r="N88" i="24" a="1"/>
  <c r="N88" i="24" s="1"/>
  <c r="N89" i="24" a="1"/>
  <c r="N89" i="24" s="1"/>
  <c r="N90" i="24" a="1"/>
  <c r="N90" i="24" s="1"/>
  <c r="N91" i="24" a="1"/>
  <c r="N91" i="24" s="1"/>
  <c r="N92" i="24" a="1"/>
  <c r="N92" i="24" s="1"/>
  <c r="N11" i="24" a="1"/>
  <c r="N11" i="24" s="1"/>
  <c r="P11" i="24" s="1"/>
  <c r="AA11" i="24" s="1"/>
  <c r="I12" i="24"/>
  <c r="I13" i="24"/>
  <c r="I14" i="24"/>
  <c r="J14" i="24" s="1"/>
  <c r="I15" i="24"/>
  <c r="K15" i="24" s="1"/>
  <c r="I16" i="24"/>
  <c r="K16" i="24" s="1"/>
  <c r="I17" i="24"/>
  <c r="J17" i="24" s="1"/>
  <c r="I18" i="24"/>
  <c r="K18" i="24" s="1"/>
  <c r="I19" i="24"/>
  <c r="I20" i="24"/>
  <c r="I21" i="24"/>
  <c r="J21" i="24" s="1"/>
  <c r="I22" i="24"/>
  <c r="K22" i="24" s="1"/>
  <c r="I23" i="24"/>
  <c r="K23" i="24" s="1"/>
  <c r="I24" i="24"/>
  <c r="J24" i="24" s="1"/>
  <c r="I25" i="24"/>
  <c r="K25" i="24" s="1"/>
  <c r="I26" i="24"/>
  <c r="I27" i="24"/>
  <c r="I28" i="24"/>
  <c r="I29" i="24"/>
  <c r="K29" i="24" s="1"/>
  <c r="I30" i="24"/>
  <c r="K30" i="24" s="1"/>
  <c r="I31" i="24"/>
  <c r="J31" i="24" s="1"/>
  <c r="I32" i="24"/>
  <c r="K32" i="24" s="1"/>
  <c r="I33" i="24"/>
  <c r="I34" i="24"/>
  <c r="I35" i="24"/>
  <c r="J35" i="24" s="1"/>
  <c r="I36" i="24"/>
  <c r="K36" i="24" s="1"/>
  <c r="I37" i="24"/>
  <c r="K37" i="24" s="1"/>
  <c r="I38" i="24"/>
  <c r="J38" i="24" s="1"/>
  <c r="I39" i="24"/>
  <c r="I40" i="24"/>
  <c r="I41" i="24"/>
  <c r="I42" i="24"/>
  <c r="J42" i="24" s="1"/>
  <c r="I43" i="24"/>
  <c r="I44" i="24"/>
  <c r="J44" i="24" s="1"/>
  <c r="I45" i="24"/>
  <c r="K45" i="24" s="1"/>
  <c r="I46" i="24"/>
  <c r="I47" i="24"/>
  <c r="I48" i="24"/>
  <c r="I49" i="24"/>
  <c r="K49" i="24" s="1"/>
  <c r="I50" i="24"/>
  <c r="K50" i="24" s="1"/>
  <c r="I51" i="24"/>
  <c r="J51" i="24" s="1"/>
  <c r="I52" i="24"/>
  <c r="K52" i="24" s="1"/>
  <c r="I53" i="24"/>
  <c r="I54" i="24"/>
  <c r="I55" i="24"/>
  <c r="I56" i="24"/>
  <c r="K56" i="24" s="1"/>
  <c r="I57" i="24"/>
  <c r="K57" i="24" s="1"/>
  <c r="I58" i="24"/>
  <c r="J58" i="24" s="1"/>
  <c r="I59" i="24"/>
  <c r="K59" i="24" s="1"/>
  <c r="I60" i="24"/>
  <c r="I61" i="24"/>
  <c r="I62" i="24"/>
  <c r="J62" i="24" s="1"/>
  <c r="I63" i="24"/>
  <c r="K63" i="24" s="1"/>
  <c r="I64" i="24"/>
  <c r="K64" i="24" s="1"/>
  <c r="I65" i="24"/>
  <c r="K65" i="24" s="1"/>
  <c r="I66" i="24"/>
  <c r="I67" i="24"/>
  <c r="I68" i="24"/>
  <c r="I69" i="24"/>
  <c r="K69" i="24" s="1"/>
  <c r="I70" i="24"/>
  <c r="K70" i="24" s="1"/>
  <c r="I71" i="24"/>
  <c r="J71" i="24" s="1"/>
  <c r="I72" i="24"/>
  <c r="K72" i="24" s="1"/>
  <c r="I73" i="24"/>
  <c r="I74" i="24"/>
  <c r="I75" i="24"/>
  <c r="J75" i="24" s="1"/>
  <c r="I76" i="24"/>
  <c r="K76" i="24" s="1"/>
  <c r="I77" i="24"/>
  <c r="J77" i="24" s="1"/>
  <c r="I78" i="24"/>
  <c r="K78" i="24" s="1"/>
  <c r="I79" i="24"/>
  <c r="I80" i="24"/>
  <c r="I81" i="24"/>
  <c r="J81" i="24" s="1"/>
  <c r="I82" i="24"/>
  <c r="K82" i="24" s="1"/>
  <c r="I83" i="24"/>
  <c r="K83" i="24" s="1"/>
  <c r="I84" i="24"/>
  <c r="J84" i="24" s="1"/>
  <c r="I85" i="24"/>
  <c r="I86" i="24"/>
  <c r="I87" i="24"/>
  <c r="I88" i="24"/>
  <c r="J88" i="24" s="1"/>
  <c r="I89" i="24"/>
  <c r="K89" i="24" s="1"/>
  <c r="I90" i="24"/>
  <c r="J90" i="24" s="1"/>
  <c r="I91" i="24"/>
  <c r="K91" i="24" s="1"/>
  <c r="I92" i="24"/>
  <c r="I11" i="24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E19" i="21"/>
  <c r="AE18" i="21"/>
  <c r="AE17" i="21"/>
  <c r="AE13" i="21"/>
  <c r="AE12" i="21"/>
  <c r="AE11" i="21"/>
  <c r="X11" i="21"/>
  <c r="Y11" i="21"/>
  <c r="Z11" i="21"/>
  <c r="AA11" i="21"/>
  <c r="AB11" i="21"/>
  <c r="AC11" i="21"/>
  <c r="AD11" i="21"/>
  <c r="X12" i="21"/>
  <c r="Y12" i="21"/>
  <c r="Z12" i="21"/>
  <c r="AA12" i="21"/>
  <c r="AB12" i="21"/>
  <c r="AC12" i="21"/>
  <c r="AD12" i="21"/>
  <c r="X13" i="21"/>
  <c r="Y13" i="21"/>
  <c r="Z13" i="21"/>
  <c r="AA13" i="21"/>
  <c r="AB13" i="21"/>
  <c r="AC13" i="21"/>
  <c r="AD13" i="21"/>
  <c r="X17" i="21"/>
  <c r="Y17" i="21"/>
  <c r="Z17" i="21"/>
  <c r="AA17" i="21"/>
  <c r="AB17" i="21"/>
  <c r="AC17" i="21"/>
  <c r="AD17" i="21"/>
  <c r="X18" i="21"/>
  <c r="Y18" i="21"/>
  <c r="Z18" i="21"/>
  <c r="AA18" i="21"/>
  <c r="AB18" i="21"/>
  <c r="AC18" i="21"/>
  <c r="AD18" i="21"/>
  <c r="X19" i="21"/>
  <c r="Y19" i="21"/>
  <c r="Z19" i="21"/>
  <c r="AA19" i="21"/>
  <c r="AB19" i="21"/>
  <c r="AC19" i="21"/>
  <c r="AD19" i="21"/>
  <c r="W19" i="21"/>
  <c r="W18" i="21"/>
  <c r="W17" i="21"/>
  <c r="W13" i="21"/>
  <c r="W12" i="21"/>
  <c r="W11" i="21"/>
  <c r="H11" i="21"/>
  <c r="I11" i="21"/>
  <c r="H12" i="21"/>
  <c r="I12" i="21"/>
  <c r="H13" i="21"/>
  <c r="I13" i="21"/>
  <c r="H17" i="21"/>
  <c r="I17" i="21"/>
  <c r="H18" i="21"/>
  <c r="I18" i="21"/>
  <c r="H19" i="21"/>
  <c r="I19" i="21"/>
  <c r="C15" i="21"/>
  <c r="C9" i="21"/>
  <c r="F19" i="21"/>
  <c r="E19" i="21"/>
  <c r="D19" i="21"/>
  <c r="F18" i="21"/>
  <c r="E18" i="21"/>
  <c r="D18" i="21"/>
  <c r="F17" i="21"/>
  <c r="E17" i="21"/>
  <c r="D17" i="21"/>
  <c r="E11" i="21"/>
  <c r="F11" i="21"/>
  <c r="E12" i="21"/>
  <c r="F12" i="21"/>
  <c r="E13" i="21"/>
  <c r="F13" i="21"/>
  <c r="D12" i="21"/>
  <c r="D13" i="21"/>
  <c r="D11" i="21"/>
  <c r="D106" i="22"/>
  <c r="D118" i="22" s="1"/>
  <c r="D103" i="22"/>
  <c r="D115" i="22" s="1"/>
  <c r="D127" i="22" s="1"/>
  <c r="T82" i="22" s="1"/>
  <c r="D102" i="22"/>
  <c r="D114" i="22" s="1"/>
  <c r="D101" i="22"/>
  <c r="D113" i="22" s="1"/>
  <c r="T72" i="22" s="1"/>
  <c r="T74" i="22"/>
  <c r="D82" i="22"/>
  <c r="T51" i="22" s="1"/>
  <c r="D77" i="22"/>
  <c r="D78" i="22" s="1"/>
  <c r="T47" i="22" s="1"/>
  <c r="T69" i="22"/>
  <c r="T66" i="22"/>
  <c r="D73" i="22"/>
  <c r="T45" i="22" s="1"/>
  <c r="T65" i="22"/>
  <c r="D72" i="22"/>
  <c r="T64" i="22"/>
  <c r="D69" i="22"/>
  <c r="T41" i="22" s="1"/>
  <c r="T61" i="22"/>
  <c r="D63" i="22"/>
  <c r="T58" i="22"/>
  <c r="D61" i="22"/>
  <c r="T33" i="22" s="1"/>
  <c r="T57" i="22"/>
  <c r="T56" i="22"/>
  <c r="D55" i="22"/>
  <c r="D57" i="22" s="1"/>
  <c r="T31" i="22" s="1"/>
  <c r="T53" i="22"/>
  <c r="T50" i="22"/>
  <c r="T49" i="22"/>
  <c r="T48" i="22"/>
  <c r="D46" i="22"/>
  <c r="D44" i="22"/>
  <c r="D70" i="22" s="1"/>
  <c r="T42" i="22" s="1"/>
  <c r="T44" i="22"/>
  <c r="T43" i="22"/>
  <c r="T40" i="22"/>
  <c r="T39" i="22"/>
  <c r="D32" i="22"/>
  <c r="D33" i="22" s="1"/>
  <c r="T34" i="22"/>
  <c r="D29" i="22"/>
  <c r="D50" i="22" s="1"/>
  <c r="T28" i="22" s="1"/>
  <c r="D25" i="22"/>
  <c r="D24" i="22"/>
  <c r="T32" i="22"/>
  <c r="D23" i="22"/>
  <c r="D22" i="22"/>
  <c r="T30" i="22"/>
  <c r="D21" i="22"/>
  <c r="C18" i="22"/>
  <c r="T27" i="22"/>
  <c r="T26" i="22"/>
  <c r="T25" i="22"/>
  <c r="T22" i="22"/>
  <c r="T20" i="22"/>
  <c r="P6" i="22"/>
  <c r="O6" i="22"/>
  <c r="N6" i="22"/>
  <c r="N7" i="22" s="1"/>
  <c r="M6" i="22"/>
  <c r="L6" i="22"/>
  <c r="K6" i="22"/>
  <c r="J6" i="22"/>
  <c r="I6" i="22"/>
  <c r="H6" i="22"/>
  <c r="G6" i="22"/>
  <c r="F6" i="22"/>
  <c r="F7" i="22" s="1"/>
  <c r="E6" i="22"/>
  <c r="E7" i="22" s="1"/>
  <c r="P5" i="22"/>
  <c r="O5" i="22"/>
  <c r="N5" i="22"/>
  <c r="M5" i="22"/>
  <c r="L5" i="22"/>
  <c r="K5" i="22"/>
  <c r="J5" i="22"/>
  <c r="I5" i="22"/>
  <c r="H5" i="22"/>
  <c r="G5" i="22"/>
  <c r="F5" i="22"/>
  <c r="E5" i="22"/>
  <c r="T17" i="22"/>
  <c r="T16" i="22"/>
  <c r="U62" i="24" l="1"/>
  <c r="AF62" i="24" s="1"/>
  <c r="R25" i="24"/>
  <c r="AC25" i="24" s="1"/>
  <c r="R16" i="24"/>
  <c r="AC16" i="24" s="1"/>
  <c r="T46" i="24"/>
  <c r="AE46" i="24" s="1"/>
  <c r="T70" i="24"/>
  <c r="AE70" i="24" s="1"/>
  <c r="S32" i="24"/>
  <c r="AD32" i="24" s="1"/>
  <c r="T47" i="24"/>
  <c r="AE47" i="24" s="1"/>
  <c r="W36" i="24"/>
  <c r="AH36" i="24" s="1"/>
  <c r="W67" i="24"/>
  <c r="AH67" i="24" s="1"/>
  <c r="C11" i="21"/>
  <c r="V61" i="24"/>
  <c r="AG61" i="24" s="1"/>
  <c r="W13" i="24"/>
  <c r="AH13" i="24" s="1"/>
  <c r="R32" i="24"/>
  <c r="AC32" i="24" s="1"/>
  <c r="Q57" i="24"/>
  <c r="AB57" i="24" s="1"/>
  <c r="O68" i="24"/>
  <c r="Z68" i="24" s="1"/>
  <c r="U46" i="24"/>
  <c r="AF46" i="24" s="1"/>
  <c r="P12" i="24"/>
  <c r="AA12" i="24" s="1"/>
  <c r="O43" i="24"/>
  <c r="Z43" i="24" s="1"/>
  <c r="R64" i="24"/>
  <c r="AC64" i="24" s="1"/>
  <c r="U14" i="24"/>
  <c r="AF14" i="24" s="1"/>
  <c r="R33" i="24"/>
  <c r="AC33" i="24" s="1"/>
  <c r="U54" i="24"/>
  <c r="AF54" i="24" s="1"/>
  <c r="T38" i="24"/>
  <c r="AE38" i="24" s="1"/>
  <c r="T69" i="24"/>
  <c r="AE69" i="24" s="1"/>
  <c r="S69" i="24"/>
  <c r="AD69" i="24" s="1"/>
  <c r="R69" i="24"/>
  <c r="AC69" i="24" s="1"/>
  <c r="Q69" i="24"/>
  <c r="AB69" i="24" s="1"/>
  <c r="P69" i="24"/>
  <c r="AA69" i="24" s="1"/>
  <c r="W69" i="24"/>
  <c r="AH69" i="24" s="1"/>
  <c r="O69" i="24"/>
  <c r="Z69" i="24" s="1"/>
  <c r="T29" i="24"/>
  <c r="AE29" i="24" s="1"/>
  <c r="S29" i="24"/>
  <c r="AD29" i="24" s="1"/>
  <c r="R29" i="24"/>
  <c r="AC29" i="24" s="1"/>
  <c r="Q29" i="24"/>
  <c r="AB29" i="24" s="1"/>
  <c r="P29" i="24"/>
  <c r="AA29" i="24" s="1"/>
  <c r="W29" i="24"/>
  <c r="AH29" i="24" s="1"/>
  <c r="O29" i="24"/>
  <c r="Z29" i="24" s="1"/>
  <c r="Q11" i="24"/>
  <c r="AB11" i="24" s="1"/>
  <c r="U60" i="24"/>
  <c r="AF60" i="24" s="1"/>
  <c r="T60" i="24"/>
  <c r="AE60" i="24" s="1"/>
  <c r="S60" i="24"/>
  <c r="AD60" i="24" s="1"/>
  <c r="R60" i="24"/>
  <c r="AC60" i="24" s="1"/>
  <c r="Q60" i="24"/>
  <c r="AB60" i="24" s="1"/>
  <c r="P60" i="24"/>
  <c r="AA60" i="24" s="1"/>
  <c r="U20" i="24"/>
  <c r="AF20" i="24" s="1"/>
  <c r="T20" i="24"/>
  <c r="AE20" i="24" s="1"/>
  <c r="S20" i="24"/>
  <c r="AD20" i="24" s="1"/>
  <c r="R20" i="24"/>
  <c r="AC20" i="24" s="1"/>
  <c r="Q20" i="24"/>
  <c r="AB20" i="24" s="1"/>
  <c r="P20" i="24"/>
  <c r="AA20" i="24" s="1"/>
  <c r="T91" i="24"/>
  <c r="AE91" i="24" s="1"/>
  <c r="S91" i="24"/>
  <c r="AD91" i="24" s="1"/>
  <c r="R91" i="24"/>
  <c r="AC91" i="24" s="1"/>
  <c r="W91" i="24"/>
  <c r="AH91" i="24" s="1"/>
  <c r="V91" i="24"/>
  <c r="AG91" i="24" s="1"/>
  <c r="U91" i="24"/>
  <c r="AF91" i="24" s="1"/>
  <c r="T83" i="24"/>
  <c r="AE83" i="24" s="1"/>
  <c r="S83" i="24"/>
  <c r="AD83" i="24" s="1"/>
  <c r="R83" i="24"/>
  <c r="AC83" i="24" s="1"/>
  <c r="W83" i="24"/>
  <c r="AH83" i="24" s="1"/>
  <c r="V83" i="24"/>
  <c r="AG83" i="24" s="1"/>
  <c r="V75" i="24"/>
  <c r="AG75" i="24" s="1"/>
  <c r="U75" i="24"/>
  <c r="AF75" i="24" s="1"/>
  <c r="T75" i="24"/>
  <c r="AE75" i="24" s="1"/>
  <c r="S75" i="24"/>
  <c r="AD75" i="24" s="1"/>
  <c r="R75" i="24"/>
  <c r="AC75" i="24" s="1"/>
  <c r="V67" i="24"/>
  <c r="AG67" i="24" s="1"/>
  <c r="U67" i="24"/>
  <c r="AF67" i="24" s="1"/>
  <c r="T67" i="24"/>
  <c r="AE67" i="24" s="1"/>
  <c r="S67" i="24"/>
  <c r="AD67" i="24" s="1"/>
  <c r="R67" i="24"/>
  <c r="AC67" i="24" s="1"/>
  <c r="V59" i="24"/>
  <c r="AG59" i="24" s="1"/>
  <c r="U59" i="24"/>
  <c r="AF59" i="24" s="1"/>
  <c r="T59" i="24"/>
  <c r="AE59" i="24" s="1"/>
  <c r="S59" i="24"/>
  <c r="AD59" i="24" s="1"/>
  <c r="R59" i="24"/>
  <c r="AC59" i="24" s="1"/>
  <c r="V51" i="24"/>
  <c r="AG51" i="24" s="1"/>
  <c r="U51" i="24"/>
  <c r="AF51" i="24" s="1"/>
  <c r="T51" i="24"/>
  <c r="AE51" i="24" s="1"/>
  <c r="S51" i="24"/>
  <c r="AD51" i="24" s="1"/>
  <c r="R51" i="24"/>
  <c r="AC51" i="24" s="1"/>
  <c r="Q51" i="24"/>
  <c r="AB51" i="24" s="1"/>
  <c r="V43" i="24"/>
  <c r="AG43" i="24" s="1"/>
  <c r="U43" i="24"/>
  <c r="AF43" i="24" s="1"/>
  <c r="T43" i="24"/>
  <c r="AE43" i="24" s="1"/>
  <c r="S43" i="24"/>
  <c r="AD43" i="24" s="1"/>
  <c r="R43" i="24"/>
  <c r="AC43" i="24" s="1"/>
  <c r="Q43" i="24"/>
  <c r="AB43" i="24" s="1"/>
  <c r="V35" i="24"/>
  <c r="AG35" i="24" s="1"/>
  <c r="U35" i="24"/>
  <c r="AF35" i="24" s="1"/>
  <c r="T35" i="24"/>
  <c r="AE35" i="24" s="1"/>
  <c r="S35" i="24"/>
  <c r="AD35" i="24" s="1"/>
  <c r="R35" i="24"/>
  <c r="AC35" i="24" s="1"/>
  <c r="Q35" i="24"/>
  <c r="AB35" i="24" s="1"/>
  <c r="V27" i="24"/>
  <c r="AG27" i="24" s="1"/>
  <c r="U27" i="24"/>
  <c r="AF27" i="24" s="1"/>
  <c r="T27" i="24"/>
  <c r="AE27" i="24" s="1"/>
  <c r="S27" i="24"/>
  <c r="AD27" i="24" s="1"/>
  <c r="R27" i="24"/>
  <c r="AC27" i="24" s="1"/>
  <c r="V19" i="24"/>
  <c r="AG19" i="24" s="1"/>
  <c r="U19" i="24"/>
  <c r="AF19" i="24" s="1"/>
  <c r="T19" i="24"/>
  <c r="AE19" i="24" s="1"/>
  <c r="S19" i="24"/>
  <c r="AD19" i="24" s="1"/>
  <c r="R19" i="24"/>
  <c r="AC19" i="24" s="1"/>
  <c r="S11" i="24"/>
  <c r="AD11" i="24" s="1"/>
  <c r="R12" i="24"/>
  <c r="AC12" i="24" s="1"/>
  <c r="Q13" i="24"/>
  <c r="AB13" i="24" s="1"/>
  <c r="S15" i="24"/>
  <c r="AD15" i="24" s="1"/>
  <c r="T22" i="24"/>
  <c r="AE22" i="24" s="1"/>
  <c r="U29" i="24"/>
  <c r="AF29" i="24" s="1"/>
  <c r="V36" i="24"/>
  <c r="AG36" i="24" s="1"/>
  <c r="R40" i="24"/>
  <c r="AC40" i="24" s="1"/>
  <c r="W43" i="24"/>
  <c r="AH43" i="24" s="1"/>
  <c r="S47" i="24"/>
  <c r="AD47" i="24" s="1"/>
  <c r="O51" i="24"/>
  <c r="Z51" i="24" s="1"/>
  <c r="T54" i="24"/>
  <c r="AE54" i="24" s="1"/>
  <c r="U61" i="24"/>
  <c r="AF61" i="24" s="1"/>
  <c r="Q65" i="24"/>
  <c r="AB65" i="24" s="1"/>
  <c r="V68" i="24"/>
  <c r="AG68" i="24" s="1"/>
  <c r="R72" i="24"/>
  <c r="AC72" i="24" s="1"/>
  <c r="W75" i="24"/>
  <c r="AH75" i="24" s="1"/>
  <c r="O81" i="24"/>
  <c r="Z81" i="24" s="1"/>
  <c r="T53" i="24"/>
  <c r="AE53" i="24" s="1"/>
  <c r="S53" i="24"/>
  <c r="AD53" i="24" s="1"/>
  <c r="R53" i="24"/>
  <c r="AC53" i="24" s="1"/>
  <c r="W53" i="24"/>
  <c r="AH53" i="24" s="1"/>
  <c r="S84" i="24"/>
  <c r="AD84" i="24" s="1"/>
  <c r="R84" i="24"/>
  <c r="AC84" i="24" s="1"/>
  <c r="Q84" i="24"/>
  <c r="AB84" i="24" s="1"/>
  <c r="W84" i="24"/>
  <c r="AH84" i="24" s="1"/>
  <c r="O84" i="24"/>
  <c r="Z84" i="24" s="1"/>
  <c r="V84" i="24"/>
  <c r="AG84" i="24" s="1"/>
  <c r="U84" i="24"/>
  <c r="AF84" i="24" s="1"/>
  <c r="T84" i="24"/>
  <c r="AE84" i="24" s="1"/>
  <c r="U44" i="24"/>
  <c r="AF44" i="24" s="1"/>
  <c r="T44" i="24"/>
  <c r="AE44" i="24" s="1"/>
  <c r="S44" i="24"/>
  <c r="AD44" i="24" s="1"/>
  <c r="R44" i="24"/>
  <c r="AC44" i="24" s="1"/>
  <c r="Q44" i="24"/>
  <c r="AB44" i="24" s="1"/>
  <c r="P44" i="24"/>
  <c r="AA44" i="24" s="1"/>
  <c r="T39" i="24"/>
  <c r="AE39" i="24" s="1"/>
  <c r="U90" i="24"/>
  <c r="AF90" i="24" s="1"/>
  <c r="T90" i="24"/>
  <c r="AE90" i="24" s="1"/>
  <c r="S90" i="24"/>
  <c r="AD90" i="24" s="1"/>
  <c r="R90" i="24"/>
  <c r="AC90" i="24" s="1"/>
  <c r="W90" i="24"/>
  <c r="AH90" i="24" s="1"/>
  <c r="V90" i="24"/>
  <c r="AG90" i="24" s="1"/>
  <c r="U82" i="24"/>
  <c r="AF82" i="24" s="1"/>
  <c r="T82" i="24"/>
  <c r="AE82" i="24" s="1"/>
  <c r="S82" i="24"/>
  <c r="AD82" i="24" s="1"/>
  <c r="W82" i="24"/>
  <c r="AH82" i="24" s="1"/>
  <c r="V82" i="24"/>
  <c r="AG82" i="24" s="1"/>
  <c r="R82" i="24"/>
  <c r="AC82" i="24" s="1"/>
  <c r="W74" i="24"/>
  <c r="AH74" i="24" s="1"/>
  <c r="V74" i="24"/>
  <c r="AG74" i="24" s="1"/>
  <c r="U74" i="24"/>
  <c r="AF74" i="24" s="1"/>
  <c r="T74" i="24"/>
  <c r="AE74" i="24" s="1"/>
  <c r="S74" i="24"/>
  <c r="AD74" i="24" s="1"/>
  <c r="R74" i="24"/>
  <c r="AC74" i="24" s="1"/>
  <c r="W66" i="24"/>
  <c r="AH66" i="24" s="1"/>
  <c r="V66" i="24"/>
  <c r="AG66" i="24" s="1"/>
  <c r="U66" i="24"/>
  <c r="AF66" i="24" s="1"/>
  <c r="T66" i="24"/>
  <c r="AE66" i="24" s="1"/>
  <c r="S66" i="24"/>
  <c r="AD66" i="24" s="1"/>
  <c r="R66" i="24"/>
  <c r="AC66" i="24" s="1"/>
  <c r="W58" i="24"/>
  <c r="AH58" i="24" s="1"/>
  <c r="V58" i="24"/>
  <c r="AG58" i="24" s="1"/>
  <c r="U58" i="24"/>
  <c r="AF58" i="24" s="1"/>
  <c r="T58" i="24"/>
  <c r="AE58" i="24" s="1"/>
  <c r="S58" i="24"/>
  <c r="AD58" i="24" s="1"/>
  <c r="R58" i="24"/>
  <c r="AC58" i="24" s="1"/>
  <c r="W50" i="24"/>
  <c r="AH50" i="24" s="1"/>
  <c r="V50" i="24"/>
  <c r="AG50" i="24" s="1"/>
  <c r="U50" i="24"/>
  <c r="AF50" i="24" s="1"/>
  <c r="T50" i="24"/>
  <c r="AE50" i="24" s="1"/>
  <c r="S50" i="24"/>
  <c r="AD50" i="24" s="1"/>
  <c r="R50" i="24"/>
  <c r="AC50" i="24" s="1"/>
  <c r="W42" i="24"/>
  <c r="AH42" i="24" s="1"/>
  <c r="V42" i="24"/>
  <c r="AG42" i="24" s="1"/>
  <c r="U42" i="24"/>
  <c r="AF42" i="24" s="1"/>
  <c r="T42" i="24"/>
  <c r="AE42" i="24" s="1"/>
  <c r="S42" i="24"/>
  <c r="AD42" i="24" s="1"/>
  <c r="R42" i="24"/>
  <c r="AC42" i="24" s="1"/>
  <c r="W34" i="24"/>
  <c r="AH34" i="24" s="1"/>
  <c r="O34" i="24"/>
  <c r="Z34" i="24" s="1"/>
  <c r="V34" i="24"/>
  <c r="AG34" i="24" s="1"/>
  <c r="U34" i="24"/>
  <c r="AF34" i="24" s="1"/>
  <c r="T34" i="24"/>
  <c r="AE34" i="24" s="1"/>
  <c r="S34" i="24"/>
  <c r="AD34" i="24" s="1"/>
  <c r="R34" i="24"/>
  <c r="AC34" i="24" s="1"/>
  <c r="W26" i="24"/>
  <c r="AH26" i="24" s="1"/>
  <c r="V26" i="24"/>
  <c r="AG26" i="24" s="1"/>
  <c r="U26" i="24"/>
  <c r="AF26" i="24" s="1"/>
  <c r="T26" i="24"/>
  <c r="AE26" i="24" s="1"/>
  <c r="S26" i="24"/>
  <c r="AD26" i="24" s="1"/>
  <c r="R26" i="24"/>
  <c r="AC26" i="24" s="1"/>
  <c r="W18" i="24"/>
  <c r="AH18" i="24" s="1"/>
  <c r="V18" i="24"/>
  <c r="AG18" i="24" s="1"/>
  <c r="U18" i="24"/>
  <c r="AF18" i="24" s="1"/>
  <c r="T18" i="24"/>
  <c r="AE18" i="24" s="1"/>
  <c r="S18" i="24"/>
  <c r="AD18" i="24" s="1"/>
  <c r="R18" i="24"/>
  <c r="AC18" i="24" s="1"/>
  <c r="T11" i="24"/>
  <c r="AE11" i="24" s="1"/>
  <c r="S12" i="24"/>
  <c r="AD12" i="24" s="1"/>
  <c r="R13" i="24"/>
  <c r="AC13" i="24" s="1"/>
  <c r="V29" i="24"/>
  <c r="AG29" i="24" s="1"/>
  <c r="O44" i="24"/>
  <c r="Z44" i="24" s="1"/>
  <c r="P51" i="24"/>
  <c r="AA51" i="24" s="1"/>
  <c r="W68" i="24"/>
  <c r="AH68" i="24" s="1"/>
  <c r="V77" i="24"/>
  <c r="AG77" i="24" s="1"/>
  <c r="U77" i="24"/>
  <c r="AF77" i="24" s="1"/>
  <c r="T77" i="24"/>
  <c r="AE77" i="24" s="1"/>
  <c r="W77" i="24"/>
  <c r="AH77" i="24" s="1"/>
  <c r="S77" i="24"/>
  <c r="AD77" i="24" s="1"/>
  <c r="R77" i="24"/>
  <c r="AC77" i="24" s="1"/>
  <c r="Q77" i="24"/>
  <c r="AB77" i="24" s="1"/>
  <c r="P77" i="24"/>
  <c r="AA77" i="24" s="1"/>
  <c r="O77" i="24"/>
  <c r="Z77" i="24" s="1"/>
  <c r="T37" i="24"/>
  <c r="AE37" i="24" s="1"/>
  <c r="S37" i="24"/>
  <c r="AD37" i="24" s="1"/>
  <c r="R37" i="24"/>
  <c r="AC37" i="24" s="1"/>
  <c r="W37" i="24"/>
  <c r="AH37" i="24" s="1"/>
  <c r="S71" i="24"/>
  <c r="AD71" i="24" s="1"/>
  <c r="U76" i="24"/>
  <c r="AF76" i="24" s="1"/>
  <c r="T76" i="24"/>
  <c r="AE76" i="24" s="1"/>
  <c r="S76" i="24"/>
  <c r="AD76" i="24" s="1"/>
  <c r="R76" i="24"/>
  <c r="AC76" i="24" s="1"/>
  <c r="Q76" i="24"/>
  <c r="AB76" i="24" s="1"/>
  <c r="P76" i="24"/>
  <c r="AA76" i="24" s="1"/>
  <c r="Q12" i="24"/>
  <c r="AB12" i="24" s="1"/>
  <c r="V53" i="24"/>
  <c r="AG53" i="24" s="1"/>
  <c r="U79" i="24"/>
  <c r="AF79" i="24" s="1"/>
  <c r="V89" i="24"/>
  <c r="AG89" i="24" s="1"/>
  <c r="U89" i="24"/>
  <c r="AF89" i="24" s="1"/>
  <c r="T89" i="24"/>
  <c r="AE89" i="24" s="1"/>
  <c r="S89" i="24"/>
  <c r="AD89" i="24" s="1"/>
  <c r="R89" i="24"/>
  <c r="AC89" i="24" s="1"/>
  <c r="Q89" i="24"/>
  <c r="AB89" i="24" s="1"/>
  <c r="P89" i="24"/>
  <c r="AA89" i="24" s="1"/>
  <c r="V81" i="24"/>
  <c r="AG81" i="24" s="1"/>
  <c r="R81" i="24"/>
  <c r="AC81" i="24" s="1"/>
  <c r="Q81" i="24"/>
  <c r="AB81" i="24" s="1"/>
  <c r="P81" i="24"/>
  <c r="AA81" i="24" s="1"/>
  <c r="W81" i="24"/>
  <c r="AH81" i="24" s="1"/>
  <c r="U81" i="24"/>
  <c r="AF81" i="24" s="1"/>
  <c r="T81" i="24"/>
  <c r="AE81" i="24" s="1"/>
  <c r="P73" i="24"/>
  <c r="AA73" i="24" s="1"/>
  <c r="W73" i="24"/>
  <c r="AH73" i="24" s="1"/>
  <c r="O73" i="24"/>
  <c r="Z73" i="24" s="1"/>
  <c r="V73" i="24"/>
  <c r="AG73" i="24" s="1"/>
  <c r="U73" i="24"/>
  <c r="AF73" i="24" s="1"/>
  <c r="T73" i="24"/>
  <c r="AE73" i="24" s="1"/>
  <c r="S73" i="24"/>
  <c r="AD73" i="24" s="1"/>
  <c r="P65" i="24"/>
  <c r="AA65" i="24" s="1"/>
  <c r="W65" i="24"/>
  <c r="AH65" i="24" s="1"/>
  <c r="O65" i="24"/>
  <c r="Z65" i="24" s="1"/>
  <c r="V65" i="24"/>
  <c r="AG65" i="24" s="1"/>
  <c r="U65" i="24"/>
  <c r="AF65" i="24" s="1"/>
  <c r="T65" i="24"/>
  <c r="AE65" i="24" s="1"/>
  <c r="S65" i="24"/>
  <c r="AD65" i="24" s="1"/>
  <c r="P57" i="24"/>
  <c r="AA57" i="24" s="1"/>
  <c r="W57" i="24"/>
  <c r="AH57" i="24" s="1"/>
  <c r="O57" i="24"/>
  <c r="Z57" i="24" s="1"/>
  <c r="V57" i="24"/>
  <c r="AG57" i="24" s="1"/>
  <c r="U57" i="24"/>
  <c r="AF57" i="24" s="1"/>
  <c r="T57" i="24"/>
  <c r="AE57" i="24" s="1"/>
  <c r="S57" i="24"/>
  <c r="AD57" i="24" s="1"/>
  <c r="P49" i="24"/>
  <c r="AA49" i="24" s="1"/>
  <c r="W49" i="24"/>
  <c r="AH49" i="24" s="1"/>
  <c r="O49" i="24"/>
  <c r="Z49" i="24" s="1"/>
  <c r="V49" i="24"/>
  <c r="AG49" i="24" s="1"/>
  <c r="U49" i="24"/>
  <c r="AF49" i="24" s="1"/>
  <c r="T49" i="24"/>
  <c r="AE49" i="24" s="1"/>
  <c r="S49" i="24"/>
  <c r="AD49" i="24" s="1"/>
  <c r="W41" i="24"/>
  <c r="AH41" i="24" s="1"/>
  <c r="V41" i="24"/>
  <c r="AG41" i="24" s="1"/>
  <c r="U41" i="24"/>
  <c r="AF41" i="24" s="1"/>
  <c r="T41" i="24"/>
  <c r="AE41" i="24" s="1"/>
  <c r="S41" i="24"/>
  <c r="AD41" i="24" s="1"/>
  <c r="W33" i="24"/>
  <c r="AH33" i="24" s="1"/>
  <c r="V33" i="24"/>
  <c r="AG33" i="24" s="1"/>
  <c r="U33" i="24"/>
  <c r="AF33" i="24" s="1"/>
  <c r="T33" i="24"/>
  <c r="AE33" i="24" s="1"/>
  <c r="S33" i="24"/>
  <c r="AD33" i="24" s="1"/>
  <c r="W25" i="24"/>
  <c r="AH25" i="24" s="1"/>
  <c r="V25" i="24"/>
  <c r="AG25" i="24" s="1"/>
  <c r="U25" i="24"/>
  <c r="AF25" i="24" s="1"/>
  <c r="T25" i="24"/>
  <c r="AE25" i="24" s="1"/>
  <c r="S25" i="24"/>
  <c r="AD25" i="24" s="1"/>
  <c r="W17" i="24"/>
  <c r="AH17" i="24" s="1"/>
  <c r="V17" i="24"/>
  <c r="AG17" i="24" s="1"/>
  <c r="U17" i="24"/>
  <c r="AF17" i="24" s="1"/>
  <c r="T17" i="24"/>
  <c r="AE17" i="24" s="1"/>
  <c r="S17" i="24"/>
  <c r="AD17" i="24" s="1"/>
  <c r="U11" i="24"/>
  <c r="AF11" i="24" s="1"/>
  <c r="T12" i="24"/>
  <c r="AE12" i="24" s="1"/>
  <c r="S13" i="24"/>
  <c r="AD13" i="24" s="1"/>
  <c r="W19" i="24"/>
  <c r="AH19" i="24" s="1"/>
  <c r="S23" i="24"/>
  <c r="AD23" i="24" s="1"/>
  <c r="T30" i="24"/>
  <c r="AE30" i="24" s="1"/>
  <c r="P34" i="24"/>
  <c r="AA34" i="24" s="1"/>
  <c r="U37" i="24"/>
  <c r="AF37" i="24" s="1"/>
  <c r="V44" i="24"/>
  <c r="AG44" i="24" s="1"/>
  <c r="W51" i="24"/>
  <c r="AH51" i="24" s="1"/>
  <c r="S55" i="24"/>
  <c r="AD55" i="24" s="1"/>
  <c r="T62" i="24"/>
  <c r="AE62" i="24" s="1"/>
  <c r="U69" i="24"/>
  <c r="AF69" i="24" s="1"/>
  <c r="Q73" i="24"/>
  <c r="AB73" i="24" s="1"/>
  <c r="V76" i="24"/>
  <c r="AG76" i="24" s="1"/>
  <c r="U83" i="24"/>
  <c r="AF83" i="24" s="1"/>
  <c r="R85" i="24"/>
  <c r="AC85" i="24" s="1"/>
  <c r="Q85" i="24"/>
  <c r="AB85" i="24" s="1"/>
  <c r="P85" i="24"/>
  <c r="AA85" i="24" s="1"/>
  <c r="W85" i="24"/>
  <c r="AH85" i="24" s="1"/>
  <c r="V85" i="24"/>
  <c r="AG85" i="24" s="1"/>
  <c r="U85" i="24"/>
  <c r="AF85" i="24" s="1"/>
  <c r="T85" i="24"/>
  <c r="AE85" i="24" s="1"/>
  <c r="S85" i="24"/>
  <c r="AD85" i="24" s="1"/>
  <c r="O85" i="24"/>
  <c r="Z85" i="24" s="1"/>
  <c r="T45" i="24"/>
  <c r="AE45" i="24" s="1"/>
  <c r="S45" i="24"/>
  <c r="AD45" i="24" s="1"/>
  <c r="R45" i="24"/>
  <c r="AC45" i="24" s="1"/>
  <c r="Q45" i="24"/>
  <c r="AB45" i="24" s="1"/>
  <c r="P45" i="24"/>
  <c r="AA45" i="24" s="1"/>
  <c r="W45" i="24"/>
  <c r="AH45" i="24" s="1"/>
  <c r="O45" i="24"/>
  <c r="Z45" i="24" s="1"/>
  <c r="O13" i="24"/>
  <c r="Z13" i="24" s="1"/>
  <c r="U52" i="24"/>
  <c r="AF52" i="24" s="1"/>
  <c r="T52" i="24"/>
  <c r="AE52" i="24" s="1"/>
  <c r="S52" i="24"/>
  <c r="AD52" i="24" s="1"/>
  <c r="R52" i="24"/>
  <c r="AC52" i="24" s="1"/>
  <c r="W88" i="24"/>
  <c r="AH88" i="24" s="1"/>
  <c r="O88" i="24"/>
  <c r="Z88" i="24" s="1"/>
  <c r="V88" i="24"/>
  <c r="AG88" i="24" s="1"/>
  <c r="U88" i="24"/>
  <c r="AF88" i="24" s="1"/>
  <c r="T88" i="24"/>
  <c r="AE88" i="24" s="1"/>
  <c r="S88" i="24"/>
  <c r="AD88" i="24" s="1"/>
  <c r="R88" i="24"/>
  <c r="AC88" i="24" s="1"/>
  <c r="Q88" i="24"/>
  <c r="AB88" i="24" s="1"/>
  <c r="P88" i="24"/>
  <c r="AA88" i="24" s="1"/>
  <c r="W80" i="24"/>
  <c r="AH80" i="24" s="1"/>
  <c r="O80" i="24"/>
  <c r="Z80" i="24" s="1"/>
  <c r="S80" i="24"/>
  <c r="AD80" i="24" s="1"/>
  <c r="R80" i="24"/>
  <c r="AC80" i="24" s="1"/>
  <c r="Q80" i="24"/>
  <c r="AB80" i="24" s="1"/>
  <c r="V80" i="24"/>
  <c r="AG80" i="24" s="1"/>
  <c r="U80" i="24"/>
  <c r="AF80" i="24" s="1"/>
  <c r="T80" i="24"/>
  <c r="AE80" i="24" s="1"/>
  <c r="P80" i="24"/>
  <c r="AA80" i="24" s="1"/>
  <c r="Q72" i="24"/>
  <c r="AB72" i="24" s="1"/>
  <c r="P72" i="24"/>
  <c r="AA72" i="24" s="1"/>
  <c r="W72" i="24"/>
  <c r="AH72" i="24" s="1"/>
  <c r="O72" i="24"/>
  <c r="Z72" i="24" s="1"/>
  <c r="V72" i="24"/>
  <c r="AG72" i="24" s="1"/>
  <c r="U72" i="24"/>
  <c r="AF72" i="24" s="1"/>
  <c r="T72" i="24"/>
  <c r="AE72" i="24" s="1"/>
  <c r="Q64" i="24"/>
  <c r="AB64" i="24" s="1"/>
  <c r="P64" i="24"/>
  <c r="AA64" i="24" s="1"/>
  <c r="W64" i="24"/>
  <c r="AH64" i="24" s="1"/>
  <c r="O64" i="24"/>
  <c r="Z64" i="24" s="1"/>
  <c r="V64" i="24"/>
  <c r="AG64" i="24" s="1"/>
  <c r="U64" i="24"/>
  <c r="AF64" i="24" s="1"/>
  <c r="T64" i="24"/>
  <c r="AE64" i="24" s="1"/>
  <c r="Q56" i="24"/>
  <c r="AB56" i="24" s="1"/>
  <c r="P56" i="24"/>
  <c r="AA56" i="24" s="1"/>
  <c r="W56" i="24"/>
  <c r="AH56" i="24" s="1"/>
  <c r="O56" i="24"/>
  <c r="Z56" i="24" s="1"/>
  <c r="V56" i="24"/>
  <c r="AG56" i="24" s="1"/>
  <c r="U56" i="24"/>
  <c r="AF56" i="24" s="1"/>
  <c r="T56" i="24"/>
  <c r="AE56" i="24" s="1"/>
  <c r="Q48" i="24"/>
  <c r="AB48" i="24" s="1"/>
  <c r="P48" i="24"/>
  <c r="AA48" i="24" s="1"/>
  <c r="W48" i="24"/>
  <c r="AH48" i="24" s="1"/>
  <c r="O48" i="24"/>
  <c r="Z48" i="24" s="1"/>
  <c r="V48" i="24"/>
  <c r="AG48" i="24" s="1"/>
  <c r="U48" i="24"/>
  <c r="AF48" i="24" s="1"/>
  <c r="T48" i="24"/>
  <c r="AE48" i="24" s="1"/>
  <c r="Q40" i="24"/>
  <c r="AB40" i="24" s="1"/>
  <c r="P40" i="24"/>
  <c r="AA40" i="24" s="1"/>
  <c r="W40" i="24"/>
  <c r="AH40" i="24" s="1"/>
  <c r="O40" i="24"/>
  <c r="Z40" i="24" s="1"/>
  <c r="V40" i="24"/>
  <c r="AG40" i="24" s="1"/>
  <c r="U40" i="24"/>
  <c r="AF40" i="24" s="1"/>
  <c r="T40" i="24"/>
  <c r="AE40" i="24" s="1"/>
  <c r="W32" i="24"/>
  <c r="AH32" i="24" s="1"/>
  <c r="V32" i="24"/>
  <c r="AG32" i="24" s="1"/>
  <c r="U32" i="24"/>
  <c r="AF32" i="24" s="1"/>
  <c r="T32" i="24"/>
  <c r="AE32" i="24" s="1"/>
  <c r="Q24" i="24"/>
  <c r="AB24" i="24" s="1"/>
  <c r="P24" i="24"/>
  <c r="AA24" i="24" s="1"/>
  <c r="W24" i="24"/>
  <c r="AH24" i="24" s="1"/>
  <c r="O24" i="24"/>
  <c r="Z24" i="24" s="1"/>
  <c r="V24" i="24"/>
  <c r="AG24" i="24" s="1"/>
  <c r="U24" i="24"/>
  <c r="AF24" i="24" s="1"/>
  <c r="T24" i="24"/>
  <c r="AE24" i="24" s="1"/>
  <c r="W16" i="24"/>
  <c r="AH16" i="24" s="1"/>
  <c r="V16" i="24"/>
  <c r="AG16" i="24" s="1"/>
  <c r="U16" i="24"/>
  <c r="AF16" i="24" s="1"/>
  <c r="T16" i="24"/>
  <c r="AE16" i="24" s="1"/>
  <c r="V11" i="24"/>
  <c r="AG11" i="24" s="1"/>
  <c r="U12" i="24"/>
  <c r="AF12" i="24" s="1"/>
  <c r="T13" i="24"/>
  <c r="AE13" i="24" s="1"/>
  <c r="S16" i="24"/>
  <c r="AD16" i="24" s="1"/>
  <c r="O20" i="24"/>
  <c r="Z20" i="24" s="1"/>
  <c r="Q34" i="24"/>
  <c r="AB34" i="24" s="1"/>
  <c r="V37" i="24"/>
  <c r="AG37" i="24" s="1"/>
  <c r="R41" i="24"/>
  <c r="AC41" i="24" s="1"/>
  <c r="W44" i="24"/>
  <c r="AH44" i="24" s="1"/>
  <c r="S48" i="24"/>
  <c r="AD48" i="24" s="1"/>
  <c r="V69" i="24"/>
  <c r="AG69" i="24" s="1"/>
  <c r="R73" i="24"/>
  <c r="AC73" i="24" s="1"/>
  <c r="W76" i="24"/>
  <c r="AH76" i="24" s="1"/>
  <c r="P84" i="24"/>
  <c r="AA84" i="24" s="1"/>
  <c r="T61" i="24"/>
  <c r="AE61" i="24" s="1"/>
  <c r="S61" i="24"/>
  <c r="AD61" i="24" s="1"/>
  <c r="R61" i="24"/>
  <c r="AC61" i="24" s="1"/>
  <c r="Q61" i="24"/>
  <c r="AB61" i="24" s="1"/>
  <c r="P61" i="24"/>
  <c r="AA61" i="24" s="1"/>
  <c r="W61" i="24"/>
  <c r="AH61" i="24" s="1"/>
  <c r="O61" i="24"/>
  <c r="Z61" i="24" s="1"/>
  <c r="T21" i="24"/>
  <c r="AE21" i="24" s="1"/>
  <c r="S21" i="24"/>
  <c r="AD21" i="24" s="1"/>
  <c r="R21" i="24"/>
  <c r="AC21" i="24" s="1"/>
  <c r="Q21" i="24"/>
  <c r="AB21" i="24" s="1"/>
  <c r="P21" i="24"/>
  <c r="AA21" i="24" s="1"/>
  <c r="W21" i="24"/>
  <c r="AH21" i="24" s="1"/>
  <c r="O21" i="24"/>
  <c r="Z21" i="24" s="1"/>
  <c r="U53" i="24"/>
  <c r="AF53" i="24" s="1"/>
  <c r="U68" i="24"/>
  <c r="AF68" i="24" s="1"/>
  <c r="T68" i="24"/>
  <c r="AE68" i="24" s="1"/>
  <c r="S68" i="24"/>
  <c r="AD68" i="24" s="1"/>
  <c r="R68" i="24"/>
  <c r="AC68" i="24" s="1"/>
  <c r="Q68" i="24"/>
  <c r="AB68" i="24" s="1"/>
  <c r="P68" i="24"/>
  <c r="AA68" i="24" s="1"/>
  <c r="U28" i="24"/>
  <c r="AF28" i="24" s="1"/>
  <c r="T28" i="24"/>
  <c r="AE28" i="24" s="1"/>
  <c r="S28" i="24"/>
  <c r="AD28" i="24" s="1"/>
  <c r="R28" i="24"/>
  <c r="AC28" i="24" s="1"/>
  <c r="Q28" i="24"/>
  <c r="AB28" i="24" s="1"/>
  <c r="P28" i="24"/>
  <c r="AA28" i="24" s="1"/>
  <c r="R11" i="24"/>
  <c r="AC11" i="24" s="1"/>
  <c r="W28" i="24"/>
  <c r="AH28" i="24" s="1"/>
  <c r="W60" i="24"/>
  <c r="AH60" i="24" s="1"/>
  <c r="W87" i="24"/>
  <c r="AH87" i="24" s="1"/>
  <c r="V87" i="24"/>
  <c r="AG87" i="24" s="1"/>
  <c r="U87" i="24"/>
  <c r="AF87" i="24" s="1"/>
  <c r="T87" i="24"/>
  <c r="AE87" i="24" s="1"/>
  <c r="S87" i="24"/>
  <c r="AD87" i="24" s="1"/>
  <c r="R87" i="24"/>
  <c r="AC87" i="24" s="1"/>
  <c r="T79" i="24"/>
  <c r="AE79" i="24" s="1"/>
  <c r="S79" i="24"/>
  <c r="AD79" i="24" s="1"/>
  <c r="R79" i="24"/>
  <c r="AC79" i="24" s="1"/>
  <c r="W79" i="24"/>
  <c r="AH79" i="24" s="1"/>
  <c r="V79" i="24"/>
  <c r="AG79" i="24" s="1"/>
  <c r="R71" i="24"/>
  <c r="AC71" i="24" s="1"/>
  <c r="W71" i="24"/>
  <c r="AH71" i="24" s="1"/>
  <c r="V71" i="24"/>
  <c r="AG71" i="24" s="1"/>
  <c r="U71" i="24"/>
  <c r="AF71" i="24" s="1"/>
  <c r="R63" i="24"/>
  <c r="AC63" i="24" s="1"/>
  <c r="W63" i="24"/>
  <c r="AH63" i="24" s="1"/>
  <c r="V63" i="24"/>
  <c r="AG63" i="24" s="1"/>
  <c r="U63" i="24"/>
  <c r="AF63" i="24" s="1"/>
  <c r="R55" i="24"/>
  <c r="AC55" i="24" s="1"/>
  <c r="Q55" i="24"/>
  <c r="AB55" i="24" s="1"/>
  <c r="P55" i="24"/>
  <c r="AA55" i="24" s="1"/>
  <c r="W55" i="24"/>
  <c r="AH55" i="24" s="1"/>
  <c r="O55" i="24"/>
  <c r="Z55" i="24" s="1"/>
  <c r="V55" i="24"/>
  <c r="AG55" i="24" s="1"/>
  <c r="U55" i="24"/>
  <c r="AF55" i="24" s="1"/>
  <c r="R47" i="24"/>
  <c r="AC47" i="24" s="1"/>
  <c r="W47" i="24"/>
  <c r="AH47" i="24" s="1"/>
  <c r="V47" i="24"/>
  <c r="AG47" i="24" s="1"/>
  <c r="U47" i="24"/>
  <c r="AF47" i="24" s="1"/>
  <c r="R39" i="24"/>
  <c r="AC39" i="24" s="1"/>
  <c r="Q39" i="24"/>
  <c r="AB39" i="24" s="1"/>
  <c r="P39" i="24"/>
  <c r="AA39" i="24" s="1"/>
  <c r="W39" i="24"/>
  <c r="AH39" i="24" s="1"/>
  <c r="O39" i="24"/>
  <c r="Z39" i="24" s="1"/>
  <c r="V39" i="24"/>
  <c r="AG39" i="24" s="1"/>
  <c r="U39" i="24"/>
  <c r="AF39" i="24" s="1"/>
  <c r="R31" i="24"/>
  <c r="AC31" i="24" s="1"/>
  <c r="Q31" i="24"/>
  <c r="AB31" i="24" s="1"/>
  <c r="P31" i="24"/>
  <c r="AA31" i="24" s="1"/>
  <c r="W31" i="24"/>
  <c r="AH31" i="24" s="1"/>
  <c r="O31" i="24"/>
  <c r="Z31" i="24" s="1"/>
  <c r="V31" i="24"/>
  <c r="AG31" i="24" s="1"/>
  <c r="U31" i="24"/>
  <c r="AF31" i="24" s="1"/>
  <c r="R23" i="24"/>
  <c r="AC23" i="24" s="1"/>
  <c r="Q23" i="24"/>
  <c r="AB23" i="24" s="1"/>
  <c r="P23" i="24"/>
  <c r="AA23" i="24" s="1"/>
  <c r="W23" i="24"/>
  <c r="AH23" i="24" s="1"/>
  <c r="O23" i="24"/>
  <c r="Z23" i="24" s="1"/>
  <c r="V23" i="24"/>
  <c r="AG23" i="24" s="1"/>
  <c r="U23" i="24"/>
  <c r="AF23" i="24" s="1"/>
  <c r="R15" i="24"/>
  <c r="AC15" i="24" s="1"/>
  <c r="W15" i="24"/>
  <c r="AH15" i="24" s="1"/>
  <c r="V15" i="24"/>
  <c r="AG15" i="24" s="1"/>
  <c r="U15" i="24"/>
  <c r="AF15" i="24" s="1"/>
  <c r="O11" i="24"/>
  <c r="Z11" i="24" s="1"/>
  <c r="W11" i="24"/>
  <c r="AH11" i="24" s="1"/>
  <c r="V12" i="24"/>
  <c r="AG12" i="24" s="1"/>
  <c r="U13" i="24"/>
  <c r="AF13" i="24" s="1"/>
  <c r="V20" i="24"/>
  <c r="AG20" i="24" s="1"/>
  <c r="R24" i="24"/>
  <c r="AC24" i="24" s="1"/>
  <c r="W27" i="24"/>
  <c r="AH27" i="24" s="1"/>
  <c r="S31" i="24"/>
  <c r="AD31" i="24" s="1"/>
  <c r="O35" i="24"/>
  <c r="Z35" i="24" s="1"/>
  <c r="U45" i="24"/>
  <c r="AF45" i="24" s="1"/>
  <c r="Q49" i="24"/>
  <c r="AB49" i="24" s="1"/>
  <c r="V52" i="24"/>
  <c r="AG52" i="24" s="1"/>
  <c r="R56" i="24"/>
  <c r="AC56" i="24" s="1"/>
  <c r="W59" i="24"/>
  <c r="AH59" i="24" s="1"/>
  <c r="S63" i="24"/>
  <c r="AD63" i="24" s="1"/>
  <c r="O89" i="24"/>
  <c r="Z89" i="24" s="1"/>
  <c r="S92" i="24"/>
  <c r="AD92" i="24" s="1"/>
  <c r="R92" i="24"/>
  <c r="AC92" i="24" s="1"/>
  <c r="Q92" i="24"/>
  <c r="AB92" i="24" s="1"/>
  <c r="P92" i="24"/>
  <c r="AA92" i="24" s="1"/>
  <c r="W92" i="24"/>
  <c r="AH92" i="24" s="1"/>
  <c r="O92" i="24"/>
  <c r="Z92" i="24" s="1"/>
  <c r="V92" i="24"/>
  <c r="AG92" i="24" s="1"/>
  <c r="U92" i="24"/>
  <c r="AF92" i="24" s="1"/>
  <c r="T92" i="24"/>
  <c r="AE92" i="24" s="1"/>
  <c r="U36" i="24"/>
  <c r="AF36" i="24" s="1"/>
  <c r="T36" i="24"/>
  <c r="AE36" i="24" s="1"/>
  <c r="S36" i="24"/>
  <c r="AD36" i="24" s="1"/>
  <c r="R36" i="24"/>
  <c r="AC36" i="24" s="1"/>
  <c r="P13" i="24"/>
  <c r="AA13" i="24" s="1"/>
  <c r="V21" i="24"/>
  <c r="AG21" i="24" s="1"/>
  <c r="W86" i="24"/>
  <c r="AH86" i="24" s="1"/>
  <c r="V86" i="24"/>
  <c r="AG86" i="24" s="1"/>
  <c r="U86" i="24"/>
  <c r="AF86" i="24" s="1"/>
  <c r="T86" i="24"/>
  <c r="AE86" i="24" s="1"/>
  <c r="S86" i="24"/>
  <c r="AD86" i="24" s="1"/>
  <c r="R86" i="24"/>
  <c r="AC86" i="24" s="1"/>
  <c r="U78" i="24"/>
  <c r="AF78" i="24" s="1"/>
  <c r="T78" i="24"/>
  <c r="AE78" i="24" s="1"/>
  <c r="S78" i="24"/>
  <c r="AD78" i="24" s="1"/>
  <c r="W78" i="24"/>
  <c r="AH78" i="24" s="1"/>
  <c r="V78" i="24"/>
  <c r="AG78" i="24" s="1"/>
  <c r="R78" i="24"/>
  <c r="AC78" i="24" s="1"/>
  <c r="S70" i="24"/>
  <c r="AD70" i="24" s="1"/>
  <c r="R70" i="24"/>
  <c r="AC70" i="24" s="1"/>
  <c r="W70" i="24"/>
  <c r="AH70" i="24" s="1"/>
  <c r="V70" i="24"/>
  <c r="AG70" i="24" s="1"/>
  <c r="S62" i="24"/>
  <c r="AD62" i="24" s="1"/>
  <c r="R62" i="24"/>
  <c r="AC62" i="24" s="1"/>
  <c r="W62" i="24"/>
  <c r="AH62" i="24" s="1"/>
  <c r="V62" i="24"/>
  <c r="AG62" i="24" s="1"/>
  <c r="S54" i="24"/>
  <c r="AD54" i="24" s="1"/>
  <c r="R54" i="24"/>
  <c r="AC54" i="24" s="1"/>
  <c r="W54" i="24"/>
  <c r="AH54" i="24" s="1"/>
  <c r="V54" i="24"/>
  <c r="AG54" i="24" s="1"/>
  <c r="S46" i="24"/>
  <c r="AD46" i="24" s="1"/>
  <c r="R46" i="24"/>
  <c r="AC46" i="24" s="1"/>
  <c r="W46" i="24"/>
  <c r="AH46" i="24" s="1"/>
  <c r="V46" i="24"/>
  <c r="AG46" i="24" s="1"/>
  <c r="S38" i="24"/>
  <c r="AD38" i="24" s="1"/>
  <c r="R38" i="24"/>
  <c r="AC38" i="24" s="1"/>
  <c r="W38" i="24"/>
  <c r="AH38" i="24" s="1"/>
  <c r="V38" i="24"/>
  <c r="AG38" i="24" s="1"/>
  <c r="S30" i="24"/>
  <c r="AD30" i="24" s="1"/>
  <c r="R30" i="24"/>
  <c r="AC30" i="24" s="1"/>
  <c r="Q30" i="24"/>
  <c r="AB30" i="24" s="1"/>
  <c r="P30" i="24"/>
  <c r="AA30" i="24" s="1"/>
  <c r="W30" i="24"/>
  <c r="AH30" i="24" s="1"/>
  <c r="O30" i="24"/>
  <c r="Z30" i="24" s="1"/>
  <c r="V30" i="24"/>
  <c r="AG30" i="24" s="1"/>
  <c r="S22" i="24"/>
  <c r="AD22" i="24" s="1"/>
  <c r="R22" i="24"/>
  <c r="AC22" i="24" s="1"/>
  <c r="W22" i="24"/>
  <c r="AH22" i="24" s="1"/>
  <c r="V22" i="24"/>
  <c r="AG22" i="24" s="1"/>
  <c r="S14" i="24"/>
  <c r="AD14" i="24" s="1"/>
  <c r="R14" i="24"/>
  <c r="AC14" i="24" s="1"/>
  <c r="W14" i="24"/>
  <c r="AH14" i="24" s="1"/>
  <c r="V14" i="24"/>
  <c r="AG14" i="24" s="1"/>
  <c r="O12" i="24"/>
  <c r="Z12" i="24" s="1"/>
  <c r="V13" i="24"/>
  <c r="AG13" i="24" s="1"/>
  <c r="R17" i="24"/>
  <c r="AC17" i="24" s="1"/>
  <c r="W20" i="24"/>
  <c r="AH20" i="24" s="1"/>
  <c r="S24" i="24"/>
  <c r="AD24" i="24" s="1"/>
  <c r="O28" i="24"/>
  <c r="Z28" i="24" s="1"/>
  <c r="T31" i="24"/>
  <c r="AE31" i="24" s="1"/>
  <c r="P35" i="24"/>
  <c r="AA35" i="24" s="1"/>
  <c r="U38" i="24"/>
  <c r="AF38" i="24" s="1"/>
  <c r="V45" i="24"/>
  <c r="AG45" i="24" s="1"/>
  <c r="R49" i="24"/>
  <c r="AC49" i="24" s="1"/>
  <c r="W52" i="24"/>
  <c r="AH52" i="24" s="1"/>
  <c r="S56" i="24"/>
  <c r="AD56" i="24" s="1"/>
  <c r="O60" i="24"/>
  <c r="Z60" i="24" s="1"/>
  <c r="T63" i="24"/>
  <c r="AE63" i="24" s="1"/>
  <c r="U70" i="24"/>
  <c r="AF70" i="24" s="1"/>
  <c r="W89" i="24"/>
  <c r="AH89" i="24" s="1"/>
  <c r="J37" i="24"/>
  <c r="L37" i="24" s="1"/>
  <c r="K84" i="24"/>
  <c r="M84" i="24" s="1"/>
  <c r="K71" i="24"/>
  <c r="M71" i="24" s="1"/>
  <c r="K51" i="24"/>
  <c r="M51" i="24" s="1"/>
  <c r="J70" i="24"/>
  <c r="L70" i="24" s="1"/>
  <c r="J30" i="24"/>
  <c r="L30" i="24" s="1"/>
  <c r="J64" i="24"/>
  <c r="M64" i="24" s="1"/>
  <c r="J23" i="24"/>
  <c r="L23" i="24" s="1"/>
  <c r="K58" i="24"/>
  <c r="M58" i="24" s="1"/>
  <c r="J89" i="24"/>
  <c r="J57" i="24"/>
  <c r="J16" i="24"/>
  <c r="L16" i="24" s="1"/>
  <c r="K44" i="24"/>
  <c r="M44" i="24" s="1"/>
  <c r="J50" i="24"/>
  <c r="L50" i="24" s="1"/>
  <c r="K38" i="24"/>
  <c r="M38" i="24" s="1"/>
  <c r="J83" i="24"/>
  <c r="M83" i="24" s="1"/>
  <c r="K90" i="24"/>
  <c r="L90" i="24" s="1"/>
  <c r="K31" i="24"/>
  <c r="M31" i="24" s="1"/>
  <c r="K24" i="24"/>
  <c r="M24" i="24" s="1"/>
  <c r="K77" i="24"/>
  <c r="L77" i="24" s="1"/>
  <c r="K17" i="24"/>
  <c r="M17" i="24" s="1"/>
  <c r="J82" i="24"/>
  <c r="M82" i="24" s="1"/>
  <c r="J76" i="24"/>
  <c r="M76" i="24" s="1"/>
  <c r="J69" i="24"/>
  <c r="L69" i="24" s="1"/>
  <c r="J63" i="24"/>
  <c r="M63" i="24" s="1"/>
  <c r="J56" i="24"/>
  <c r="L56" i="24" s="1"/>
  <c r="J49" i="24"/>
  <c r="M49" i="24" s="1"/>
  <c r="J43" i="24"/>
  <c r="J36" i="24"/>
  <c r="L36" i="24" s="1"/>
  <c r="J29" i="24"/>
  <c r="L29" i="24" s="1"/>
  <c r="J22" i="24"/>
  <c r="L22" i="24" s="1"/>
  <c r="J15" i="24"/>
  <c r="L15" i="24" s="1"/>
  <c r="L31" i="24"/>
  <c r="K43" i="24"/>
  <c r="J87" i="24"/>
  <c r="J74" i="24"/>
  <c r="J68" i="24"/>
  <c r="J61" i="24"/>
  <c r="J55" i="24"/>
  <c r="J48" i="24"/>
  <c r="J41" i="24"/>
  <c r="J28" i="24"/>
  <c r="J13" i="24"/>
  <c r="K88" i="24"/>
  <c r="L88" i="24" s="1"/>
  <c r="K81" i="24"/>
  <c r="K75" i="24"/>
  <c r="K62" i="24"/>
  <c r="L62" i="24" s="1"/>
  <c r="K42" i="24"/>
  <c r="L42" i="24" s="1"/>
  <c r="K35" i="24"/>
  <c r="K21" i="24"/>
  <c r="L21" i="24" s="1"/>
  <c r="K14" i="24"/>
  <c r="L14" i="24" s="1"/>
  <c r="J11" i="24"/>
  <c r="J86" i="24"/>
  <c r="J80" i="24"/>
  <c r="J73" i="24"/>
  <c r="J67" i="24"/>
  <c r="J54" i="24"/>
  <c r="J47" i="24"/>
  <c r="J40" i="24"/>
  <c r="J34" i="24"/>
  <c r="J27" i="24"/>
  <c r="J20" i="24"/>
  <c r="J12" i="24"/>
  <c r="K87" i="24"/>
  <c r="K74" i="24"/>
  <c r="K68" i="24"/>
  <c r="K61" i="24"/>
  <c r="K55" i="24"/>
  <c r="K48" i="24"/>
  <c r="K41" i="24"/>
  <c r="K28" i="24"/>
  <c r="K13" i="24"/>
  <c r="J92" i="24"/>
  <c r="J85" i="24"/>
  <c r="J79" i="24"/>
  <c r="J66" i="24"/>
  <c r="J60" i="24"/>
  <c r="J53" i="24"/>
  <c r="J46" i="24"/>
  <c r="J39" i="24"/>
  <c r="J33" i="24"/>
  <c r="J26" i="24"/>
  <c r="J19" i="24"/>
  <c r="K11" i="24"/>
  <c r="K86" i="24"/>
  <c r="K80" i="24"/>
  <c r="K73" i="24"/>
  <c r="K67" i="24"/>
  <c r="L67" i="24" s="1"/>
  <c r="K54" i="24"/>
  <c r="K47" i="24"/>
  <c r="K40" i="24"/>
  <c r="K34" i="24"/>
  <c r="K27" i="24"/>
  <c r="K20" i="24"/>
  <c r="K12" i="24"/>
  <c r="L12" i="24" s="1"/>
  <c r="J91" i="24"/>
  <c r="J78" i="24"/>
  <c r="L78" i="24" s="1"/>
  <c r="J72" i="24"/>
  <c r="L72" i="24" s="1"/>
  <c r="J65" i="24"/>
  <c r="J59" i="24"/>
  <c r="J52" i="24"/>
  <c r="L52" i="24" s="1"/>
  <c r="J45" i="24"/>
  <c r="L45" i="24" s="1"/>
  <c r="J32" i="24"/>
  <c r="L32" i="24" s="1"/>
  <c r="J25" i="24"/>
  <c r="J18" i="24"/>
  <c r="L18" i="24" s="1"/>
  <c r="K92" i="24"/>
  <c r="K85" i="24"/>
  <c r="K79" i="24"/>
  <c r="K66" i="24"/>
  <c r="K60" i="24"/>
  <c r="K53" i="24"/>
  <c r="K46" i="24"/>
  <c r="K39" i="24"/>
  <c r="K33" i="24"/>
  <c r="K26" i="24"/>
  <c r="K19" i="24"/>
  <c r="L11" i="24"/>
  <c r="C17" i="21"/>
  <c r="C10" i="21"/>
  <c r="C13" i="21" s="1"/>
  <c r="C12" i="21"/>
  <c r="C16" i="21"/>
  <c r="C19" i="21" s="1"/>
  <c r="C18" i="21"/>
  <c r="G7" i="22"/>
  <c r="O7" i="22"/>
  <c r="O8" i="22" s="1"/>
  <c r="H7" i="22"/>
  <c r="H8" i="22" s="1"/>
  <c r="P7" i="22"/>
  <c r="I7" i="22"/>
  <c r="I8" i="22" s="1"/>
  <c r="D38" i="22"/>
  <c r="T21" i="22" s="1"/>
  <c r="F8" i="22"/>
  <c r="N8" i="22"/>
  <c r="J7" i="22"/>
  <c r="T29" i="22"/>
  <c r="K7" i="22"/>
  <c r="K8" i="22" s="1"/>
  <c r="T24" i="22"/>
  <c r="D64" i="22"/>
  <c r="T36" i="22" s="1"/>
  <c r="G8" i="22"/>
  <c r="L7" i="22"/>
  <c r="M7" i="22"/>
  <c r="L8" i="22"/>
  <c r="P8" i="22"/>
  <c r="J8" i="22"/>
  <c r="T18" i="22"/>
  <c r="D35" i="22"/>
  <c r="T19" i="22" s="1"/>
  <c r="E8" i="22"/>
  <c r="M8" i="22"/>
  <c r="D65" i="22"/>
  <c r="D88" i="22"/>
  <c r="D95" i="22"/>
  <c r="D93" i="22"/>
  <c r="D83" i="22"/>
  <c r="T52" i="22" s="1"/>
  <c r="T46" i="22"/>
  <c r="D126" i="22"/>
  <c r="T81" i="22" s="1"/>
  <c r="T73" i="22"/>
  <c r="T35" i="22"/>
  <c r="D130" i="22"/>
  <c r="T85" i="22" s="1"/>
  <c r="T77" i="22"/>
  <c r="D41" i="22"/>
  <c r="T23" i="22" s="1"/>
  <c r="D85" i="22"/>
  <c r="T54" i="22" s="1"/>
  <c r="D125" i="22"/>
  <c r="T80" i="22" s="1"/>
  <c r="E10" i="22" l="1"/>
  <c r="M18" i="21"/>
  <c r="U18" i="21"/>
  <c r="G18" i="21"/>
  <c r="N18" i="21"/>
  <c r="V18" i="21"/>
  <c r="O18" i="21"/>
  <c r="L18" i="21"/>
  <c r="P18" i="21"/>
  <c r="T18" i="21"/>
  <c r="Q18" i="21"/>
  <c r="R18" i="21"/>
  <c r="K18" i="21"/>
  <c r="S18" i="21"/>
  <c r="J18" i="21"/>
  <c r="Q19" i="21"/>
  <c r="K19" i="21"/>
  <c r="R19" i="21"/>
  <c r="S19" i="21"/>
  <c r="L19" i="21"/>
  <c r="T19" i="21"/>
  <c r="G19" i="21"/>
  <c r="M19" i="21"/>
  <c r="U19" i="21"/>
  <c r="N19" i="21"/>
  <c r="V19" i="21"/>
  <c r="O19" i="21"/>
  <c r="J19" i="21"/>
  <c r="P19" i="21"/>
  <c r="M11" i="21"/>
  <c r="U11" i="21"/>
  <c r="N11" i="21"/>
  <c r="V11" i="21"/>
  <c r="T11" i="21"/>
  <c r="Q5" i="24" s="1" a="1"/>
  <c r="Q5" i="24" s="1"/>
  <c r="O11" i="21"/>
  <c r="P5" i="24" s="1" a="1"/>
  <c r="P5" i="24" s="1"/>
  <c r="P11" i="21"/>
  <c r="J11" i="21"/>
  <c r="Q11" i="21"/>
  <c r="G11" i="21"/>
  <c r="R11" i="21"/>
  <c r="K11" i="21"/>
  <c r="S11" i="21"/>
  <c r="L11" i="21"/>
  <c r="Q12" i="21"/>
  <c r="J12" i="21"/>
  <c r="S12" i="21"/>
  <c r="R12" i="21"/>
  <c r="K12" i="21"/>
  <c r="G12" i="21"/>
  <c r="L12" i="21"/>
  <c r="T12" i="21"/>
  <c r="M12" i="21"/>
  <c r="U12" i="21"/>
  <c r="N12" i="21"/>
  <c r="V12" i="21"/>
  <c r="O12" i="21"/>
  <c r="P12" i="21"/>
  <c r="M13" i="21"/>
  <c r="U13" i="21"/>
  <c r="J13" i="21"/>
  <c r="N13" i="21"/>
  <c r="V13" i="21"/>
  <c r="O13" i="21"/>
  <c r="G13" i="21"/>
  <c r="P13" i="21"/>
  <c r="Q13" i="21"/>
  <c r="R13" i="21"/>
  <c r="L13" i="21"/>
  <c r="K13" i="21"/>
  <c r="S13" i="21"/>
  <c r="T13" i="21"/>
  <c r="Q17" i="21"/>
  <c r="J17" i="21"/>
  <c r="K17" i="21"/>
  <c r="S17" i="21"/>
  <c r="P17" i="21"/>
  <c r="R17" i="21"/>
  <c r="L17" i="21"/>
  <c r="T17" i="21"/>
  <c r="Q4" i="24" s="1" a="1"/>
  <c r="Q4" i="24" s="1"/>
  <c r="G17" i="21"/>
  <c r="M17" i="21"/>
  <c r="U17" i="21"/>
  <c r="N17" i="21"/>
  <c r="V17" i="21"/>
  <c r="O17" i="21"/>
  <c r="P4" i="24" s="1" a="1"/>
  <c r="P4" i="24" s="1"/>
  <c r="L84" i="24"/>
  <c r="L63" i="24"/>
  <c r="L17" i="24"/>
  <c r="M46" i="24"/>
  <c r="M20" i="24"/>
  <c r="M55" i="24"/>
  <c r="L38" i="24"/>
  <c r="M50" i="24"/>
  <c r="L51" i="24"/>
  <c r="M79" i="24"/>
  <c r="M40" i="24"/>
  <c r="L49" i="24"/>
  <c r="M85" i="24"/>
  <c r="M72" i="24"/>
  <c r="M54" i="24"/>
  <c r="M13" i="24"/>
  <c r="M87" i="24"/>
  <c r="M16" i="24"/>
  <c r="M42" i="24"/>
  <c r="M80" i="24"/>
  <c r="M28" i="24"/>
  <c r="M60" i="24"/>
  <c r="M86" i="24"/>
  <c r="M22" i="24"/>
  <c r="M66" i="24"/>
  <c r="M34" i="24"/>
  <c r="M48" i="24"/>
  <c r="L64" i="24"/>
  <c r="M30" i="24"/>
  <c r="M26" i="24"/>
  <c r="M47" i="24"/>
  <c r="M61" i="24"/>
  <c r="L44" i="24"/>
  <c r="M23" i="24"/>
  <c r="M92" i="24"/>
  <c r="M68" i="24"/>
  <c r="M12" i="24"/>
  <c r="M53" i="24"/>
  <c r="M39" i="24"/>
  <c r="L76" i="24"/>
  <c r="M74" i="24"/>
  <c r="L81" i="24"/>
  <c r="M81" i="24"/>
  <c r="M73" i="24"/>
  <c r="L57" i="24"/>
  <c r="M57" i="24"/>
  <c r="M88" i="24"/>
  <c r="L75" i="24"/>
  <c r="M75" i="24"/>
  <c r="L89" i="24"/>
  <c r="M89" i="24"/>
  <c r="M21" i="24"/>
  <c r="M14" i="24"/>
  <c r="M15" i="24"/>
  <c r="M18" i="24"/>
  <c r="M27" i="24"/>
  <c r="M29" i="24"/>
  <c r="L83" i="24"/>
  <c r="M36" i="24"/>
  <c r="M37" i="24"/>
  <c r="L65" i="24"/>
  <c r="M65" i="24"/>
  <c r="M19" i="24"/>
  <c r="L87" i="24"/>
  <c r="L58" i="24"/>
  <c r="M43" i="24"/>
  <c r="M45" i="24"/>
  <c r="L59" i="24"/>
  <c r="M59" i="24"/>
  <c r="L82" i="24"/>
  <c r="L71" i="24"/>
  <c r="M52" i="24"/>
  <c r="M69" i="24"/>
  <c r="M62" i="24"/>
  <c r="M33" i="24"/>
  <c r="L35" i="24"/>
  <c r="M35" i="24"/>
  <c r="M41" i="24"/>
  <c r="M77" i="24"/>
  <c r="M70" i="24"/>
  <c r="M32" i="24"/>
  <c r="M90" i="24"/>
  <c r="L25" i="24"/>
  <c r="M25" i="24"/>
  <c r="L91" i="24"/>
  <c r="M91" i="24"/>
  <c r="M67" i="24"/>
  <c r="L24" i="24"/>
  <c r="M78" i="24"/>
  <c r="M56" i="24"/>
  <c r="L48" i="24"/>
  <c r="L39" i="24"/>
  <c r="L61" i="24"/>
  <c r="L54" i="24"/>
  <c r="L68" i="24"/>
  <c r="L46" i="24"/>
  <c r="L73" i="24"/>
  <c r="L55" i="24"/>
  <c r="L53" i="24"/>
  <c r="L20" i="24"/>
  <c r="L80" i="24"/>
  <c r="L60" i="24"/>
  <c r="L27" i="24"/>
  <c r="L86" i="24"/>
  <c r="L66" i="24"/>
  <c r="L34" i="24"/>
  <c r="M11" i="24"/>
  <c r="L74" i="24"/>
  <c r="L19" i="24"/>
  <c r="L79" i="24"/>
  <c r="L40" i="24"/>
  <c r="L13" i="24"/>
  <c r="L26" i="24"/>
  <c r="L85" i="24"/>
  <c r="L47" i="24"/>
  <c r="L28" i="24"/>
  <c r="L43" i="24"/>
  <c r="L33" i="24"/>
  <c r="L92" i="24"/>
  <c r="L41" i="24"/>
  <c r="D105" i="22"/>
  <c r="T60" i="22"/>
  <c r="D107" i="22"/>
  <c r="T62" i="22"/>
  <c r="D100" i="22"/>
  <c r="D92" i="22"/>
  <c r="T59" i="22" s="1"/>
  <c r="T55" i="22"/>
  <c r="D66" i="22"/>
  <c r="T38" i="22" s="1"/>
  <c r="T37" i="22"/>
  <c r="E9" i="22"/>
  <c r="E11" i="22" s="1"/>
  <c r="O5" i="24" l="1" a="1"/>
  <c r="O5" i="24" s="1"/>
  <c r="O4" i="24" a="1"/>
  <c r="O4" i="24" s="1"/>
  <c r="O52" i="24" s="1"/>
  <c r="Z52" i="24" s="1"/>
  <c r="O22" i="24"/>
  <c r="Z22" i="24" s="1"/>
  <c r="O16" i="24"/>
  <c r="Z16" i="24" s="1"/>
  <c r="P52" i="24"/>
  <c r="AA52" i="24" s="1"/>
  <c r="P25" i="24"/>
  <c r="AA25" i="24" s="1"/>
  <c r="P16" i="24"/>
  <c r="AA16" i="24" s="1"/>
  <c r="P36" i="24"/>
  <c r="AA36" i="24" s="1"/>
  <c r="P14" i="24"/>
  <c r="AA14" i="24" s="1"/>
  <c r="P15" i="24"/>
  <c r="AA15" i="24" s="1"/>
  <c r="P22" i="24"/>
  <c r="AA22" i="24" s="1"/>
  <c r="P50" i="24"/>
  <c r="AA50" i="24" s="1"/>
  <c r="P17" i="24"/>
  <c r="AA17" i="24" s="1"/>
  <c r="Q50" i="24"/>
  <c r="AB50" i="24" s="1"/>
  <c r="Q25" i="24"/>
  <c r="AB25" i="24" s="1"/>
  <c r="Q16" i="24"/>
  <c r="AB16" i="24" s="1"/>
  <c r="Q36" i="24"/>
  <c r="AB36" i="24" s="1"/>
  <c r="Q14" i="24"/>
  <c r="AB14" i="24" s="1"/>
  <c r="Q15" i="24"/>
  <c r="AB15" i="24" s="1"/>
  <c r="Q22" i="24"/>
  <c r="AB22" i="24" s="1"/>
  <c r="Q52" i="24"/>
  <c r="AB52" i="24" s="1"/>
  <c r="Q17" i="24"/>
  <c r="AB17" i="24" s="1"/>
  <c r="O6" i="24"/>
  <c r="O90" i="24"/>
  <c r="Z90" i="24" s="1"/>
  <c r="O82" i="24"/>
  <c r="Z82" i="24" s="1"/>
  <c r="O32" i="24"/>
  <c r="Z32" i="24" s="1"/>
  <c r="O78" i="24"/>
  <c r="Z78" i="24" s="1"/>
  <c r="O53" i="24"/>
  <c r="Z53" i="24" s="1"/>
  <c r="O58" i="24"/>
  <c r="Z58" i="24" s="1"/>
  <c r="O46" i="24"/>
  <c r="Z46" i="24" s="1"/>
  <c r="O66" i="24"/>
  <c r="Z66" i="24" s="1"/>
  <c r="O41" i="24"/>
  <c r="Z41" i="24" s="1"/>
  <c r="O86" i="24"/>
  <c r="Z86" i="24" s="1"/>
  <c r="O74" i="24"/>
  <c r="Z74" i="24" s="1"/>
  <c r="O37" i="24"/>
  <c r="Z37" i="24" s="1"/>
  <c r="O62" i="24"/>
  <c r="Z62" i="24" s="1"/>
  <c r="O18" i="24"/>
  <c r="Z18" i="24" s="1"/>
  <c r="O70" i="24"/>
  <c r="Z70" i="24" s="1"/>
  <c r="O26" i="24"/>
  <c r="Z26" i="24" s="1"/>
  <c r="P6" i="24"/>
  <c r="P46" i="24"/>
  <c r="AA46" i="24" s="1"/>
  <c r="P41" i="24"/>
  <c r="AA41" i="24" s="1"/>
  <c r="P86" i="24"/>
  <c r="AA86" i="24" s="1"/>
  <c r="P26" i="24"/>
  <c r="AA26" i="24" s="1"/>
  <c r="P58" i="24"/>
  <c r="AA58" i="24" s="1"/>
  <c r="P37" i="24"/>
  <c r="AA37" i="24" s="1"/>
  <c r="P62" i="24"/>
  <c r="AA62" i="24" s="1"/>
  <c r="P18" i="24"/>
  <c r="AA18" i="24" s="1"/>
  <c r="P70" i="24"/>
  <c r="AA70" i="24" s="1"/>
  <c r="P78" i="24"/>
  <c r="AA78" i="24" s="1"/>
  <c r="P66" i="24"/>
  <c r="AA66" i="24" s="1"/>
  <c r="P74" i="24"/>
  <c r="AA74" i="24" s="1"/>
  <c r="P53" i="24"/>
  <c r="AA53" i="24" s="1"/>
  <c r="P90" i="24"/>
  <c r="AA90" i="24" s="1"/>
  <c r="P82" i="24"/>
  <c r="AA82" i="24" s="1"/>
  <c r="P32" i="24"/>
  <c r="AA32" i="24" s="1"/>
  <c r="Q6" i="24"/>
  <c r="Q18" i="24"/>
  <c r="AB18" i="24" s="1"/>
  <c r="Q86" i="24"/>
  <c r="AB86" i="24" s="1"/>
  <c r="Q37" i="24"/>
  <c r="AB37" i="24" s="1"/>
  <c r="Q62" i="24"/>
  <c r="AB62" i="24" s="1"/>
  <c r="Q70" i="24"/>
  <c r="AB70" i="24" s="1"/>
  <c r="Q74" i="24"/>
  <c r="AB74" i="24" s="1"/>
  <c r="Q26" i="24"/>
  <c r="AB26" i="24" s="1"/>
  <c r="Q58" i="24"/>
  <c r="AB58" i="24" s="1"/>
  <c r="Q46" i="24"/>
  <c r="AB46" i="24" s="1"/>
  <c r="Q90" i="24"/>
  <c r="AB90" i="24" s="1"/>
  <c r="Q82" i="24"/>
  <c r="AB82" i="24" s="1"/>
  <c r="Q32" i="24"/>
  <c r="AB32" i="24" s="1"/>
  <c r="Q66" i="24"/>
  <c r="AB66" i="24" s="1"/>
  <c r="Q53" i="24"/>
  <c r="AB53" i="24" s="1"/>
  <c r="Q41" i="24"/>
  <c r="AB41" i="24" s="1"/>
  <c r="Q78" i="24"/>
  <c r="AB78" i="24" s="1"/>
  <c r="D112" i="22"/>
  <c r="T63" i="22"/>
  <c r="D104" i="22"/>
  <c r="T67" i="22" s="1"/>
  <c r="D119" i="22"/>
  <c r="T70" i="22"/>
  <c r="T68" i="22"/>
  <c r="D117" i="22"/>
  <c r="O36" i="24" l="1"/>
  <c r="Z36" i="24" s="1"/>
  <c r="O15" i="24"/>
  <c r="Z15" i="24" s="1"/>
  <c r="O25" i="24"/>
  <c r="Z25" i="24" s="1"/>
  <c r="O50" i="24"/>
  <c r="Z50" i="24" s="1"/>
  <c r="O14" i="24"/>
  <c r="Z14" i="24" s="1"/>
  <c r="O17" i="24"/>
  <c r="Z17" i="24" s="1"/>
  <c r="Q79" i="24"/>
  <c r="AB79" i="24" s="1"/>
  <c r="Q59" i="24"/>
  <c r="AB59" i="24" s="1"/>
  <c r="Q27" i="24"/>
  <c r="AB27" i="24" s="1"/>
  <c r="Q47" i="24"/>
  <c r="AB47" i="24" s="1"/>
  <c r="Q54" i="24"/>
  <c r="AB54" i="24" s="1"/>
  <c r="Q91" i="24"/>
  <c r="AB91" i="24" s="1"/>
  <c r="Q42" i="24"/>
  <c r="AB42" i="24" s="1"/>
  <c r="Q67" i="24"/>
  <c r="AB67" i="24" s="1"/>
  <c r="Q87" i="24"/>
  <c r="AB87" i="24" s="1"/>
  <c r="Q63" i="24"/>
  <c r="AB63" i="24" s="1"/>
  <c r="Q71" i="24"/>
  <c r="AB71" i="24" s="1"/>
  <c r="Q75" i="24"/>
  <c r="AB75" i="24" s="1"/>
  <c r="Q83" i="24"/>
  <c r="AB83" i="24" s="1"/>
  <c r="Q19" i="24"/>
  <c r="AB19" i="24" s="1"/>
  <c r="Q33" i="24"/>
  <c r="AB33" i="24" s="1"/>
  <c r="Q38" i="24"/>
  <c r="AB38" i="24" s="1"/>
  <c r="P33" i="24"/>
  <c r="AA33" i="24" s="1"/>
  <c r="P67" i="24"/>
  <c r="AA67" i="24" s="1"/>
  <c r="P47" i="24"/>
  <c r="AA47" i="24" s="1"/>
  <c r="P54" i="24"/>
  <c r="AA54" i="24" s="1"/>
  <c r="P27" i="24"/>
  <c r="AA27" i="24" s="1"/>
  <c r="P91" i="24"/>
  <c r="AA91" i="24" s="1"/>
  <c r="P83" i="24"/>
  <c r="AA83" i="24" s="1"/>
  <c r="P87" i="24"/>
  <c r="AA87" i="24" s="1"/>
  <c r="P38" i="24"/>
  <c r="AA38" i="24" s="1"/>
  <c r="P75" i="24"/>
  <c r="AA75" i="24" s="1"/>
  <c r="P63" i="24"/>
  <c r="AA63" i="24" s="1"/>
  <c r="P71" i="24"/>
  <c r="AA71" i="24" s="1"/>
  <c r="P42" i="24"/>
  <c r="AA42" i="24" s="1"/>
  <c r="P19" i="24"/>
  <c r="AA19" i="24" s="1"/>
  <c r="P59" i="24"/>
  <c r="AA59" i="24" s="1"/>
  <c r="P79" i="24"/>
  <c r="AA79" i="24" s="1"/>
  <c r="O42" i="24"/>
  <c r="Z42" i="24" s="1"/>
  <c r="O38" i="24"/>
  <c r="Z38" i="24" s="1"/>
  <c r="O75" i="24"/>
  <c r="Z75" i="24" s="1"/>
  <c r="O33" i="24"/>
  <c r="Z33" i="24" s="1"/>
  <c r="O27" i="24"/>
  <c r="Z27" i="24" s="1"/>
  <c r="O59" i="24"/>
  <c r="Z59" i="24" s="1"/>
  <c r="O19" i="24"/>
  <c r="Z19" i="24" s="1"/>
  <c r="O47" i="24"/>
  <c r="Z47" i="24" s="1"/>
  <c r="O67" i="24"/>
  <c r="Z67" i="24" s="1"/>
  <c r="O54" i="24"/>
  <c r="Z54" i="24" s="1"/>
  <c r="O91" i="24"/>
  <c r="Z91" i="24" s="1"/>
  <c r="O83" i="24"/>
  <c r="Z83" i="24" s="1"/>
  <c r="O87" i="24"/>
  <c r="Z87" i="24" s="1"/>
  <c r="O63" i="24"/>
  <c r="Z63" i="24" s="1"/>
  <c r="O79" i="24"/>
  <c r="Z79" i="24" s="1"/>
  <c r="O71" i="24"/>
  <c r="Z71" i="24" s="1"/>
  <c r="D131" i="22"/>
  <c r="T86" i="22" s="1"/>
  <c r="T78" i="22"/>
  <c r="D129" i="22"/>
  <c r="T84" i="22" s="1"/>
  <c r="T76" i="22"/>
  <c r="T71" i="22"/>
  <c r="D116" i="22"/>
  <c r="D124" i="22"/>
  <c r="T79" i="22" s="1"/>
  <c r="G116" i="22" l="1"/>
  <c r="D128" i="22" s="1"/>
  <c r="T83" i="22" s="1"/>
  <c r="T75" i="22"/>
  <c r="K36" i="13" l="1"/>
  <c r="I36" i="13"/>
  <c r="J36" i="13"/>
  <c r="F36" i="13"/>
  <c r="H36" i="13"/>
  <c r="G36" i="13"/>
  <c r="I77" i="13"/>
  <c r="G77" i="13"/>
  <c r="H77" i="13"/>
  <c r="J77" i="13"/>
  <c r="F77" i="13"/>
  <c r="K77" i="13"/>
  <c r="H37" i="13" l="1"/>
  <c r="J37" i="13"/>
  <c r="I37" i="13"/>
  <c r="G37" i="13"/>
  <c r="K37" i="13"/>
  <c r="F37" i="13"/>
  <c r="G43" i="13"/>
  <c r="J43" i="13"/>
  <c r="I43" i="13"/>
  <c r="F43" i="13"/>
  <c r="K43" i="13"/>
  <c r="H43" i="13"/>
  <c r="J58" i="13"/>
  <c r="K58" i="13"/>
  <c r="I58" i="13"/>
  <c r="F58" i="13"/>
  <c r="H58" i="13"/>
  <c r="G58" i="13"/>
  <c r="K51" i="13"/>
  <c r="F51" i="13"/>
  <c r="H51" i="13"/>
  <c r="J51" i="13"/>
  <c r="G51" i="13"/>
  <c r="I51" i="13"/>
  <c r="J42" i="13"/>
  <c r="H42" i="13"/>
  <c r="K42" i="13"/>
  <c r="F42" i="13"/>
  <c r="G42" i="13"/>
  <c r="I42" i="13"/>
  <c r="K9" i="13"/>
  <c r="J9" i="13"/>
  <c r="F9" i="13"/>
  <c r="G9" i="13"/>
  <c r="I9" i="13"/>
  <c r="H9" i="13"/>
  <c r="F50" i="13"/>
  <c r="J50" i="13"/>
  <c r="H50" i="13"/>
  <c r="G50" i="13"/>
  <c r="I50" i="13"/>
  <c r="K50" i="13"/>
  <c r="I64" i="13"/>
  <c r="J64" i="13"/>
  <c r="K64" i="13"/>
  <c r="H64" i="13"/>
  <c r="F64" i="13"/>
  <c r="G64" i="13"/>
  <c r="K11" i="13"/>
  <c r="H11" i="13"/>
  <c r="J11" i="13"/>
  <c r="G11" i="13"/>
  <c r="F11" i="13"/>
  <c r="I11" i="13"/>
  <c r="H44" i="13"/>
  <c r="K44" i="13"/>
  <c r="J44" i="13"/>
  <c r="G44" i="13"/>
  <c r="F44" i="13"/>
  <c r="I44" i="13"/>
  <c r="K62" i="13"/>
  <c r="F62" i="13"/>
  <c r="H62" i="13"/>
  <c r="J62" i="13"/>
  <c r="G62" i="13"/>
  <c r="I62" i="13"/>
  <c r="J79" i="13"/>
  <c r="K79" i="13"/>
  <c r="I79" i="13"/>
  <c r="G79" i="13"/>
  <c r="F79" i="13"/>
  <c r="H79" i="13"/>
  <c r="F59" i="13"/>
  <c r="J59" i="13"/>
  <c r="G59" i="13"/>
  <c r="I59" i="13"/>
  <c r="H59" i="13"/>
  <c r="K59" i="13"/>
  <c r="H18" i="13"/>
  <c r="I18" i="13"/>
  <c r="G18" i="13"/>
  <c r="F18" i="13"/>
  <c r="K18" i="13"/>
  <c r="J18" i="13"/>
  <c r="H24" i="13"/>
  <c r="K24" i="13"/>
  <c r="J24" i="13"/>
  <c r="F24" i="13"/>
  <c r="I24" i="13"/>
  <c r="G24" i="13"/>
  <c r="I32" i="13"/>
  <c r="J32" i="13"/>
  <c r="G32" i="13"/>
  <c r="H32" i="13"/>
  <c r="F32" i="13"/>
  <c r="K32" i="13"/>
  <c r="G55" i="13"/>
  <c r="F55" i="13"/>
  <c r="I55" i="13"/>
  <c r="K55" i="13"/>
  <c r="H55" i="13"/>
  <c r="J55" i="13"/>
  <c r="H30" i="13"/>
  <c r="J30" i="13"/>
  <c r="G30" i="13"/>
  <c r="I30" i="13"/>
  <c r="K30" i="13"/>
  <c r="F30" i="13"/>
  <c r="H10" i="13"/>
  <c r="F10" i="13"/>
  <c r="G10" i="13"/>
  <c r="J10" i="13"/>
  <c r="I10" i="13"/>
  <c r="K10" i="13"/>
  <c r="H33" i="13"/>
  <c r="F33" i="13"/>
  <c r="I33" i="13"/>
  <c r="K33" i="13"/>
  <c r="J33" i="13"/>
  <c r="G33" i="13"/>
  <c r="J15" i="13"/>
  <c r="F15" i="13"/>
  <c r="K15" i="13"/>
  <c r="I15" i="13"/>
  <c r="H15" i="13"/>
  <c r="G15" i="13"/>
  <c r="K57" i="13"/>
  <c r="G57" i="13"/>
  <c r="H57" i="13"/>
  <c r="I57" i="13"/>
  <c r="F57" i="13"/>
  <c r="J57" i="13"/>
  <c r="G65" i="13"/>
  <c r="K65" i="13"/>
  <c r="H65" i="13"/>
  <c r="I65" i="13"/>
  <c r="F65" i="13"/>
  <c r="J65" i="13"/>
  <c r="G53" i="13"/>
  <c r="K53" i="13"/>
  <c r="J53" i="13"/>
  <c r="H53" i="13"/>
  <c r="I53" i="13"/>
  <c r="F53" i="13"/>
  <c r="F39" i="13"/>
  <c r="K39" i="13"/>
  <c r="J39" i="13"/>
  <c r="G39" i="13"/>
  <c r="H39" i="13"/>
  <c r="I39" i="13"/>
  <c r="G17" i="13"/>
  <c r="K17" i="13"/>
  <c r="F17" i="13"/>
  <c r="H17" i="13"/>
  <c r="J17" i="13"/>
  <c r="I17" i="13"/>
  <c r="K63" i="13"/>
  <c r="H63" i="13"/>
  <c r="F63" i="13"/>
  <c r="G63" i="13"/>
  <c r="I63" i="13"/>
  <c r="J63" i="13"/>
  <c r="F26" i="13"/>
  <c r="K26" i="13"/>
  <c r="J26" i="13"/>
  <c r="I26" i="13"/>
  <c r="H26" i="13"/>
  <c r="G26" i="13"/>
  <c r="K20" i="13"/>
  <c r="J20" i="13"/>
  <c r="F20" i="13"/>
  <c r="I20" i="13"/>
  <c r="H20" i="13"/>
  <c r="G20" i="13"/>
  <c r="I49" i="13"/>
  <c r="J49" i="13"/>
  <c r="H49" i="13"/>
  <c r="G49" i="13"/>
  <c r="K49" i="13"/>
  <c r="F49" i="13"/>
  <c r="J60" i="13"/>
  <c r="I60" i="13"/>
  <c r="K60" i="13"/>
  <c r="F60" i="13"/>
  <c r="G60" i="13"/>
  <c r="H60" i="13"/>
  <c r="G31" i="13"/>
  <c r="I31" i="13"/>
  <c r="F31" i="13"/>
  <c r="J31" i="13"/>
  <c r="K31" i="13"/>
  <c r="H31" i="13"/>
  <c r="I48" i="13"/>
  <c r="J48" i="13"/>
  <c r="F48" i="13"/>
  <c r="K48" i="13"/>
  <c r="G48" i="13"/>
  <c r="H48" i="13"/>
  <c r="G16" i="13"/>
  <c r="I16" i="13"/>
  <c r="K16" i="13"/>
  <c r="H16" i="13"/>
  <c r="J16" i="13"/>
  <c r="F16" i="13"/>
  <c r="H19" i="13"/>
  <c r="F19" i="13"/>
  <c r="G19" i="13"/>
  <c r="J19" i="13"/>
  <c r="I19" i="13"/>
  <c r="K19" i="13"/>
  <c r="H83" i="13"/>
  <c r="J83" i="13"/>
  <c r="G83" i="13"/>
  <c r="I83" i="13"/>
  <c r="F83" i="13"/>
  <c r="K83" i="13"/>
  <c r="G61" i="13"/>
  <c r="F61" i="13"/>
  <c r="J61" i="13"/>
  <c r="H61" i="13"/>
  <c r="K61" i="13"/>
  <c r="I61" i="13"/>
  <c r="J21" i="13"/>
  <c r="I21" i="13"/>
  <c r="K21" i="13"/>
  <c r="G21" i="13"/>
  <c r="F21" i="13"/>
  <c r="H21" i="13"/>
  <c r="F12" i="13"/>
  <c r="H12" i="13"/>
  <c r="G12" i="13"/>
  <c r="I12" i="13"/>
  <c r="J12" i="13"/>
  <c r="K12" i="13"/>
  <c r="F25" i="13"/>
  <c r="J25" i="13"/>
  <c r="I25" i="13"/>
  <c r="K25" i="13"/>
  <c r="G25" i="13"/>
  <c r="H25" i="13"/>
  <c r="G52" i="13"/>
  <c r="I52" i="13"/>
  <c r="J52" i="13"/>
  <c r="H52" i="13"/>
  <c r="F52" i="13"/>
  <c r="K52" i="13"/>
  <c r="G66" i="13"/>
  <c r="K66" i="13"/>
  <c r="I66" i="13"/>
  <c r="H66" i="13"/>
  <c r="F66" i="13"/>
  <c r="J66" i="13"/>
  <c r="J81" i="13" l="1"/>
  <c r="K81" i="13"/>
  <c r="H81" i="13"/>
  <c r="I81" i="13"/>
  <c r="G81" i="13"/>
  <c r="F81" i="13"/>
  <c r="K14" i="13"/>
  <c r="G14" i="13"/>
  <c r="F14" i="13"/>
  <c r="H14" i="13"/>
  <c r="J14" i="13"/>
  <c r="I14" i="13"/>
  <c r="K40" i="13"/>
  <c r="H40" i="13"/>
  <c r="G40" i="13"/>
  <c r="F40" i="13"/>
  <c r="J40" i="13"/>
  <c r="I40" i="13"/>
  <c r="J80" i="13"/>
  <c r="H80" i="13"/>
  <c r="F80" i="13"/>
  <c r="G80" i="13"/>
  <c r="I80" i="13"/>
  <c r="K80" i="13"/>
  <c r="G28" i="13"/>
  <c r="K28" i="13"/>
  <c r="I28" i="13"/>
  <c r="J28" i="13"/>
  <c r="F28" i="13"/>
  <c r="H28" i="13"/>
  <c r="J27" i="13"/>
  <c r="G27" i="13"/>
  <c r="F27" i="13"/>
  <c r="H27" i="13"/>
  <c r="I27" i="13"/>
  <c r="K27" i="13"/>
  <c r="G54" i="13"/>
  <c r="F54" i="13"/>
  <c r="K54" i="13"/>
  <c r="H54" i="13"/>
  <c r="J54" i="13"/>
  <c r="I54" i="13"/>
  <c r="G29" i="13"/>
  <c r="I29" i="13"/>
  <c r="F29" i="13"/>
  <c r="J29" i="13"/>
  <c r="K29" i="13"/>
  <c r="H29" i="13"/>
  <c r="K56" i="13"/>
  <c r="J56" i="13"/>
  <c r="G56" i="13"/>
  <c r="I56" i="13"/>
  <c r="H56" i="13"/>
  <c r="F56" i="13"/>
  <c r="H35" i="13"/>
  <c r="F35" i="13"/>
  <c r="J35" i="13"/>
  <c r="K35" i="13"/>
  <c r="G35" i="13"/>
  <c r="I35" i="13"/>
  <c r="I34" i="13"/>
  <c r="K34" i="13"/>
  <c r="H34" i="13"/>
  <c r="G34" i="13"/>
  <c r="F34" i="13"/>
  <c r="J34" i="13"/>
  <c r="H23" i="13"/>
  <c r="G23" i="13"/>
  <c r="J23" i="13"/>
  <c r="K23" i="13"/>
  <c r="F23" i="13"/>
  <c r="I23" i="13"/>
  <c r="F78" i="13"/>
  <c r="H78" i="13"/>
  <c r="J78" i="13"/>
  <c r="K78" i="13"/>
  <c r="G78" i="13"/>
  <c r="I78" i="13"/>
  <c r="I41" i="13"/>
  <c r="F41" i="13"/>
  <c r="H41" i="13"/>
  <c r="J41" i="13"/>
  <c r="K41" i="13"/>
  <c r="G41" i="13"/>
  <c r="I46" i="13"/>
  <c r="H46" i="13"/>
  <c r="G46" i="13"/>
  <c r="F46" i="13"/>
  <c r="K46" i="13"/>
  <c r="J46" i="13"/>
  <c r="F67" i="13"/>
  <c r="G67" i="13"/>
  <c r="I67" i="13"/>
  <c r="K67" i="13"/>
  <c r="H67" i="13"/>
  <c r="J67" i="13"/>
  <c r="G13" i="13"/>
  <c r="J13" i="13"/>
  <c r="K13" i="13"/>
  <c r="H13" i="13"/>
  <c r="F13" i="13"/>
  <c r="I13" i="13"/>
  <c r="F38" i="13"/>
  <c r="H38" i="13"/>
  <c r="G38" i="13"/>
  <c r="I38" i="13"/>
  <c r="J38" i="13"/>
  <c r="K38" i="13"/>
  <c r="H8" i="13"/>
  <c r="K8" i="13"/>
  <c r="F8" i="13"/>
  <c r="J8" i="13"/>
  <c r="I8" i="13"/>
  <c r="G8" i="13"/>
  <c r="K45" i="13"/>
  <c r="G45" i="13"/>
  <c r="J45" i="13"/>
  <c r="H45" i="13"/>
  <c r="F45" i="13"/>
  <c r="I45" i="13"/>
  <c r="F22" i="13"/>
  <c r="G22" i="13"/>
  <c r="J22" i="13"/>
  <c r="I22" i="13"/>
  <c r="H22" i="13"/>
  <c r="K22" i="13"/>
  <c r="J47" i="13"/>
  <c r="K47" i="13"/>
  <c r="H47" i="13"/>
  <c r="G47" i="13"/>
  <c r="I47" i="13"/>
  <c r="F47" i="13"/>
  <c r="J76" i="13" l="1"/>
  <c r="I76" i="13"/>
  <c r="K76" i="13"/>
  <c r="F76" i="13"/>
  <c r="H76" i="13"/>
  <c r="G76" i="13"/>
  <c r="J69" i="13"/>
  <c r="F69" i="13"/>
  <c r="K69" i="13"/>
  <c r="G69" i="13"/>
  <c r="H69" i="13"/>
  <c r="I69" i="13"/>
  <c r="K82" i="13"/>
  <c r="F82" i="13"/>
  <c r="H82" i="13"/>
  <c r="I82" i="13"/>
  <c r="J82" i="13"/>
  <c r="G82" i="13"/>
  <c r="K68" i="13"/>
  <c r="H68" i="13"/>
  <c r="J68" i="13"/>
  <c r="I68" i="13"/>
  <c r="G68" i="13"/>
  <c r="F68" i="13"/>
  <c r="J70" i="13" l="1"/>
  <c r="K70" i="13"/>
  <c r="G70" i="13"/>
  <c r="F70" i="13"/>
  <c r="I70" i="13"/>
  <c r="H70" i="13"/>
  <c r="F71" i="13" l="1"/>
  <c r="H71" i="13"/>
  <c r="I71" i="13"/>
  <c r="J71" i="13"/>
  <c r="G71" i="13"/>
  <c r="K71" i="13"/>
  <c r="F72" i="13" l="1"/>
  <c r="J72" i="13"/>
  <c r="G72" i="13"/>
  <c r="H72" i="13"/>
  <c r="K72" i="13"/>
  <c r="I72" i="13"/>
  <c r="I73" i="13" l="1"/>
  <c r="H73" i="13"/>
  <c r="G73" i="13"/>
  <c r="K73" i="13"/>
  <c r="J73" i="13"/>
  <c r="F73" i="13"/>
  <c r="K75" i="13" l="1"/>
  <c r="G75" i="13"/>
  <c r="H75" i="13"/>
  <c r="I75" i="13"/>
  <c r="J75" i="13"/>
  <c r="F75" i="13"/>
  <c r="H74" i="13"/>
  <c r="J74" i="13"/>
  <c r="F74" i="13"/>
  <c r="K74" i="13"/>
  <c r="G74" i="13"/>
  <c r="I74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ESAP PC</author>
  </authors>
  <commentList>
    <comment ref="F16" authorId="0" shapeId="0" xr:uid="{84308678-2A23-413C-9106-29A283B1E513}">
      <text>
        <r>
          <rPr>
            <b/>
            <sz val="9"/>
            <color indexed="81"/>
            <rFont val="Tahoma"/>
            <family val="2"/>
          </rPr>
          <t>fadiel ESAP PC:</t>
        </r>
        <r>
          <rPr>
            <sz val="9"/>
            <color indexed="81"/>
            <rFont val="Tahoma"/>
            <family val="2"/>
          </rPr>
          <t xml:space="preserve">
how to model plugin-hybrids?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tc={D99C5C5F-423D-43A0-B73A-136F355FE260}</author>
    <author>tc={8788EC7F-83B0-4AB5-A77A-24CC8128D2A3}</author>
  </authors>
  <commentList>
    <comment ref="C8" authorId="0" shapeId="0" xr:uid="{D99C5C5F-423D-43A0-B73A-136F355FE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BEV cost in 2022$ in 2010 based on AEA2012 summary data (converted from 2012 GBP to 2022 USD)</t>
      </text>
    </comment>
    <comment ref="C14" authorId="1" shapeId="0" xr:uid="{8788EC7F-83B0-4AB5-A77A-24CC8128D2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HEV cost in 2022$ in 2010 based on AEA2012 summary data (converted from 2012 GBP to 2022 USD)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<sst xmlns="http://schemas.openxmlformats.org/spreadsheetml/2006/main" count="1779" uniqueCount="352">
  <si>
    <t>BRT</t>
  </si>
  <si>
    <t>Bus</t>
  </si>
  <si>
    <t>MBT</t>
  </si>
  <si>
    <t>LCV</t>
  </si>
  <si>
    <t>Fuel</t>
  </si>
  <si>
    <t>Assumptions</t>
  </si>
  <si>
    <t>High</t>
  </si>
  <si>
    <t>Low</t>
  </si>
  <si>
    <t>SUV</t>
  </si>
  <si>
    <t>ELC</t>
  </si>
  <si>
    <t>HGN</t>
  </si>
  <si>
    <t>BGS</t>
  </si>
  <si>
    <t>GAS</t>
  </si>
  <si>
    <t>ODS</t>
  </si>
  <si>
    <t>TPPRMOTOGS-N</t>
  </si>
  <si>
    <t>OGSH</t>
  </si>
  <si>
    <t>ODSH</t>
  </si>
  <si>
    <t>CNG</t>
  </si>
  <si>
    <t>CAR</t>
  </si>
  <si>
    <t>BUS</t>
  </si>
  <si>
    <t>mR/'000 veh</t>
  </si>
  <si>
    <t>OGS</t>
  </si>
  <si>
    <t>ICE</t>
  </si>
  <si>
    <t>FOM</t>
  </si>
  <si>
    <t>CAPEX</t>
  </si>
  <si>
    <t>PAS</t>
  </si>
  <si>
    <t>TPPUBRTODS-N</t>
  </si>
  <si>
    <t>FRE</t>
  </si>
  <si>
    <t>Tech Fuel</t>
  </si>
  <si>
    <t>Class</t>
  </si>
  <si>
    <t>SATIM Tech Class</t>
  </si>
  <si>
    <t>Capex Comparator1</t>
  </si>
  <si>
    <t>AEA2012 Class</t>
  </si>
  <si>
    <t>AEA2012 Fuel Tech</t>
  </si>
  <si>
    <t>Petrol ICE</t>
  </si>
  <si>
    <t>Passenger Car</t>
  </si>
  <si>
    <t>Diesel ICE</t>
  </si>
  <si>
    <t>Petrol HEV</t>
  </si>
  <si>
    <t>Diesel HEV</t>
  </si>
  <si>
    <t>OGSP</t>
  </si>
  <si>
    <t>Petrol PHEV</t>
  </si>
  <si>
    <t>BEV</t>
  </si>
  <si>
    <t>ODSP</t>
  </si>
  <si>
    <t>Diesel PHEV</t>
  </si>
  <si>
    <t>H2FC</t>
  </si>
  <si>
    <t>NG ICE</t>
  </si>
  <si>
    <t xml:space="preserve">Van / LCV </t>
  </si>
  <si>
    <t>MOT</t>
  </si>
  <si>
    <t>Motorcycle or Moped</t>
  </si>
  <si>
    <t>HCV1</t>
  </si>
  <si>
    <t>Small Rigid Truck</t>
  </si>
  <si>
    <t>HCV2</t>
  </si>
  <si>
    <t>HCV3</t>
  </si>
  <si>
    <t>HCV4</t>
  </si>
  <si>
    <t>Construction Truck</t>
  </si>
  <si>
    <t>HCV5</t>
  </si>
  <si>
    <t>Large Rigid Truck</t>
  </si>
  <si>
    <t>HCV6</t>
  </si>
  <si>
    <t>HCV7</t>
  </si>
  <si>
    <t>Articulated Truck</t>
  </si>
  <si>
    <t>HCV8</t>
  </si>
  <si>
    <t>HCV9</t>
  </si>
  <si>
    <t>Capital Cost, £</t>
  </si>
  <si>
    <t>DNG ICE</t>
  </si>
  <si>
    <t>Diesel HHV</t>
  </si>
  <si>
    <t>Diesel FHV</t>
  </si>
  <si>
    <t>Excl. Fuel</t>
  </si>
  <si>
    <t>H2FC REEV</t>
  </si>
  <si>
    <t>H2FC PHEV</t>
  </si>
  <si>
    <t>Diesel REEV</t>
  </si>
  <si>
    <t>Petrol REEV</t>
  </si>
  <si>
    <t>\I: Units</t>
  </si>
  <si>
    <t>Technology Name</t>
  </si>
  <si>
    <t xml:space="preserve"> \I:Technology Description</t>
  </si>
  <si>
    <t>TechDesc</t>
  </si>
  <si>
    <t>T</t>
  </si>
  <si>
    <t>*</t>
  </si>
  <si>
    <t>New Transport Technologies</t>
  </si>
  <si>
    <t>Transport Passenger SUV Priv.Veh. Oil Diesel-N</t>
  </si>
  <si>
    <t>Transport Passenger SUV Priv.Veh. Oil Gasoline-N</t>
  </si>
  <si>
    <t>Transport Passenger SUV Priv.Veh. Oil Diesel Hybrid-N</t>
  </si>
  <si>
    <t>Transport Passenger SUV Priv.Veh. Oil Gasoline Hybrid-N</t>
  </si>
  <si>
    <t>Transport Passenger SUV Priv.Veh. Gas-N</t>
  </si>
  <si>
    <t>Transport Passenger SUV Priv.Veh. Hydrogen Fuel Cell-N</t>
  </si>
  <si>
    <t>Transport Passenger SUV Priv.Veh. Oil Blended Gasoline-Ethanol-E85-N</t>
  </si>
  <si>
    <t>Transport Passenger SUV Priv.Veh. Electricity-N</t>
  </si>
  <si>
    <t>Transport Passenger Car Priv.Veh. Oil Diesel-N</t>
  </si>
  <si>
    <t>Transport Passenger Car Priv.Veh. Oil Gasoline-N</t>
  </si>
  <si>
    <t>Transport Passenger Car Priv.Veh. Oil Diesel Hybrid-N</t>
  </si>
  <si>
    <t>Transport Passenger Car Priv.Veh. Oil Gasoline Hybrid-N</t>
  </si>
  <si>
    <t>Transport Passenger Car Priv.Veh. Electricity-N</t>
  </si>
  <si>
    <t>Transport Passenger Car Priv.Veh. Gas-N</t>
  </si>
  <si>
    <t>Transport Passenger Car Priv.Veh. Hydrogen Fuel Cell-N</t>
  </si>
  <si>
    <t>Transport Passenger Car Priv.Veh. Oil Blended Gasoline-Ethanol-E85-N</t>
  </si>
  <si>
    <t>Transport Passenger Moto Priv.Veh. Oil Gasoline-N</t>
  </si>
  <si>
    <t>Transport Passenger Moto Priv.Veh. Electricity-N</t>
  </si>
  <si>
    <t>Transport Passenger Bus Oil Diesel-N</t>
  </si>
  <si>
    <t>Transport Passenger Bus Gas-N</t>
  </si>
  <si>
    <t>Transport Passenger Bus Hydrogen Fuel Cell-N</t>
  </si>
  <si>
    <t>Transport Passenger Bus Oil Blended Gasoline-Ethanol-E85-N</t>
  </si>
  <si>
    <t>Transport Passenger Bus Electricity-N</t>
  </si>
  <si>
    <t>Transport Passenger Minibus Oil Diesel-N</t>
  </si>
  <si>
    <t>Transport Passenger Minibus Oil Gasoline-N</t>
  </si>
  <si>
    <t>Transport Passenger Minibus Gas-N</t>
  </si>
  <si>
    <t>Transport Passenger Minibus Hydrogen Fuel Cell-N</t>
  </si>
  <si>
    <t>Transport Passenger Minibus Oil Blended Gasoline-Ethanol-E85-N</t>
  </si>
  <si>
    <t>Transport Passenger Minibus Electricity-N</t>
  </si>
  <si>
    <t>Transport Passenger BRT Oil Diesel-N</t>
  </si>
  <si>
    <t>Transport Passenger BRT Gas-N</t>
  </si>
  <si>
    <t>Transport Passenger BRT Electricity-N</t>
  </si>
  <si>
    <t>Transport Passenger BRT Hydrogen-N</t>
  </si>
  <si>
    <t>Transport Passenger BRT Oil Blended Gasoline-Ethanol-E85-N</t>
  </si>
  <si>
    <t>Transport Freight - LCV Oil Diesel-N</t>
  </si>
  <si>
    <t>Transport Freight - LCV Oil Diesel Hybrid-N</t>
  </si>
  <si>
    <t>Transport Freight - LCV Oil Gasoline-N</t>
  </si>
  <si>
    <t>Transport Freight - LCV Oil GasolineHybrid-N</t>
  </si>
  <si>
    <t>Transport Freight - LCV Gas-N</t>
  </si>
  <si>
    <t>Transport Freight - LCV Electricity-N</t>
  </si>
  <si>
    <t>Transport Freight - HCV1 Oil Diesel-N</t>
  </si>
  <si>
    <t>Transport Freight - HCV1 Oil Gasoline-N</t>
  </si>
  <si>
    <t>Transport Freight - HCV2 Oil Diesel-N</t>
  </si>
  <si>
    <t>Transport Freight - HCV3 Oil Diesel-N</t>
  </si>
  <si>
    <t>Transport Freight - HCV4 Oil Diesel-N</t>
  </si>
  <si>
    <t>Transport Freight - HCV5 Oil Diesel-N</t>
  </si>
  <si>
    <t>Transport Freight - HCV6 Oil Diesel-N</t>
  </si>
  <si>
    <t>Transport Freight - HCV7 Oil Diesel-N</t>
  </si>
  <si>
    <t>Transport Freight - HCV8 Oil Diesel-N</t>
  </si>
  <si>
    <t>Transport Freight - HCV9 Oil Diesel-N</t>
  </si>
  <si>
    <t>Transport Freight - HCV1 Gas-N</t>
  </si>
  <si>
    <t>Transport Freight - HCV2 Gas-N</t>
  </si>
  <si>
    <t>Transport Freight - HCV3 Gas-N</t>
  </si>
  <si>
    <t>Transport Freight - HCV4 Gas-N</t>
  </si>
  <si>
    <t>Transport Freight - HCV5 Gas-N</t>
  </si>
  <si>
    <t>Transport Freight - HCV6 Gas-N</t>
  </si>
  <si>
    <t>Transport Freight - HCV7 Gas-N</t>
  </si>
  <si>
    <t>Transport Freight - HCV8 Gas-N</t>
  </si>
  <si>
    <t>Transport Freight - HCV9 Gas-N</t>
  </si>
  <si>
    <t>Transport Freight - HCV1 Electricity-N</t>
  </si>
  <si>
    <t>Transport Freight - HCV2 Electricity-N</t>
  </si>
  <si>
    <t>Transport Freight - HCV3 Electricity-N</t>
  </si>
  <si>
    <t>Transport Freight - HCV2 Hydrogen-N</t>
  </si>
  <si>
    <t>Transport Freight - HCV3 Hydrogen-N</t>
  </si>
  <si>
    <t>Transport Freight - HCV4 Hydrogen-N</t>
  </si>
  <si>
    <t>Transport Freight - HCV5 Hydrogen-N</t>
  </si>
  <si>
    <t>Transport Freight - HCV6 Hydrogen-N</t>
  </si>
  <si>
    <t>Transport Freight - HCV7 Hydrogen-N</t>
  </si>
  <si>
    <t>Transport Freight - HCV8 Hydrogen-N</t>
  </si>
  <si>
    <t>Transport Freight - HCV9 Hydrogen-N</t>
  </si>
  <si>
    <t>Average 2022 CPI</t>
  </si>
  <si>
    <t>Average 2023 CPI</t>
  </si>
  <si>
    <t>2023 ZAR</t>
  </si>
  <si>
    <t>Mean</t>
  </si>
  <si>
    <t>Q3</t>
  </si>
  <si>
    <t>Med</t>
  </si>
  <si>
    <t>Q1</t>
  </si>
  <si>
    <t>https://www.cars.co.za/usedcars/?body_type_exact=Hatchback|Sedan&amp;commercial_type=passenger&amp;fuel_type=p&amp;new_or_used=New&amp;seller_type=agent&amp;sort=price&amp;transmission=Manual&amp;vehicle_axle_config=4X2&amp;vfs_mileage=0-0&amp;vfs_year=2023-2023</t>
  </si>
  <si>
    <t>Search:</t>
  </si>
  <si>
    <t>Average price (2020ZAR)</t>
  </si>
  <si>
    <t>Average 2020ZAR multiplier</t>
  </si>
  <si>
    <t>Average (Jan 2020ZAR)</t>
  </si>
  <si>
    <t>Price*</t>
  </si>
  <si>
    <t>Rel to Jan-20</t>
  </si>
  <si>
    <t>2020 CPI</t>
  </si>
  <si>
    <t>https://www.wesbank.co.za/blog/post/the-real-costs-of-vehicle-ownership-and-maintenance</t>
  </si>
  <si>
    <t>Average new petrol ICE cost in 2020</t>
  </si>
  <si>
    <t>Guy updating vehicle costs 19 Sep 2023</t>
  </si>
  <si>
    <t>2023 New Petrol ICE Sedan/Hatchback price average</t>
  </si>
  <si>
    <t>2023 New Diesel ICE Sedan/Hatchback price</t>
  </si>
  <si>
    <t>2022 ZAR</t>
  </si>
  <si>
    <t>2023 petrol HEV sedan/hatchback</t>
  </si>
  <si>
    <t>Median</t>
  </si>
  <si>
    <t>2023 Petrol PHEV</t>
  </si>
  <si>
    <t>BEVs</t>
  </si>
  <si>
    <t>range is R 750k to 3.3k</t>
  </si>
  <si>
    <t>Assume motorcycles / mopeds cost 42% of passenger cars (based on Fadiel 2012 data)</t>
  </si>
  <si>
    <t>SUVs / LCVs</t>
  </si>
  <si>
    <t>assume REEV = 1.33 * PHEV</t>
  </si>
  <si>
    <t>MCV costs</t>
  </si>
  <si>
    <t xml:space="preserve">Assume 2020 price ratio </t>
  </si>
  <si>
    <t>2015ZAR</t>
  </si>
  <si>
    <t>2020 (Fadiel 2012 data)</t>
  </si>
  <si>
    <t>HCV costs</t>
  </si>
  <si>
    <t xml:space="preserve">Price of a medium FAW </t>
  </si>
  <si>
    <t>For larger HCVs and buses, assumptions and proportions from 2012 maintained</t>
  </si>
  <si>
    <t>Average 2020 CPI</t>
  </si>
  <si>
    <t>Transport Freight - HCV4 Electricity-N</t>
  </si>
  <si>
    <t>Transport Freight - HCV5 Electricity-N</t>
  </si>
  <si>
    <t>Transport Freight - HCV6 Electricity-N</t>
  </si>
  <si>
    <t>Transport Freight - HCV7 Electricity-N</t>
  </si>
  <si>
    <t>Transport Freight - HCV8 Electricity-N</t>
  </si>
  <si>
    <t>Transport Freight - HCV9 Electricity-N</t>
  </si>
  <si>
    <t>Mini Cooper SE 215km range</t>
  </si>
  <si>
    <t>Volvo electric xc40 p6</t>
  </si>
  <si>
    <t xml:space="preserve">https://www.capetalk.co.za/articles/477530/all-the-electric-cars-available-in-south-africa </t>
  </si>
  <si>
    <t>USD (2022)</t>
  </si>
  <si>
    <t>ZAR (2022)</t>
  </si>
  <si>
    <t>STEPS</t>
  </si>
  <si>
    <t>APS</t>
  </si>
  <si>
    <t>NZE</t>
  </si>
  <si>
    <t>STEPS-USD</t>
  </si>
  <si>
    <t>APS-USD</t>
  </si>
  <si>
    <t>NZE-USD</t>
  </si>
  <si>
    <t>IEA scen</t>
  </si>
  <si>
    <t>Price per vehicle</t>
  </si>
  <si>
    <t xml:space="preserve">1 2020 ZAR = </t>
  </si>
  <si>
    <t xml:space="preserve">1 2020 USD = </t>
  </si>
  <si>
    <t>2022 USD</t>
  </si>
  <si>
    <t xml:space="preserve">2020 ZAR = </t>
  </si>
  <si>
    <t>New ICE Petrol Sedan</t>
  </si>
  <si>
    <t>1 2022 ZAR =</t>
  </si>
  <si>
    <t>(average monthly CPI Nov 22 - Oct 23)</t>
  </si>
  <si>
    <t>median price of new ICE sedan/hatchbacks on cars.co.za on 7 Dec 2023</t>
  </si>
  <si>
    <t>lowest price of new ICE petrol sedan/hatchback on cars.co.za on 7 Dec 2023</t>
  </si>
  <si>
    <t>median price of new petrol HEV sedan/hatchbacks on cars.co.za on 7 Dec 2023</t>
  </si>
  <si>
    <t>Assume same price ratio for diesel/petrol HEVs as for ICEs</t>
  </si>
  <si>
    <t xml:space="preserve">Volv XC60 PHEV </t>
  </si>
  <si>
    <t>https://mybroadband.co.za/news/motoring/504690-most-affordable-hybrid-cars-in-south-africa-2.html</t>
  </si>
  <si>
    <t>Audi S7 TSFI Sportback quattro</t>
  </si>
  <si>
    <t>https://mybroadband.co.za/news/motoring/495651-electric-cars-with-the-best-range-in-south-africa.html</t>
  </si>
  <si>
    <t>https://businesstech.co.za/news/motoring/661995/all-the-full-electric-cars-you-can-buy-in-south-africa-with-pricing/</t>
  </si>
  <si>
    <t>1 2022 USD =</t>
  </si>
  <si>
    <t>2023 USD</t>
  </si>
  <si>
    <t xml:space="preserve">1 2022 USD = </t>
  </si>
  <si>
    <t xml:space="preserve">2022 ZAR = </t>
  </si>
  <si>
    <t>multiply by 1.67 for SA market</t>
  </si>
  <si>
    <t>https://www.carsales.com.au/editorial/details/bmw-ix5-hydrogen-2023-review-139753/</t>
  </si>
  <si>
    <t>BMW iX5 estimated at AUD 145k</t>
  </si>
  <si>
    <t>Turn off in model</t>
  </si>
  <si>
    <t xml:space="preserve">median price of new bike </t>
  </si>
  <si>
    <t>https://www.autotrader.co.za/bikes-for-sale?pagenumber=27&amp;sortorder=PriceLow&amp;isused=False&amp;priceoption=RetailPrice</t>
  </si>
  <si>
    <t>assume parity</t>
  </si>
  <si>
    <t>Median price for new petrol SUV</t>
  </si>
  <si>
    <t>Median price for new diesel SUV</t>
  </si>
  <si>
    <t>https://www.cars.co.za/usedcars/?body_type_exact=SUV&amp;fuel_type=p&amp;new_or_used=New&amp;sort=price&amp;vehicle_axle_config=4X4|4X2&amp;P=65</t>
  </si>
  <si>
    <t>https://www.cars.co.za/usedcars/?body_type_exact=SUV&amp;fuel_type=d&amp;new_or_used=New&amp;sort=price&amp;vehicle_axle_config=4X4|4X2&amp;P=13</t>
  </si>
  <si>
    <t>Median price for petrol HEV SUV</t>
  </si>
  <si>
    <t>Assumption</t>
  </si>
  <si>
    <t>Assume same PHEV/ICE ratio as for sedans</t>
  </si>
  <si>
    <t>Assume same ratio to H2/BEV for sedans</t>
  </si>
  <si>
    <t>New LPT Tata small truck in Gauteng</t>
  </si>
  <si>
    <t>JAC N55 EV (2.5t)</t>
  </si>
  <si>
    <t>Technology</t>
  </si>
  <si>
    <t>Vehicle class</t>
  </si>
  <si>
    <t>2022 Cost [2022 ZAR]</t>
  </si>
  <si>
    <t>Curve fitting</t>
  </si>
  <si>
    <t>Linear learning rates</t>
  </si>
  <si>
    <t>2022-2030</t>
  </si>
  <si>
    <t>2030-2050</t>
  </si>
  <si>
    <t>2010-2022</t>
  </si>
  <si>
    <t>HEV</t>
  </si>
  <si>
    <t>New</t>
  </si>
  <si>
    <t>Existing</t>
  </si>
  <si>
    <t>Process1</t>
  </si>
  <si>
    <t>Process2</t>
  </si>
  <si>
    <t>Process3</t>
  </si>
  <si>
    <t>Process4</t>
  </si>
  <si>
    <t>Type</t>
  </si>
  <si>
    <t>Description</t>
  </si>
  <si>
    <t>Cost ratios per tech relative to 2022</t>
  </si>
  <si>
    <t>Assumed IEA trajectory:</t>
  </si>
  <si>
    <t>Assumed same trajectory as BEV:</t>
  </si>
  <si>
    <t>Cost Projections [2022 ZAR]</t>
  </si>
  <si>
    <t>Base year</t>
  </si>
  <si>
    <t>Assumed constant real-term price trajectory</t>
  </si>
  <si>
    <t>HGNF</t>
  </si>
  <si>
    <t>BEV  COSTS:</t>
  </si>
  <si>
    <t>HEV COSTS:</t>
  </si>
  <si>
    <t>ICE COSTS:</t>
  </si>
  <si>
    <t>* settings can be changed in CostProjections tab</t>
  </si>
  <si>
    <t>FOM COST%</t>
  </si>
  <si>
    <t>TPPRSUVODS-N</t>
  </si>
  <si>
    <t>TPPRSUVOGS-N</t>
  </si>
  <si>
    <t>TPPRSUVODSH-N</t>
  </si>
  <si>
    <t>TPPRSUVOGSH-N</t>
  </si>
  <si>
    <t>TPPRSUVGAS-N</t>
  </si>
  <si>
    <t>TPPRSUVHGNF-N</t>
  </si>
  <si>
    <t>TPPRSUVBGS-N</t>
  </si>
  <si>
    <t>TPPRSUVELC-N</t>
  </si>
  <si>
    <t>TPPRCARODS-N</t>
  </si>
  <si>
    <t>TPPRCAROGS-N</t>
  </si>
  <si>
    <t>TPPRCARODSH-N</t>
  </si>
  <si>
    <t>TPPRCAROGSH-N</t>
  </si>
  <si>
    <t>TPPRCARELC-N</t>
  </si>
  <si>
    <t>TPPRCARGAS-N</t>
  </si>
  <si>
    <t>TPPRCARHGNF-N</t>
  </si>
  <si>
    <t>TPPRCARBGS-N</t>
  </si>
  <si>
    <t>TPPRMOTELC-N</t>
  </si>
  <si>
    <t>TPPUBUSODS-N</t>
  </si>
  <si>
    <t>TPPUBUSGAS-N</t>
  </si>
  <si>
    <t>TPPUBUSHGNF-N</t>
  </si>
  <si>
    <t>TPPUBUSBGS-N</t>
  </si>
  <si>
    <t>TPPUBUSELC-N</t>
  </si>
  <si>
    <t>TPPUMBTODS-N</t>
  </si>
  <si>
    <t>TPPUMBTOGS-N</t>
  </si>
  <si>
    <t>TPPUMBTGAS-N</t>
  </si>
  <si>
    <t>TPPUMBTHGNF-N</t>
  </si>
  <si>
    <t>TPPUMBTBGS-N</t>
  </si>
  <si>
    <t>TPPUMBTELC-N</t>
  </si>
  <si>
    <t>TPPUBRTGAS-N</t>
  </si>
  <si>
    <t>TPPUBRTELC-N</t>
  </si>
  <si>
    <t>TPPUBRTHGNF-N</t>
  </si>
  <si>
    <t>TPPUBRTBGS-N</t>
  </si>
  <si>
    <t>TFLCVODS-N</t>
  </si>
  <si>
    <t>TFLCVODSH-N</t>
  </si>
  <si>
    <t>TFLCVOGS-N</t>
  </si>
  <si>
    <t>TFLCVOGSH-N</t>
  </si>
  <si>
    <t>TFLCVGAS-N</t>
  </si>
  <si>
    <t>TFLCVELC-N</t>
  </si>
  <si>
    <t>TFHCV1ODS-N</t>
  </si>
  <si>
    <t>TFHCV1OGS-N</t>
  </si>
  <si>
    <t>TFHCV2ODS-N</t>
  </si>
  <si>
    <t>TFHCV3ODS-N</t>
  </si>
  <si>
    <t>TFHCV4ODS-N</t>
  </si>
  <si>
    <t>TFHCV5ODS-N</t>
  </si>
  <si>
    <t>TFHCV6ODS-N</t>
  </si>
  <si>
    <t>TFHCV7ODS-N</t>
  </si>
  <si>
    <t>TFHCV8ODS-N</t>
  </si>
  <si>
    <t>TFHCV9ODS-N</t>
  </si>
  <si>
    <t>TFHCV1GAS-N</t>
  </si>
  <si>
    <t>TFHCV2GAS-N</t>
  </si>
  <si>
    <t>TFHCV3GAS-N</t>
  </si>
  <si>
    <t>TFHCV4GAS-N</t>
  </si>
  <si>
    <t>TFHCV5GAS-N</t>
  </si>
  <si>
    <t>TFHCV6GAS-N</t>
  </si>
  <si>
    <t>TFHCV7GAS-N</t>
  </si>
  <si>
    <t>TFHCV8GAS-N</t>
  </si>
  <si>
    <t>TFHCV9GAS-N</t>
  </si>
  <si>
    <t>TFHCV1ELC-N</t>
  </si>
  <si>
    <t>TFHCV2ELC-N</t>
  </si>
  <si>
    <t>TFHCV3ELC-N</t>
  </si>
  <si>
    <t>TFHCV4ELC-N</t>
  </si>
  <si>
    <t>TFHCV5ELC-N</t>
  </si>
  <si>
    <t>TFHCV6ELC-N</t>
  </si>
  <si>
    <t>TFHCV7ELC-N</t>
  </si>
  <si>
    <t>TFHCV8ELC-N</t>
  </si>
  <si>
    <t>TFHCV9ELC-N</t>
  </si>
  <si>
    <t>TFHCV2HGN-N</t>
  </si>
  <si>
    <t>TFHCV3HGN-N</t>
  </si>
  <si>
    <t>TFHCV4HGN-N</t>
  </si>
  <si>
    <t>TFHCV5HGN-N</t>
  </si>
  <si>
    <t>TFHCV6HGN-N</t>
  </si>
  <si>
    <t>TFHCV7HGN-N</t>
  </si>
  <si>
    <t>TFHCV8HGN-N</t>
  </si>
  <si>
    <t>TFHCV9HGN-N</t>
  </si>
  <si>
    <t>Nothing</t>
  </si>
  <si>
    <t>*Override TRA? '*' = No</t>
  </si>
  <si>
    <t>~TFM_INS-TS</t>
  </si>
  <si>
    <t>PSET_PN</t>
  </si>
  <si>
    <t>Attribute</t>
  </si>
  <si>
    <t>INVCOST</t>
  </si>
  <si>
    <t>FIXOM</t>
  </si>
  <si>
    <t>*  Override TRA? '*'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</si>
</sst>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* #,##0.00_);_(* \(#,##0.00\);_(* &quot;-&quot;??_);_(@_)"/>
    <numFmt numFmtId="165" formatCode="[$£-809]#,##0.00;[Red]&quot;-&quot;[$£-809]#,##0.00"/>
    <numFmt numFmtId="166" formatCode="0.0%"/>
    <numFmt numFmtId="167" formatCode="0.000"/>
    <numFmt numFmtId="168" formatCode="0.0"/>
    <numFmt numFmtId="169" formatCode="0.0000"/>
    <numFmt numFmtId="170" formatCode="_ * #,##0.00_ ;_ * \-#,##0.00_ ;_ * &quot;-&quot;??_ ;_ @_ "/>
    <numFmt numFmtId="171" formatCode="_-&quot;öS&quot;\ * #,##0.00_-;\-&quot;öS&quot;\ * #,##0.00_-;_-&quot;öS&quot;\ * &quot;-&quot;??_-;_-@_-"/>
    <numFmt numFmtId="172" formatCode="#,##0_);\(#,##0\);&quot;-&quot;"/>
    <numFmt numFmtId="173" formatCode="_-[$R-1C09]* #,##0.00_-;\-[$R-1C09]* #,##0.00_-;_-[$R-1C09]* &quot;-&quot;??_-;_-@_-"/>
    <numFmt numFmtId="174" formatCode="_-[$$-409]* #,##0.00_ ;_-[$$-409]* \-#,##0.00\ ;_-[$$-409]* &quot;-&quot;??_ ;_-@_ "/>
    <numFmt numFmtId="175" formatCode="_-[$$-409]* #,##0_ ;_-[$$-409]* \-#,##0\ ;_-[$$-409]* &quot;-&quot;??_ ;_-@_ 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3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Times New Roman"/>
      <family val="1"/>
    </font>
    <font>
      <sz val="9"/>
      <color rgb="FFFF0000"/>
      <name val="Arial"/>
      <family val="2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9" tint="-0.24994659260841701"/>
      <name val="Arial"/>
      <family val="2"/>
    </font>
    <font>
      <b/>
      <sz val="10"/>
      <color theme="3"/>
      <name val="Arial"/>
      <family val="2"/>
    </font>
    <font>
      <sz val="10"/>
      <color indexed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3"/>
      <name val="Arial"/>
      <family val="2"/>
      <charset val="238"/>
    </font>
    <font>
      <sz val="11"/>
      <color rgb="FF000000"/>
      <name val="Calibri"/>
      <family val="2"/>
    </font>
    <font>
      <sz val="10"/>
      <color theme="6" tint="-0.24994659260841701"/>
      <name val="Arial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FF0066"/>
      <name val="Calibri"/>
      <family val="2"/>
    </font>
    <font>
      <b/>
      <sz val="11"/>
      <color rgb="FFFF0066"/>
      <name val="Calibri"/>
      <family val="2"/>
    </font>
    <font>
      <b/>
      <sz val="11"/>
      <color rgb="FFFF0066"/>
      <name val="Calibri"/>
      <family val="2"/>
      <scheme val="minor"/>
    </font>
    <font>
      <sz val="10"/>
      <color rgb="FFFF0066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FF0066"/>
      <name val="Calibri"/>
      <family val="2"/>
      <scheme val="minor"/>
    </font>
    <font>
      <sz val="10"/>
      <color rgb="FF7030A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9D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4">
    <xf numFmtId="165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4" fillId="0" borderId="1" applyNumberFormat="0" applyFill="0" applyAlignment="0" applyProtection="0"/>
    <xf numFmtId="0" fontId="7" fillId="0" borderId="0"/>
    <xf numFmtId="165" fontId="8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165" fontId="5" fillId="2" borderId="2" applyNumberFormat="0" applyAlignment="0" applyProtection="0"/>
    <xf numFmtId="165" fontId="3" fillId="0" borderId="0"/>
    <xf numFmtId="170" fontId="3" fillId="0" borderId="0" applyFont="0" applyFill="0" applyBorder="0" applyAlignment="0" applyProtection="0"/>
    <xf numFmtId="0" fontId="3" fillId="0" borderId="0"/>
    <xf numFmtId="0" fontId="3" fillId="0" borderId="0"/>
    <xf numFmtId="0" fontId="13" fillId="0" borderId="0"/>
    <xf numFmtId="165" fontId="7" fillId="0" borderId="0"/>
    <xf numFmtId="0" fontId="3" fillId="0" borderId="0"/>
    <xf numFmtId="9" fontId="13" fillId="0" borderId="0" applyFont="0" applyFill="0" applyBorder="0" applyAlignment="0" applyProtection="0"/>
    <xf numFmtId="0" fontId="3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6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" fillId="0" borderId="0"/>
    <xf numFmtId="171" fontId="18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21" fillId="0" borderId="0" applyNumberFormat="0" applyFill="0" applyBorder="0" applyAlignment="0" applyProtection="0"/>
    <xf numFmtId="9" fontId="7" fillId="0" borderId="0" applyFont="0" applyFill="0" applyBorder="0" applyAlignment="0" applyProtection="0"/>
    <xf numFmtId="165" fontId="23" fillId="0" borderId="0" applyNumberFormat="0" applyFill="0" applyBorder="0" applyAlignment="0" applyProtection="0"/>
    <xf numFmtId="0" fontId="29" fillId="0" borderId="0"/>
    <xf numFmtId="0" fontId="29" fillId="0" borderId="0"/>
    <xf numFmtId="43" fontId="7" fillId="0" borderId="0" applyFont="0" applyFill="0" applyBorder="0" applyAlignment="0" applyProtection="0"/>
    <xf numFmtId="4" fontId="30" fillId="0" borderId="0" applyNumberFormat="0" applyFill="0" applyBorder="0" applyAlignment="0" applyProtection="0">
      <alignment horizontal="center"/>
    </xf>
    <xf numFmtId="165" fontId="20" fillId="9" borderId="0" applyNumberFormat="0" applyBorder="0" applyAlignment="0" applyProtection="0"/>
    <xf numFmtId="172" fontId="7" fillId="10" borderId="0" applyNumberFormat="0" applyFont="0" applyBorder="0" applyAlignment="0" applyProtection="0"/>
    <xf numFmtId="0" fontId="31" fillId="0" borderId="16" applyNumberFormat="0" applyFill="0" applyAlignment="0" applyProtection="0"/>
    <xf numFmtId="0" fontId="3" fillId="0" borderId="0"/>
    <xf numFmtId="0" fontId="2" fillId="0" borderId="0"/>
    <xf numFmtId="0" fontId="32" fillId="0" borderId="0" applyNumberFormat="0" applyFill="0" applyBorder="0" applyAlignment="0" applyProtection="0"/>
  </cellStyleXfs>
  <cellXfs count="109">
    <xf numFmtId="165" fontId="0" fillId="0" borderId="0" xfId="0"/>
    <xf numFmtId="0" fontId="7" fillId="0" borderId="0" xfId="4"/>
    <xf numFmtId="0" fontId="0" fillId="0" borderId="0" xfId="0" applyNumberFormat="1"/>
    <xf numFmtId="0" fontId="6" fillId="0" borderId="0" xfId="0" applyNumberFormat="1" applyFont="1"/>
    <xf numFmtId="165" fontId="6" fillId="0" borderId="0" xfId="0" applyFont="1"/>
    <xf numFmtId="167" fontId="0" fillId="0" borderId="0" xfId="0" applyNumberFormat="1"/>
    <xf numFmtId="0" fontId="12" fillId="0" borderId="0" xfId="4" applyFont="1" applyAlignment="1" applyProtection="1">
      <alignment horizontal="left"/>
      <protection locked="0"/>
    </xf>
    <xf numFmtId="169" fontId="0" fillId="0" borderId="0" xfId="0" applyNumberFormat="1"/>
    <xf numFmtId="0" fontId="14" fillId="0" borderId="7" xfId="13" applyFont="1" applyBorder="1" applyAlignment="1">
      <alignment horizontal="left" vertical="top"/>
    </xf>
    <xf numFmtId="0" fontId="16" fillId="0" borderId="0" xfId="18" applyAlignment="1">
      <alignment horizontal="left" vertical="top"/>
    </xf>
    <xf numFmtId="0" fontId="14" fillId="0" borderId="7" xfId="31" applyFont="1" applyBorder="1" applyAlignment="1">
      <alignment horizontal="left" vertical="top"/>
    </xf>
    <xf numFmtId="0" fontId="15" fillId="7" borderId="13" xfId="13" applyFont="1" applyFill="1" applyBorder="1"/>
    <xf numFmtId="0" fontId="14" fillId="0" borderId="7" xfId="44" applyFont="1" applyBorder="1" applyAlignment="1">
      <alignment horizontal="left" vertical="top"/>
    </xf>
    <xf numFmtId="0" fontId="14" fillId="0" borderId="7" xfId="56" applyFont="1" applyBorder="1" applyAlignment="1">
      <alignment horizontal="left" vertical="top"/>
    </xf>
    <xf numFmtId="0" fontId="17" fillId="0" borderId="7" xfId="13" applyFont="1" applyBorder="1" applyAlignment="1">
      <alignment horizontal="left" vertical="top"/>
    </xf>
    <xf numFmtId="0" fontId="14" fillId="0" borderId="7" xfId="70" applyFont="1" applyBorder="1" applyAlignment="1">
      <alignment horizontal="left" vertical="top"/>
    </xf>
    <xf numFmtId="0" fontId="7" fillId="0" borderId="0" xfId="4" applyAlignment="1" applyProtection="1">
      <alignment horizontal="left"/>
      <protection locked="0"/>
    </xf>
    <xf numFmtId="165" fontId="7" fillId="0" borderId="0" xfId="4" applyNumberFormat="1"/>
    <xf numFmtId="165" fontId="9" fillId="8" borderId="15" xfId="4" applyNumberFormat="1" applyFont="1" applyFill="1" applyBorder="1" applyAlignment="1">
      <alignment horizontal="center" wrapText="1"/>
    </xf>
    <xf numFmtId="0" fontId="9" fillId="8" borderId="15" xfId="4" applyFont="1" applyFill="1" applyBorder="1" applyAlignment="1">
      <alignment horizontal="center" wrapText="1"/>
    </xf>
    <xf numFmtId="165" fontId="26" fillId="8" borderId="15" xfId="4" applyNumberFormat="1" applyFont="1" applyFill="1" applyBorder="1"/>
    <xf numFmtId="0" fontId="27" fillId="0" borderId="0" xfId="4" applyFont="1"/>
    <xf numFmtId="0" fontId="7" fillId="0" borderId="0" xfId="4" applyAlignment="1" applyProtection="1">
      <alignment horizontal="center"/>
      <protection locked="0"/>
    </xf>
    <xf numFmtId="164" fontId="22" fillId="0" borderId="0" xfId="1" applyFont="1" applyAlignment="1">
      <alignment horizontal="center"/>
    </xf>
    <xf numFmtId="165" fontId="28" fillId="0" borderId="0" xfId="0" applyFont="1" applyAlignment="1" applyProtection="1">
      <alignment horizontal="center"/>
      <protection locked="0"/>
    </xf>
    <xf numFmtId="165" fontId="24" fillId="0" borderId="0" xfId="0" applyFont="1" applyAlignment="1" applyProtection="1">
      <alignment horizontal="left"/>
      <protection locked="0"/>
    </xf>
    <xf numFmtId="0" fontId="7" fillId="0" borderId="0" xfId="4" applyAlignment="1">
      <alignment horizontal="right"/>
    </xf>
    <xf numFmtId="165" fontId="7" fillId="0" borderId="11" xfId="4" applyNumberFormat="1" applyBorder="1"/>
    <xf numFmtId="2" fontId="21" fillId="0" borderId="0" xfId="71" applyNumberFormat="1" applyFill="1" applyAlignment="1">
      <alignment horizontal="center"/>
    </xf>
    <xf numFmtId="165" fontId="24" fillId="0" borderId="0" xfId="4" applyNumberFormat="1" applyFont="1" applyAlignment="1">
      <alignment horizontal="center" wrapText="1"/>
    </xf>
    <xf numFmtId="0" fontId="25" fillId="0" borderId="11" xfId="4" applyFont="1" applyBorder="1" applyAlignment="1">
      <alignment horizontal="center"/>
    </xf>
    <xf numFmtId="0" fontId="2" fillId="0" borderId="0" xfId="82"/>
    <xf numFmtId="0" fontId="2" fillId="0" borderId="11" xfId="82" applyBorder="1"/>
    <xf numFmtId="173" fontId="2" fillId="3" borderId="11" xfId="82" applyNumberFormat="1" applyFill="1" applyBorder="1"/>
    <xf numFmtId="173" fontId="2" fillId="0" borderId="0" xfId="82" applyNumberFormat="1"/>
    <xf numFmtId="0" fontId="32" fillId="0" borderId="0" xfId="83"/>
    <xf numFmtId="17" fontId="2" fillId="0" borderId="0" xfId="82" applyNumberFormat="1"/>
    <xf numFmtId="173" fontId="2" fillId="3" borderId="0" xfId="82" applyNumberFormat="1" applyFill="1"/>
    <xf numFmtId="0" fontId="1" fillId="0" borderId="0" xfId="82" applyFont="1"/>
    <xf numFmtId="0" fontId="36" fillId="0" borderId="0" xfId="82" applyFont="1"/>
    <xf numFmtId="0" fontId="33" fillId="0" borderId="0" xfId="82" applyFont="1"/>
    <xf numFmtId="173" fontId="33" fillId="3" borderId="0" xfId="82" applyNumberFormat="1" applyFont="1" applyFill="1"/>
    <xf numFmtId="0" fontId="1" fillId="3" borderId="0" xfId="82" applyFont="1" applyFill="1"/>
    <xf numFmtId="173" fontId="2" fillId="11" borderId="0" xfId="82" applyNumberFormat="1" applyFill="1"/>
    <xf numFmtId="0" fontId="34" fillId="11" borderId="0" xfId="82" applyFont="1" applyFill="1"/>
    <xf numFmtId="0" fontId="1" fillId="11" borderId="0" xfId="82" applyFont="1" applyFill="1"/>
    <xf numFmtId="0" fontId="2" fillId="11" borderId="0" xfId="82" applyFill="1"/>
    <xf numFmtId="174" fontId="0" fillId="0" borderId="0" xfId="0" applyNumberFormat="1"/>
    <xf numFmtId="173" fontId="0" fillId="0" borderId="0" xfId="0" applyNumberFormat="1"/>
    <xf numFmtId="175" fontId="0" fillId="3" borderId="0" xfId="0" applyNumberFormat="1" applyFill="1"/>
    <xf numFmtId="0" fontId="2" fillId="6" borderId="0" xfId="82" applyFill="1"/>
    <xf numFmtId="173" fontId="2" fillId="6" borderId="0" xfId="82" applyNumberFormat="1" applyFill="1"/>
    <xf numFmtId="0" fontId="1" fillId="6" borderId="0" xfId="82" applyFont="1" applyFill="1"/>
    <xf numFmtId="0" fontId="8" fillId="0" borderId="0" xfId="5" applyNumberFormat="1" applyAlignment="1" applyProtection="1"/>
    <xf numFmtId="173" fontId="1" fillId="3" borderId="0" xfId="82" applyNumberFormat="1" applyFont="1" applyFill="1"/>
    <xf numFmtId="173" fontId="2" fillId="12" borderId="0" xfId="82" applyNumberFormat="1" applyFill="1"/>
    <xf numFmtId="0" fontId="1" fillId="12" borderId="0" xfId="82" applyFont="1" applyFill="1"/>
    <xf numFmtId="0" fontId="2" fillId="13" borderId="0" xfId="82" applyFill="1"/>
    <xf numFmtId="173" fontId="2" fillId="13" borderId="0" xfId="82" applyNumberFormat="1" applyFill="1"/>
    <xf numFmtId="173" fontId="40" fillId="3" borderId="0" xfId="82" applyNumberFormat="1" applyFont="1" applyFill="1"/>
    <xf numFmtId="0" fontId="1" fillId="13" borderId="0" xfId="82" applyFont="1" applyFill="1"/>
    <xf numFmtId="0" fontId="34" fillId="13" borderId="0" xfId="82" applyFont="1" applyFill="1"/>
    <xf numFmtId="0" fontId="2" fillId="14" borderId="0" xfId="82" applyFill="1"/>
    <xf numFmtId="173" fontId="2" fillId="14" borderId="0" xfId="82" applyNumberFormat="1" applyFill="1"/>
    <xf numFmtId="0" fontId="1" fillId="14" borderId="0" xfId="82" applyFont="1" applyFill="1"/>
    <xf numFmtId="173" fontId="36" fillId="0" borderId="0" xfId="82" applyNumberFormat="1" applyFont="1"/>
    <xf numFmtId="0" fontId="6" fillId="0" borderId="0" xfId="0" quotePrefix="1" applyNumberFormat="1" applyFont="1"/>
    <xf numFmtId="175" fontId="0" fillId="11" borderId="0" xfId="0" applyNumberFormat="1" applyFill="1"/>
    <xf numFmtId="167" fontId="0" fillId="5" borderId="0" xfId="0" applyNumberFormat="1" applyFill="1"/>
    <xf numFmtId="0" fontId="6" fillId="0" borderId="7" xfId="0" applyNumberFormat="1" applyFont="1" applyBorder="1"/>
    <xf numFmtId="165" fontId="6" fillId="0" borderId="7" xfId="0" applyFont="1" applyBorder="1"/>
    <xf numFmtId="165" fontId="0" fillId="0" borderId="7" xfId="0" applyBorder="1"/>
    <xf numFmtId="0" fontId="0" fillId="0" borderId="7" xfId="0" applyNumberFormat="1" applyBorder="1"/>
    <xf numFmtId="4" fontId="0" fillId="0" borderId="7" xfId="0" applyNumberFormat="1" applyBorder="1"/>
    <xf numFmtId="165" fontId="0" fillId="15" borderId="7" xfId="0" applyFill="1" applyBorder="1"/>
    <xf numFmtId="4" fontId="0" fillId="4" borderId="7" xfId="0" applyNumberFormat="1" applyFill="1" applyBorder="1"/>
    <xf numFmtId="166" fontId="0" fillId="3" borderId="7" xfId="2" applyNumberFormat="1" applyFont="1" applyFill="1" applyBorder="1"/>
    <xf numFmtId="0" fontId="0" fillId="3" borderId="7" xfId="0" applyNumberFormat="1" applyFill="1" applyBorder="1"/>
    <xf numFmtId="165" fontId="6" fillId="0" borderId="13" xfId="0" applyFont="1" applyBorder="1"/>
    <xf numFmtId="4" fontId="0" fillId="4" borderId="12" xfId="0" applyNumberFormat="1" applyFill="1" applyBorder="1"/>
    <xf numFmtId="0" fontId="0" fillId="3" borderId="10" xfId="0" applyNumberFormat="1" applyFill="1" applyBorder="1" applyAlignment="1">
      <alignment horizontal="center"/>
    </xf>
    <xf numFmtId="0" fontId="0" fillId="17" borderId="7" xfId="0" applyNumberFormat="1" applyFill="1" applyBorder="1"/>
    <xf numFmtId="0" fontId="6" fillId="3" borderId="17" xfId="0" applyNumberFormat="1" applyFont="1" applyFill="1" applyBorder="1" applyAlignment="1">
      <alignment horizontal="center"/>
    </xf>
    <xf numFmtId="0" fontId="6" fillId="3" borderId="14" xfId="0" applyNumberFormat="1" applyFont="1" applyFill="1" applyBorder="1"/>
    <xf numFmtId="0" fontId="0" fillId="16" borderId="7" xfId="0" applyNumberFormat="1" applyFill="1" applyBorder="1"/>
    <xf numFmtId="167" fontId="0" fillId="16" borderId="7" xfId="0" applyNumberFormat="1" applyFill="1" applyBorder="1"/>
    <xf numFmtId="165" fontId="19" fillId="0" borderId="7" xfId="0" applyFont="1" applyBorder="1"/>
    <xf numFmtId="0" fontId="7" fillId="17" borderId="9" xfId="4" applyFill="1" applyBorder="1" applyAlignment="1">
      <alignment horizontal="center"/>
    </xf>
    <xf numFmtId="0" fontId="7" fillId="17" borderId="6" xfId="4" applyFill="1" applyBorder="1" applyAlignment="1">
      <alignment horizontal="center"/>
    </xf>
    <xf numFmtId="0" fontId="7" fillId="17" borderId="4" xfId="4" applyFill="1" applyBorder="1" applyAlignment="1">
      <alignment horizontal="center"/>
    </xf>
    <xf numFmtId="166" fontId="7" fillId="17" borderId="3" xfId="2" applyNumberFormat="1" applyFont="1" applyFill="1" applyBorder="1" applyAlignment="1">
      <alignment horizontal="center"/>
    </xf>
    <xf numFmtId="0" fontId="38" fillId="0" borderId="0" xfId="4" applyFont="1"/>
    <xf numFmtId="10" fontId="41" fillId="3" borderId="7" xfId="2" applyNumberFormat="1" applyFont="1" applyFill="1" applyBorder="1"/>
    <xf numFmtId="165" fontId="37" fillId="3" borderId="7" xfId="0" applyFont="1" applyFill="1" applyBorder="1" applyAlignment="1">
      <alignment horizontal="center"/>
    </xf>
    <xf numFmtId="4" fontId="0" fillId="17" borderId="7" xfId="0" applyNumberFormat="1" applyFill="1" applyBorder="1"/>
    <xf numFmtId="165" fontId="0" fillId="18" borderId="7" xfId="0" applyFill="1" applyBorder="1"/>
    <xf numFmtId="165" fontId="39" fillId="7" borderId="0" xfId="0" applyFont="1" applyFill="1"/>
    <xf numFmtId="0" fontId="31" fillId="0" borderId="16" xfId="80" applyNumberFormat="1"/>
    <xf numFmtId="0" fontId="4" fillId="0" borderId="1" xfId="3" applyNumberFormat="1" applyFill="1" applyAlignment="1">
      <alignment horizontal="center" wrapText="1"/>
    </xf>
    <xf numFmtId="168" fontId="7" fillId="0" borderId="0" xfId="73" applyNumberFormat="1" applyFont="1" applyFill="1" applyAlignment="1">
      <alignment horizontal="center"/>
    </xf>
    <xf numFmtId="0" fontId="42" fillId="0" borderId="0" xfId="4" applyFont="1" applyAlignment="1" applyProtection="1">
      <alignment horizontal="left"/>
      <protection locked="0"/>
    </xf>
    <xf numFmtId="0" fontId="25" fillId="0" borderId="0" xfId="4" applyFont="1" applyAlignment="1">
      <alignment horizontal="center"/>
    </xf>
    <xf numFmtId="0" fontId="41" fillId="3" borderId="7" xfId="0" applyNumberFormat="1" applyFont="1" applyFill="1" applyBorder="1"/>
    <xf numFmtId="165" fontId="41" fillId="0" borderId="0" xfId="0" applyFont="1"/>
    <xf numFmtId="17" fontId="35" fillId="0" borderId="0" xfId="82" applyNumberFormat="1" applyFont="1"/>
    <xf numFmtId="173" fontId="35" fillId="0" borderId="0" xfId="82" applyNumberFormat="1" applyFont="1"/>
    <xf numFmtId="0" fontId="38" fillId="3" borderId="8" xfId="4" applyFont="1" applyFill="1" applyBorder="1" applyAlignment="1">
      <alignment horizontal="center"/>
    </xf>
    <xf numFmtId="0" fontId="38" fillId="3" borderId="5" xfId="4" applyFont="1" applyFill="1" applyBorder="1" applyAlignment="1">
      <alignment horizontal="center"/>
    </xf>
    <xf numFmtId="0" fontId="25" fillId="0" borderId="0" xfId="4" applyFont="1" applyBorder="1" applyAlignment="1">
      <alignment horizontal="center"/>
    </xf>
  </cellXfs>
  <cellStyles count="84">
    <cellStyle name="Calc" xfId="71" xr:uid="{41AB2454-0065-41FE-8ACF-05737930420F}"/>
    <cellStyle name="Comma" xfId="1" builtinId="3"/>
    <cellStyle name="Comma 2" xfId="6" xr:uid="{6C98CB56-0678-4D39-B408-4483B42D43FB}"/>
    <cellStyle name="Comma 2 6" xfId="10" xr:uid="{06C0AADC-4FFF-42AA-9532-E1B00BB086F4}"/>
    <cellStyle name="Comma 4" xfId="76" xr:uid="{AC324801-846F-40DF-A4AD-18B8AEBC52DB}"/>
    <cellStyle name="External" xfId="77" xr:uid="{46C56B26-63CD-4110-848F-3C592895B21B}"/>
    <cellStyle name="Good 2" xfId="78" xr:uid="{890CC1F2-D673-416C-A752-CB242E944E67}"/>
    <cellStyle name="Heading 2" xfId="80" builtinId="17"/>
    <cellStyle name="Heading 3" xfId="3" builtinId="18"/>
    <cellStyle name="Hyperlink" xfId="5" builtinId="8"/>
    <cellStyle name="Hyperlink 2" xfId="83" xr:uid="{BC726B35-3933-41A1-B654-6070DB211F83}"/>
    <cellStyle name="Input 2" xfId="8" xr:uid="{6E02D86C-DD89-4507-AB91-14945A96F1DE}"/>
    <cellStyle name="L_Green" xfId="79" xr:uid="{49695EFE-06FF-496B-8E98-D3CB7B1EED1D}"/>
    <cellStyle name="Linked" xfId="73" xr:uid="{C82EC415-E0FB-482B-A84D-496F9F8B1B9F}"/>
    <cellStyle name="Normal" xfId="0" builtinId="0"/>
    <cellStyle name="Normal 13 2" xfId="13" xr:uid="{760CAD85-C70E-4F2C-87AE-AC0CF07BA74E}"/>
    <cellStyle name="Normal 136" xfId="17" xr:uid="{3F8AD051-E9BA-42DE-86EE-9538DB056827}"/>
    <cellStyle name="Normal 2" xfId="4" xr:uid="{A0538C16-544A-4180-885E-58BA34319283}"/>
    <cellStyle name="Normal 2 2" xfId="14" xr:uid="{587C57AA-679F-481E-9ECF-14F3DB174DCE}"/>
    <cellStyle name="Normal 20" xfId="18" xr:uid="{6570D584-F6C3-4683-A96B-38AE8DD03925}"/>
    <cellStyle name="Normal 3" xfId="81" xr:uid="{1D4EE773-5CA1-43CE-877A-7C5264C61FBE}"/>
    <cellStyle name="Normal 3 2" xfId="9" xr:uid="{03BE96ED-7F62-4BE4-95EC-D23EEB8C8EBC}"/>
    <cellStyle name="Normal 3 6" xfId="7" xr:uid="{A4204F6A-F7AB-4C2E-A81F-1585E2F41D6B}"/>
    <cellStyle name="Normal 32" xfId="57" xr:uid="{6A42445C-82F2-4EF1-BA63-BAF56FF7CFDC}"/>
    <cellStyle name="Normal 33" xfId="56" xr:uid="{B349F3BD-0D25-40D7-978D-072A262644D5}"/>
    <cellStyle name="Normal 35" xfId="52" xr:uid="{0D25CD37-42DD-4649-AE9F-FBCCEA912182}"/>
    <cellStyle name="Normal 36" xfId="51" xr:uid="{B568B144-41FE-4E30-8C65-1F5DC39F97EB}"/>
    <cellStyle name="Normal 37" xfId="55" xr:uid="{7E985E89-2893-4B7A-A0FC-624E292BBFE4}"/>
    <cellStyle name="Normal 38" xfId="54" xr:uid="{BC121CAC-4DF4-4031-84CC-1E28F7465BAA}"/>
    <cellStyle name="Normal 39" xfId="48" xr:uid="{828B81CE-320B-4D65-B911-BD0BC8864365}"/>
    <cellStyle name="Normal 4" xfId="82" xr:uid="{EBCC3EA0-FE44-4D11-BD33-479114196E7D}"/>
    <cellStyle name="Normal 40" xfId="53" xr:uid="{85FC9300-7C5F-46C4-8DA2-BFBCB86E5D3F}"/>
    <cellStyle name="Normal 42" xfId="47" xr:uid="{E57C88DF-EE7C-4A45-AFE3-B574DF847BC2}"/>
    <cellStyle name="Normal 43" xfId="46" xr:uid="{F70143A5-A34D-40F8-8B77-A66B5BCE0CAB}"/>
    <cellStyle name="Normal 44" xfId="45" xr:uid="{EA0B03C3-51BD-460C-BB8C-72CDF31167CE}"/>
    <cellStyle name="Normal 45" xfId="49" xr:uid="{259C676F-395E-48B6-ACC8-3B6F95332A9C}"/>
    <cellStyle name="Normal 47" xfId="50" xr:uid="{9C728057-B713-4B5F-9F38-0792EB89E4C3}"/>
    <cellStyle name="Normal 48" xfId="44" xr:uid="{A1949523-A7D3-40E9-9AC5-C243BEE072B8}"/>
    <cellStyle name="Normal 50" xfId="39" xr:uid="{DB2947BE-C297-46F3-B2B7-576647842C50}"/>
    <cellStyle name="Normal 51" xfId="70" xr:uid="{F09C3065-825A-4EA0-9459-954EC63CE1C7}"/>
    <cellStyle name="Normal 52" xfId="34" xr:uid="{E5FC59E5-C999-4E4F-B987-25CF53039F66}"/>
    <cellStyle name="Normal 53" xfId="32" xr:uid="{8BDC0D8F-C253-4CD3-9C46-62DFF297B7D7}"/>
    <cellStyle name="Normal 54" xfId="33" xr:uid="{0BCB7273-C9AC-449E-A614-88D1C36B408F}"/>
    <cellStyle name="Normal 55" xfId="40" xr:uid="{C71C68E3-18AA-4BD9-8705-3B18CB9B8B2A}"/>
    <cellStyle name="Normal 56" xfId="69" xr:uid="{E3547C75-05D3-440C-AC4F-C357098ABE82}"/>
    <cellStyle name="Normal 57" xfId="35" xr:uid="{0D780BC7-4FC5-4029-B7FF-F0BE9BCC4C61}"/>
    <cellStyle name="Normal 58" xfId="41" xr:uid="{154BE739-7919-45DD-A33F-997A0E4B81DE}"/>
    <cellStyle name="Normal 59" xfId="36" xr:uid="{C4E9A341-653A-4961-AFC5-5CDCC3C95A07}"/>
    <cellStyle name="Normal 60" xfId="64" xr:uid="{7384158B-1B12-48F3-AF17-8FCD76C368C2}"/>
    <cellStyle name="Normal 61" xfId="42" xr:uid="{DA60DFF5-AC19-43D6-947A-61060AA3FBB2}"/>
    <cellStyle name="Normal 62" xfId="37" xr:uid="{DB3CFEA3-4B40-42D5-B563-08C4811AEB72}"/>
    <cellStyle name="Normal 63" xfId="43" xr:uid="{799AA9BE-F8B7-4EA2-86D9-2613B62851F9}"/>
    <cellStyle name="Normal 64" xfId="68" xr:uid="{2DED34A6-AF4D-450F-AA95-E4451ADAD682}"/>
    <cellStyle name="Normal 65" xfId="38" xr:uid="{70EDEDD1-66E3-4647-B6FC-DC624DD51B98}"/>
    <cellStyle name="Normal 66" xfId="31" xr:uid="{7A8E33D1-C7DA-4544-973F-64D45B3A8B29}"/>
    <cellStyle name="Normal 67" xfId="62" xr:uid="{25BFF747-92C5-4AC6-8943-7E28E8DB5EFB}"/>
    <cellStyle name="Normal 68" xfId="26" xr:uid="{A0EEF356-04B2-458D-8D98-AE8E3C0F3D01}"/>
    <cellStyle name="Normal 69" xfId="19" xr:uid="{E2D4CE41-76C5-4222-BE19-20EFBBDF125B}"/>
    <cellStyle name="Normal 70" xfId="24" xr:uid="{2941BC21-8871-4E85-8B24-62DE11FCCC10}"/>
    <cellStyle name="Normal 71" xfId="27" xr:uid="{88058A2E-142D-4367-B4EE-04C30FB7DE07}"/>
    <cellStyle name="Normal 72" xfId="20" xr:uid="{EF547D8B-2F8B-482B-8D6D-17EF438260CC}"/>
    <cellStyle name="Normal 73" xfId="28" xr:uid="{C6CA110A-CCD2-495D-B237-EBA727CA4D1A}"/>
    <cellStyle name="Normal 74" xfId="21" xr:uid="{4925354D-39F0-44B8-8E54-3C8DA10776B6}"/>
    <cellStyle name="Normal 75" xfId="29" xr:uid="{735F6184-DEB0-4922-A1CC-51D451FBEAF6}"/>
    <cellStyle name="Normal 76" xfId="22" xr:uid="{858E4FCF-4AAF-4ACD-B813-9036C1D87A7F}"/>
    <cellStyle name="Normal 77" xfId="30" xr:uid="{B5B2F3DB-8FDC-4631-BC2B-B297C649C7B3}"/>
    <cellStyle name="Normal 78" xfId="23" xr:uid="{6E2DB7AD-9685-443E-9B8C-43C29CE853DF}"/>
    <cellStyle name="Normal 79" xfId="63" xr:uid="{CBF2E14D-570E-4F70-BCB4-C65A16315E3F}"/>
    <cellStyle name="Normal 80" xfId="67" xr:uid="{8F7BFE6A-F52F-4391-8F70-7F83036A6668}"/>
    <cellStyle name="Normal 81" xfId="61" xr:uid="{BE775854-E8E3-4DB6-9C38-CB873BC43F3A}"/>
    <cellStyle name="Normal 82" xfId="66" xr:uid="{1B1D88B5-46D2-45CF-AF9B-1EA861B84748}"/>
    <cellStyle name="Normal 83" xfId="60" xr:uid="{A95DF871-037B-4A69-97EE-22EC40EED7C7}"/>
    <cellStyle name="Normal 84" xfId="65" xr:uid="{6EE3144A-26FE-401E-841A-889C6087F108}"/>
    <cellStyle name="Normal 85" xfId="59" xr:uid="{09857C4D-82AE-4728-9B0D-CF236A0EE03E}"/>
    <cellStyle name="Normal 86" xfId="75" xr:uid="{EBA81DD7-01D1-4008-80B4-D330B61169A4}"/>
    <cellStyle name="Normal 87" xfId="74" xr:uid="{18CBEC75-39F4-44B6-AFC1-FBD0C5DB133C}"/>
    <cellStyle name="Normal 88" xfId="11" xr:uid="{50EB602A-4B6B-420D-971C-AD32A8004FB3}"/>
    <cellStyle name="Normal 89" xfId="12" xr:uid="{8C014C72-EF34-4CB3-9FA5-F9A1BD5EAC14}"/>
    <cellStyle name="Normal 90" xfId="15" xr:uid="{A69C3F21-E110-471E-A5F6-6B3C8805334B}"/>
    <cellStyle name="Percent" xfId="2" builtinId="5"/>
    <cellStyle name="Percent 10" xfId="16" xr:uid="{89367D7B-04BE-49B2-A53A-F5889A37E087}"/>
    <cellStyle name="Percent 11" xfId="25" xr:uid="{86186881-3D54-49E6-84F5-AA21E54F126A}"/>
    <cellStyle name="Percent 2" xfId="72" xr:uid="{035BF0CF-7219-469A-B7CE-DA974B61013B}"/>
    <cellStyle name="Währung_Excel2" xfId="58" xr:uid="{78A0101A-221E-43CC-8A5E-27AF7CEA13B7}"/>
  </cellStyles>
  <dxfs count="8"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0066"/>
      <color rgb="FFFFC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'IEAWEO2023 cost data'!$A$11</c:f>
          <c:strCache>
            <c:ptCount val="1"/>
            <c:pt idx="0">
              <c:v>BEV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'IEAWEO2023 cost data'!$B$11</c:f>
              <c:strCache>
                <c:ptCount val="1"/>
                <c:pt idx="0">
                  <c:v>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data'!$C$11:$F$11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0.80975609756097566</c:v>
                </c:pt>
                <c:pt idx="3">
                  <c:v>0.71707317073170729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F6-4725-8601-D180A6C93538}"/>
            </c:ext>
          </c:extLst>
        </c:ser>
        <c:ser>
          <c:idx val="1"/>
          <c:order val="1"/>
          <c:tx>
            <c:strRef>
              <c:f>'IEAWEO2023 cost data'!$B$12</c:f>
              <c:strCache>
                <c:ptCount val="1"/>
                <c:pt idx="0">
                  <c:v>APS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data'!$C$12:$F$12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0.78536585365853662</c:v>
                </c:pt>
                <c:pt idx="3">
                  <c:v>0.68780487804878043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F6-4725-8601-D180A6C93538}"/>
            </c:ext>
          </c:extLst>
        </c:ser>
        <c:ser>
          <c:idx val="2"/>
          <c:order val="2"/>
          <c:tx>
            <c:strRef>
              <c:f>'IEAWEO2023 cost data'!$B$13</c:f>
              <c:strCache>
                <c:ptCount val="1"/>
                <c:pt idx="0">
                  <c:v>NZE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data'!$C$13:$F$13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0.76097560975609757</c:v>
                </c:pt>
                <c:pt idx="3">
                  <c:v>0.66829268292682931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F6-4725-8601-D180A6C93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23248"/>
        <c:axId val="1588132496"/>
      </c:scatterChart>
      <c:valAx>
        <c:axId val="18748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2496"/>
        <c:crosses val="autoZero"/>
        <c:crossBetween val="midCat"/>
      </c:valAx>
      <c:valAx>
        <c:axId val="15881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2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'IEAWEO2023 cost data'!$A$17</c:f>
          <c:strCache>
            <c:ptCount val="1"/>
            <c:pt idx="0">
              <c:v>HEV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'IEAWEO2023 cost data'!$B$17</c:f>
              <c:strCache>
                <c:ptCount val="1"/>
                <c:pt idx="0">
                  <c:v>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data'!$C$17:$F$17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0.9107142857142857</c:v>
                </c:pt>
                <c:pt idx="3">
                  <c:v>0.91666666666666663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3-4429-86EE-5BC98D4C37B4}"/>
            </c:ext>
          </c:extLst>
        </c:ser>
        <c:ser>
          <c:idx val="1"/>
          <c:order val="1"/>
          <c:tx>
            <c:strRef>
              <c:f>'IEAWEO2023 cost data'!$B$18</c:f>
              <c:strCache>
                <c:ptCount val="1"/>
                <c:pt idx="0">
                  <c:v>APS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data'!$C$18:$F$18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0.90476190476190477</c:v>
                </c:pt>
                <c:pt idx="3">
                  <c:v>0.9107142857142857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23-4429-86EE-5BC98D4C37B4}"/>
            </c:ext>
          </c:extLst>
        </c:ser>
        <c:ser>
          <c:idx val="2"/>
          <c:order val="2"/>
          <c:tx>
            <c:strRef>
              <c:f>'IEAWEO2023 cost data'!$B$19</c:f>
              <c:strCache>
                <c:ptCount val="1"/>
                <c:pt idx="0">
                  <c:v>NZE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data'!$C$19:$F$19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0.89880952380952384</c:v>
                </c:pt>
                <c:pt idx="3">
                  <c:v>0.90476190476190477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23-4429-86EE-5BC98D4C3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23248"/>
        <c:axId val="1588132496"/>
      </c:scatterChart>
      <c:valAx>
        <c:axId val="18748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2496"/>
        <c:crosses val="autoZero"/>
        <c:crossBetween val="midCat"/>
      </c:valAx>
      <c:valAx>
        <c:axId val="15881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2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142875</xdr:rowOff>
    </xdr:from>
    <xdr:to>
      <xdr:col>11</xdr:col>
      <xdr:colOff>305903</xdr:colOff>
      <xdr:row>42</xdr:row>
      <xdr:rowOff>72991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BE1561-BFE2-695A-8F5E-3CFA9B43E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62375"/>
          <a:ext cx="7906853" cy="4305901"/>
        </a:xfrm>
        <a:prstGeom prst="rect">
          <a:avLst/>
        </a:prstGeom>
      </xdr:spPr>
    </xdr:pic>
    <xdr:clientData/>
  </xdr:twoCellAnchor>
  <xdr:twoCellAnchor>
    <xdr:from>
      <xdr:col>11</xdr:col>
      <xdr:colOff>419100</xdr:colOff>
      <xdr:row>18</xdr:row>
      <xdr:rowOff>4762</xdr:rowOff>
    </xdr:from>
    <xdr:to>
      <xdr:col>18</xdr:col>
      <xdr:colOff>209550</xdr:colOff>
      <xdr:row>32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A557E9-1A15-93FC-9010-46B6A4642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438150</xdr:colOff>
      <xdr:row>33</xdr:row>
      <xdr:rowOff>123825</xdr:rowOff>
    </xdr:from>
    <xdr:to>
      <xdr:col>18</xdr:col>
      <xdr:colOff>228600</xdr:colOff>
      <xdr:row>48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76240D-BADC-4FA1-9BE3-373E0AA3A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SATIM\DataSpreadsheets\TCH_TRA.xlsm" TargetMode="External"/><Relationship Id="rId1" Type="http://schemas.openxmlformats.org/officeDocument/2006/relationships/externalLinkPath" Target="/Models/SATIMGE/SATIM/DataSpreadsheets/TCH_TR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Google%20Drive/SATIM/SANEDI%20Projects/Transport%20Project/Reports%20and%20Papers/Working%20Paper%201/Paper%201%20Working%20Spreadsheets/tkm%20scenarios_v3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C%20Fileserver\Staff%20shared%20folders\Modelling%20Group\SATIM\Workbooks\TCH_SUP_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data/D/Modelling%20Group/_03_SECTORS/_TRA/adrian/TCH_TRA_TM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SATM/Deflato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ExchangeRate_Currency_Deflator_v00.xlsx" TargetMode="External"/><Relationship Id="rId1" Type="http://schemas.openxmlformats.org/officeDocument/2006/relationships/externalLinkPath" Target="/Models/SATIMGE_Veda/ExchangeRate_Currency_Deflator_v00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VT_REGION1_TRA.xlsx" TargetMode="External"/><Relationship Id="rId1" Type="http://schemas.openxmlformats.org/officeDocument/2006/relationships/externalLinkPath" Target="/Models/SATIMGE_Veda/VT_REGION1_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TMS_old"/>
      <sheetName val="EB_2006"/>
      <sheetName val="EB_2012"/>
      <sheetName val="DME_EB_TS"/>
      <sheetName val="SAPIADiesel"/>
      <sheetName val="SAPIAGasoline"/>
      <sheetName val="NAAMSANational"/>
      <sheetName val="NAAMSAProvincial81"/>
      <sheetName val="NAAMSAProvincial95"/>
      <sheetName val="NAAMSAdefs"/>
      <sheetName val="SOL"/>
      <sheetName val="ScrappingModels"/>
      <sheetName val="ENATIS2020"/>
      <sheetName val="ENATIS"/>
      <sheetName val="NAAMSA_SAPIA_WG"/>
      <sheetName val="HistoricalSales"/>
      <sheetName val="Comp Assumptions"/>
      <sheetName val="FuelCell"/>
      <sheetName val="EV misc"/>
      <sheetName val="EV Charging Capex"/>
      <sheetName val="EV battery "/>
      <sheetName val="AEA2012 summary"/>
      <sheetName val="Vehicle data "/>
      <sheetName val="Vehicle data-NDC2020"/>
      <sheetName val="mileagedegrad"/>
      <sheetName val="Calib_1011"/>
      <sheetName val="Calib_1011_2"/>
      <sheetName val="REGIONS"/>
      <sheetName val="TRP"/>
      <sheetName val="ITEMS_Tech"/>
      <sheetName val="TS DTech"/>
      <sheetName val="TID DTech"/>
      <sheetName val="TRP_Retrofit"/>
      <sheetName val="ITEMS_DrTech"/>
      <sheetName val="ITEMS_UCrTech"/>
      <sheetName val="TS DrTech"/>
      <sheetName val="TS UCrTech"/>
      <sheetName val="Analytica"/>
      <sheetName val="TID DrTech"/>
      <sheetName val="TID UCrTech"/>
      <sheetName val="Scenarios"/>
      <sheetName val="NT_TRP"/>
      <sheetName val="ITEMS_nTech"/>
      <sheetName val="ITEMS_UCnTech"/>
      <sheetName val="TS DnTech"/>
      <sheetName val="TS UCnTech"/>
      <sheetName val="TID DnTech"/>
      <sheetName val="TID UCnTech"/>
      <sheetName val="TID SHAPE"/>
      <sheetName val="ITEMS_Comm"/>
      <sheetName val="TS BYDem"/>
      <sheetName val="TS COMFR"/>
      <sheetName val="TS FTech"/>
      <sheetName val="TID FTech"/>
      <sheetName val="TS Emiss"/>
      <sheetName val="TID Emiss"/>
      <sheetName val="NameConv"/>
      <sheetName val="AFA"/>
      <sheetName val="Deflator"/>
      <sheetName val="LogofChanges"/>
      <sheetName val="Units.CV"/>
    </sheetNames>
    <sheetDataSet>
      <sheetData sheetId="0"/>
      <sheetData sheetId="1">
        <row r="68">
          <cell r="AG68">
            <v>744.7462524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3">
          <cell r="B3">
            <v>0</v>
          </cell>
        </row>
        <row r="16">
          <cell r="B16" t="b">
            <v>1</v>
          </cell>
        </row>
        <row r="18">
          <cell r="B18">
            <v>1</v>
          </cell>
        </row>
        <row r="21">
          <cell r="B21">
            <v>1</v>
          </cell>
        </row>
        <row r="24">
          <cell r="B24">
            <v>0</v>
          </cell>
        </row>
        <row r="28">
          <cell r="B28" t="b">
            <v>0</v>
          </cell>
        </row>
      </sheetData>
      <sheetData sheetId="41">
        <row r="2">
          <cell r="A2">
            <v>2012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>
        <row r="33">
          <cell r="J33">
            <v>0.820564128</v>
          </cell>
        </row>
      </sheetData>
      <sheetData sheetId="51"/>
      <sheetData sheetId="52"/>
      <sheetData sheetId="53"/>
      <sheetData sheetId="54"/>
      <sheetData sheetId="55"/>
      <sheetData sheetId="56">
        <row r="1">
          <cell r="F1">
            <v>1E-8</v>
          </cell>
        </row>
        <row r="3">
          <cell r="D3" t="str">
            <v>Biogas</v>
          </cell>
          <cell r="E3" t="str">
            <v>BIG</v>
          </cell>
        </row>
        <row r="4">
          <cell r="D4" t="str">
            <v>Biomass bagasse</v>
          </cell>
          <cell r="E4" t="str">
            <v>BIB</v>
          </cell>
        </row>
        <row r="5">
          <cell r="D5" t="str">
            <v>Biomass Other</v>
          </cell>
          <cell r="E5" t="str">
            <v>BIO</v>
          </cell>
        </row>
        <row r="6">
          <cell r="D6" t="str">
            <v>Biomass Wood</v>
          </cell>
          <cell r="E6" t="str">
            <v>BIW</v>
          </cell>
        </row>
        <row r="7">
          <cell r="D7" t="str">
            <v>Coal</v>
          </cell>
          <cell r="E7" t="str">
            <v>COA</v>
          </cell>
        </row>
        <row r="8">
          <cell r="D8" t="str">
            <v>Coal Coking</v>
          </cell>
          <cell r="E8" t="str">
            <v>COK</v>
          </cell>
        </row>
        <row r="9">
          <cell r="D9" t="str">
            <v>Coal Discard</v>
          </cell>
          <cell r="E9" t="str">
            <v>CLD</v>
          </cell>
        </row>
        <row r="10">
          <cell r="D10" t="str">
            <v>Coal existing</v>
          </cell>
          <cell r="E10" t="str">
            <v>CLE</v>
          </cell>
        </row>
        <row r="11">
          <cell r="D11" t="str">
            <v>Coal for plants in Region</v>
          </cell>
          <cell r="E11" t="str">
            <v>CLR</v>
          </cell>
        </row>
        <row r="12">
          <cell r="D12" t="str">
            <v>Coal new</v>
          </cell>
          <cell r="E12" t="str">
            <v>CLN</v>
          </cell>
        </row>
        <row r="13">
          <cell r="D13" t="str">
            <v>Coal Sasol</v>
          </cell>
          <cell r="E13" t="str">
            <v>CLS</v>
          </cell>
        </row>
        <row r="14">
          <cell r="D14" t="str">
            <v>Electricity</v>
          </cell>
          <cell r="E14" t="str">
            <v>ELC</v>
          </cell>
        </row>
        <row r="15">
          <cell r="D15" t="str">
            <v>Gas</v>
          </cell>
          <cell r="E15" t="str">
            <v>GAS</v>
          </cell>
        </row>
        <row r="16">
          <cell r="D16" t="str">
            <v>Gas LNG</v>
          </cell>
          <cell r="E16" t="str">
            <v>GAL</v>
          </cell>
        </row>
        <row r="17">
          <cell r="D17" t="str">
            <v>Gas Region</v>
          </cell>
          <cell r="E17" t="str">
            <v>GAR</v>
          </cell>
        </row>
        <row r="18">
          <cell r="D18" t="str">
            <v>Hydro</v>
          </cell>
          <cell r="E18" t="str">
            <v>HYD</v>
          </cell>
        </row>
        <row r="19">
          <cell r="D19" t="str">
            <v>Hydrogen</v>
          </cell>
          <cell r="E19" t="str">
            <v>HGN</v>
          </cell>
        </row>
        <row r="20">
          <cell r="D20" t="str">
            <v>Hydrogen</v>
          </cell>
          <cell r="E20" t="str">
            <v>HFC</v>
          </cell>
        </row>
        <row r="21">
          <cell r="D21" t="str">
            <v>Nuclear</v>
          </cell>
          <cell r="E21" t="str">
            <v>NUC</v>
          </cell>
        </row>
        <row r="22">
          <cell r="D22" t="str">
            <v>Oil Av Gasoline</v>
          </cell>
          <cell r="E22" t="str">
            <v>OAG</v>
          </cell>
        </row>
        <row r="23">
          <cell r="D23" t="str">
            <v>Oil Crude</v>
          </cell>
          <cell r="E23" t="str">
            <v>OCR</v>
          </cell>
        </row>
        <row r="24">
          <cell r="D24" t="str">
            <v>Oil Diesel</v>
          </cell>
          <cell r="E24" t="str">
            <v>ODS</v>
          </cell>
        </row>
        <row r="25">
          <cell r="D25" t="str">
            <v>Oil Gasoline</v>
          </cell>
          <cell r="E25" t="str">
            <v>OGS</v>
          </cell>
        </row>
        <row r="26">
          <cell r="D26" t="str">
            <v>Oil HFO</v>
          </cell>
          <cell r="E26" t="str">
            <v>OHF</v>
          </cell>
        </row>
        <row r="27">
          <cell r="D27" t="str">
            <v>Oil Jet Fuel</v>
          </cell>
          <cell r="E27" t="str">
            <v>OKE</v>
          </cell>
        </row>
        <row r="28">
          <cell r="D28" t="str">
            <v>Oil LPG</v>
          </cell>
          <cell r="E28" t="str">
            <v>OLP</v>
          </cell>
        </row>
        <row r="29">
          <cell r="D29" t="str">
            <v>Oil Paraffin</v>
          </cell>
          <cell r="E29" t="str">
            <v>OPA</v>
          </cell>
        </row>
        <row r="30">
          <cell r="D30" t="str">
            <v>Oil Blended Gasoline-Ethanol-E85</v>
          </cell>
          <cell r="E30" t="str">
            <v>BGS</v>
          </cell>
        </row>
        <row r="31">
          <cell r="D31" t="str">
            <v>Solar</v>
          </cell>
          <cell r="E31" t="str">
            <v>SOL</v>
          </cell>
        </row>
        <row r="32">
          <cell r="D32" t="str">
            <v>Wind</v>
          </cell>
          <cell r="E32" t="str">
            <v>WND</v>
          </cell>
        </row>
        <row r="36">
          <cell r="D36" t="str">
            <v>SUV</v>
          </cell>
          <cell r="E36" t="str">
            <v>LCV</v>
          </cell>
        </row>
        <row r="37">
          <cell r="D37" t="str">
            <v>Car</v>
          </cell>
          <cell r="E37" t="str">
            <v>SUV</v>
          </cell>
        </row>
        <row r="38">
          <cell r="D38" t="str">
            <v>Car</v>
          </cell>
          <cell r="E38" t="str">
            <v>CAR</v>
          </cell>
        </row>
        <row r="39">
          <cell r="D39" t="str">
            <v>MBT</v>
          </cell>
          <cell r="E39" t="str">
            <v>MBT</v>
          </cell>
        </row>
      </sheetData>
      <sheetData sheetId="57"/>
      <sheetData sheetId="58"/>
      <sheetData sheetId="59"/>
      <sheetData sheetId="60">
        <row r="9">
          <cell r="B9">
            <v>36.607594936708864</v>
          </cell>
          <cell r="C9">
            <v>38.1</v>
          </cell>
        </row>
        <row r="13">
          <cell r="C13">
            <v>34.200000000000003</v>
          </cell>
        </row>
        <row r="43">
          <cell r="F43">
            <v>33.148148148148152</v>
          </cell>
        </row>
        <row r="46">
          <cell r="F46">
            <v>36.607594936708864</v>
          </cell>
        </row>
        <row r="50">
          <cell r="F50">
            <v>23.000259429209784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ault Dataset (7)"/>
      <sheetName val="Sheet6"/>
      <sheetName val="Load Factors"/>
      <sheetName val="Sector Diesel"/>
      <sheetName val="Sheet1"/>
      <sheetName val="Diesel 199_2012"/>
      <sheetName val="SOL"/>
      <sheetName val="GVM vs GCM"/>
      <sheetName val="Load and FC"/>
      <sheetName val="Classes &amp; Configs"/>
      <sheetName val="Constants 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8">
          <cell r="K8">
            <v>34.200000000000003</v>
          </cell>
        </row>
        <row r="48">
          <cell r="F48">
            <v>36.607594936708864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"/>
      <sheetName val="2006"/>
      <sheetName val="FuelPrices"/>
      <sheetName val="SUP"/>
      <sheetName val="ITEMS_STech"/>
      <sheetName val="TS STech"/>
      <sheetName val="TID STech"/>
      <sheetName val="ITEMS_Comm"/>
      <sheetName val="TS Emiss"/>
      <sheetName val="TID Emiss"/>
      <sheetName val="TS ZTech"/>
      <sheetName val="TID ZTech"/>
      <sheetName val="SasolRES"/>
      <sheetName val="Crude refineries"/>
      <sheetName val="GTL and CTL"/>
      <sheetName val="SummaryRef"/>
      <sheetName val="RefineriesData"/>
      <sheetName val="UPS"/>
      <sheetName val="ITEMS_UPS"/>
      <sheetName val="ITEMS_GRP"/>
      <sheetName val="TS_TTech"/>
      <sheetName val="TID_TTech"/>
      <sheetName val="NameConv"/>
      <sheetName val="ITEMS_XTech"/>
      <sheetName val="ITEMS_CommX"/>
      <sheetName val="TS_XTech"/>
      <sheetName val="TID_XTech"/>
      <sheetName val="ITEMS_XEmiss"/>
      <sheetName val="TS XEmiss"/>
      <sheetName val="TID XEmiss"/>
      <sheetName val="Deflator"/>
      <sheetName val="SUP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6">
          <cell r="B6" t="str">
            <v>UPS</v>
          </cell>
        </row>
      </sheetData>
      <sheetData sheetId="18"/>
      <sheetData sheetId="19"/>
      <sheetData sheetId="20"/>
      <sheetData sheetId="21"/>
      <sheetData sheetId="22">
        <row r="2">
          <cell r="V2">
            <v>16</v>
          </cell>
        </row>
        <row r="3">
          <cell r="W3" t="str">
            <v>CO2S</v>
          </cell>
          <cell r="X3" t="str">
            <v>CH4S</v>
          </cell>
          <cell r="Y3" t="str">
            <v>N2OS</v>
          </cell>
          <cell r="Z3" t="str">
            <v>SOXS</v>
          </cell>
          <cell r="AA3" t="str">
            <v>NOXS</v>
          </cell>
          <cell r="AB3" t="str">
            <v>CMOX</v>
          </cell>
          <cell r="AC3" t="str">
            <v>NMVS</v>
          </cell>
          <cell r="AD3" t="str">
            <v>P10S</v>
          </cell>
          <cell r="AE3" t="str">
            <v>CO2R</v>
          </cell>
          <cell r="AF3" t="str">
            <v>CH4R</v>
          </cell>
          <cell r="AG3" t="str">
            <v>N2OR</v>
          </cell>
          <cell r="AH3" t="str">
            <v>SOXR</v>
          </cell>
          <cell r="AI3" t="str">
            <v>NOXR</v>
          </cell>
          <cell r="AJ3" t="str">
            <v>CMOR</v>
          </cell>
          <cell r="AK3" t="str">
            <v>NMVR</v>
          </cell>
          <cell r="AL3" t="str">
            <v>P10R</v>
          </cell>
        </row>
        <row r="4">
          <cell r="V4" t="str">
            <v>BIG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</row>
        <row r="5">
          <cell r="V5" t="str">
            <v>BIB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</row>
        <row r="6">
          <cell r="V6" t="str">
            <v>BIO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</row>
        <row r="7">
          <cell r="V7" t="str">
            <v>BIW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</row>
        <row r="8">
          <cell r="V8" t="str">
            <v>COA</v>
          </cell>
          <cell r="W8">
            <v>96.25</v>
          </cell>
          <cell r="X8">
            <v>1E-3</v>
          </cell>
          <cell r="Y8">
            <v>1.4E-3</v>
          </cell>
          <cell r="Z8">
            <v>0.62619999999999998</v>
          </cell>
          <cell r="AA8">
            <v>0.3</v>
          </cell>
          <cell r="AB8">
            <v>0.02</v>
          </cell>
          <cell r="AC8">
            <v>5.0000000000000001E-3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</row>
        <row r="9">
          <cell r="V9" t="str">
            <v>COK</v>
          </cell>
          <cell r="W9">
            <v>94.6</v>
          </cell>
          <cell r="X9">
            <v>1E-3</v>
          </cell>
          <cell r="Y9">
            <v>1.5E-3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</row>
        <row r="10">
          <cell r="V10" t="str">
            <v>CLD</v>
          </cell>
          <cell r="W10">
            <v>96.25</v>
          </cell>
          <cell r="X10">
            <v>1E-3</v>
          </cell>
          <cell r="Y10">
            <v>1.4E-3</v>
          </cell>
          <cell r="Z10">
            <v>0.62619999999999998</v>
          </cell>
          <cell r="AA10">
            <v>0.3</v>
          </cell>
          <cell r="AB10">
            <v>0.02</v>
          </cell>
          <cell r="AC10">
            <v>5.0000000000000001E-3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</row>
        <row r="11">
          <cell r="V11" t="str">
            <v>CLE</v>
          </cell>
          <cell r="W11">
            <v>96.25</v>
          </cell>
          <cell r="X11">
            <v>1E-3</v>
          </cell>
          <cell r="Y11">
            <v>1.4E-3</v>
          </cell>
          <cell r="Z11">
            <v>0.62619999999999998</v>
          </cell>
          <cell r="AA11">
            <v>0.3</v>
          </cell>
          <cell r="AB11">
            <v>0.02</v>
          </cell>
          <cell r="AC11">
            <v>5.0000000000000001E-3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</row>
        <row r="12">
          <cell r="V12" t="str">
            <v>CLR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96.25</v>
          </cell>
          <cell r="AF12">
            <v>1E-3</v>
          </cell>
          <cell r="AG12">
            <v>1.4E-3</v>
          </cell>
          <cell r="AH12">
            <v>0.62619999999999998</v>
          </cell>
          <cell r="AI12">
            <v>0.3</v>
          </cell>
          <cell r="AJ12">
            <v>0.02</v>
          </cell>
          <cell r="AK12">
            <v>5.0000000000000001E-3</v>
          </cell>
          <cell r="AL12">
            <v>0</v>
          </cell>
        </row>
        <row r="13">
          <cell r="V13" t="str">
            <v>CLN</v>
          </cell>
          <cell r="W13">
            <v>96.25</v>
          </cell>
          <cell r="X13">
            <v>1E-3</v>
          </cell>
          <cell r="Y13">
            <v>1.4E-3</v>
          </cell>
          <cell r="Z13">
            <v>0.62619999999999998</v>
          </cell>
          <cell r="AA13">
            <v>0.3</v>
          </cell>
          <cell r="AB13">
            <v>0.02</v>
          </cell>
          <cell r="AC13">
            <v>5.0000000000000001E-3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</row>
        <row r="14">
          <cell r="V14" t="str">
            <v>CME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</row>
        <row r="15">
          <cell r="V15" t="str">
            <v>CMN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</row>
        <row r="16">
          <cell r="V16" t="str">
            <v>ELC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</row>
        <row r="17">
          <cell r="V17" t="str">
            <v>ELCC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</row>
        <row r="18">
          <cell r="V18" t="str">
            <v>GAL</v>
          </cell>
          <cell r="W18">
            <v>56.1</v>
          </cell>
          <cell r="X18">
            <v>1E-3</v>
          </cell>
          <cell r="Y18">
            <v>1E-4</v>
          </cell>
          <cell r="Z18">
            <v>0</v>
          </cell>
          <cell r="AA18">
            <v>0.15</v>
          </cell>
          <cell r="AB18">
            <v>0.02</v>
          </cell>
          <cell r="AC18">
            <v>5.0000000000000001E-3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</row>
        <row r="19">
          <cell r="V19" t="str">
            <v>GAM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</row>
        <row r="20">
          <cell r="V20" t="str">
            <v>GAR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56.1</v>
          </cell>
          <cell r="AF20">
            <v>1E-3</v>
          </cell>
          <cell r="AG20">
            <v>1E-4</v>
          </cell>
          <cell r="AH20">
            <v>0</v>
          </cell>
          <cell r="AI20">
            <v>0.15</v>
          </cell>
          <cell r="AJ20">
            <v>0.02</v>
          </cell>
          <cell r="AK20">
            <v>5.0000000000000001E-3</v>
          </cell>
          <cell r="AL20">
            <v>0</v>
          </cell>
        </row>
        <row r="21">
          <cell r="V21" t="str">
            <v>GAS</v>
          </cell>
          <cell r="W21">
            <v>56.1</v>
          </cell>
          <cell r="X21">
            <v>1E-3</v>
          </cell>
          <cell r="Y21">
            <v>1E-4</v>
          </cell>
          <cell r="Z21">
            <v>0</v>
          </cell>
          <cell r="AA21">
            <v>0.15</v>
          </cell>
          <cell r="AB21">
            <v>0.02</v>
          </cell>
          <cell r="AC21">
            <v>5.0000000000000001E-3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</row>
        <row r="22">
          <cell r="V22" t="str">
            <v>GMR</v>
          </cell>
          <cell r="W22">
            <v>56.1</v>
          </cell>
          <cell r="X22">
            <v>1E-3</v>
          </cell>
          <cell r="Y22">
            <v>1E-4</v>
          </cell>
          <cell r="Z22">
            <v>0</v>
          </cell>
          <cell r="AA22">
            <v>0.15</v>
          </cell>
          <cell r="AB22">
            <v>0.02</v>
          </cell>
          <cell r="AC22">
            <v>5.0000000000000001E-3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</row>
        <row r="23">
          <cell r="V23" t="str">
            <v>HET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</row>
        <row r="24">
          <cell r="V24" t="str">
            <v>HEE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</row>
        <row r="25">
          <cell r="V25" t="str">
            <v>HEN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</row>
        <row r="26">
          <cell r="V26" t="str">
            <v>HYD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</row>
        <row r="27">
          <cell r="V27" t="str">
            <v>NUC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</row>
        <row r="28">
          <cell r="V28" t="str">
            <v>OAG</v>
          </cell>
          <cell r="W28">
            <v>70</v>
          </cell>
          <cell r="X28">
            <v>3.0000000000000001E-3</v>
          </cell>
          <cell r="Y28">
            <v>5.9999999999999995E-4</v>
          </cell>
          <cell r="Z28">
            <v>4.6699999999999998E-2</v>
          </cell>
          <cell r="AA28">
            <v>0.3</v>
          </cell>
          <cell r="AB28">
            <v>0.1</v>
          </cell>
          <cell r="AC28">
            <v>0.05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</row>
        <row r="29">
          <cell r="V29" t="str">
            <v>OCR</v>
          </cell>
          <cell r="W29">
            <v>73.3</v>
          </cell>
          <cell r="X29">
            <v>3.0000000000000001E-3</v>
          </cell>
          <cell r="Y29">
            <v>5.9999999999999995E-4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</row>
        <row r="30">
          <cell r="V30" t="str">
            <v>ODS</v>
          </cell>
          <cell r="W30">
            <v>74.066699999999997</v>
          </cell>
          <cell r="X30">
            <v>3.0000000000000001E-3</v>
          </cell>
          <cell r="Y30">
            <v>5.9999999999999995E-4</v>
          </cell>
          <cell r="Z30">
            <v>0.25290000000000001</v>
          </cell>
          <cell r="AA30">
            <v>0.2</v>
          </cell>
          <cell r="AB30">
            <v>1.4999999999999999E-2</v>
          </cell>
          <cell r="AC30">
            <v>5.0000000000000001E-3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</row>
        <row r="31">
          <cell r="V31" t="str">
            <v>OGS</v>
          </cell>
          <cell r="W31">
            <v>69.3</v>
          </cell>
          <cell r="X31">
            <v>3.0000000000000001E-3</v>
          </cell>
          <cell r="Y31">
            <v>5.9999999999999995E-4</v>
          </cell>
          <cell r="Z31">
            <v>4.6699999999999998E-2</v>
          </cell>
          <cell r="AA31">
            <v>0.6</v>
          </cell>
          <cell r="AB31">
            <v>8</v>
          </cell>
          <cell r="AC31">
            <v>1.5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</row>
        <row r="32">
          <cell r="V32" t="str">
            <v>OHF</v>
          </cell>
          <cell r="W32">
            <v>77.400000000000006</v>
          </cell>
          <cell r="X32">
            <v>3.0000000000000001E-3</v>
          </cell>
          <cell r="Y32">
            <v>5.9999999999999995E-4</v>
          </cell>
          <cell r="Z32">
            <v>1.5290999999999999</v>
          </cell>
          <cell r="AA32">
            <v>0.2</v>
          </cell>
          <cell r="AB32">
            <v>0.01</v>
          </cell>
          <cell r="AC32">
            <v>5.0000000000000001E-3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</row>
        <row r="33">
          <cell r="V33" t="str">
            <v>OKE</v>
          </cell>
          <cell r="W33">
            <v>72.900000000000006</v>
          </cell>
          <cell r="X33">
            <v>3.0000000000000001E-3</v>
          </cell>
          <cell r="Y33">
            <v>5.9999999999999995E-4</v>
          </cell>
          <cell r="Z33">
            <v>4.5900000000000003E-2</v>
          </cell>
          <cell r="AA33">
            <v>0.2</v>
          </cell>
          <cell r="AB33">
            <v>0.01</v>
          </cell>
          <cell r="AC33">
            <v>5.0000000000000001E-3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</row>
        <row r="34">
          <cell r="V34" t="str">
            <v>OLP</v>
          </cell>
          <cell r="W34">
            <v>63.1</v>
          </cell>
          <cell r="X34">
            <v>3.0000000000000001E-3</v>
          </cell>
          <cell r="Y34">
            <v>1E-4</v>
          </cell>
          <cell r="Z34">
            <v>5.4089999999999998</v>
          </cell>
          <cell r="AA34">
            <v>1.2460000000000001E-2</v>
          </cell>
          <cell r="AB34">
            <v>0.182</v>
          </cell>
          <cell r="AC34">
            <v>2.3699999999999999E-2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</row>
        <row r="35">
          <cell r="V35" t="str">
            <v>OTH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V36" t="str">
            <v>OPA</v>
          </cell>
          <cell r="W36">
            <v>72.900000000000006</v>
          </cell>
          <cell r="X36">
            <v>3.0000000000000001E-3</v>
          </cell>
          <cell r="Y36">
            <v>5.9999999999999995E-4</v>
          </cell>
          <cell r="Z36">
            <v>5.4089999999999998</v>
          </cell>
          <cell r="AA36">
            <v>1.2460000000000001E-2</v>
          </cell>
          <cell r="AB36">
            <v>0.182</v>
          </cell>
          <cell r="AC36">
            <v>2.3699999999999999E-2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V37" t="str">
            <v>SOL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</row>
        <row r="38">
          <cell r="V38" t="str">
            <v>WND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MS_old"/>
      <sheetName val="EB_2006"/>
      <sheetName val="DME_EB_TS"/>
      <sheetName val="SAPIADiesel"/>
      <sheetName val="SAPIAGasoline"/>
      <sheetName val="NAAMSANational"/>
      <sheetName val="NAAMSAProvincial81"/>
      <sheetName val="NAAMSAProvincial95"/>
      <sheetName val="NAAMSAdefs"/>
      <sheetName val="SOL"/>
      <sheetName val="ScrappingModels"/>
      <sheetName val="ENATIS"/>
      <sheetName val="NAAMSA_SAPIA_WG"/>
      <sheetName val="Comp Assumptions"/>
      <sheetName val="Analytica"/>
      <sheetName val="FuelCell"/>
      <sheetName val="mileagedegrad"/>
      <sheetName val="HistoricalSales"/>
      <sheetName val="Calib_1011"/>
      <sheetName val="REGIONS"/>
      <sheetName val="TRP"/>
      <sheetName val="ITEMS_Tech"/>
      <sheetName val="TS DTech"/>
      <sheetName val="TID DTech"/>
      <sheetName val="TRP_Retrofit"/>
      <sheetName val="ITEMS_DrTech"/>
      <sheetName val="ITEMS_UCrTech"/>
      <sheetName val="TS DrTech"/>
      <sheetName val="TS UCrTech"/>
      <sheetName val="TID DrTech"/>
      <sheetName val="TID UCrTech"/>
      <sheetName val="NT_TRP"/>
      <sheetName val="ITEMS_nTech"/>
      <sheetName val="ITEMS_UCnTech"/>
      <sheetName val="TS DnTech"/>
      <sheetName val="TS UCnTech"/>
      <sheetName val="TID DnTech"/>
      <sheetName val="TID UCnTech"/>
      <sheetName val="TID SHAPE"/>
      <sheetName val="ITEMS_Comm"/>
      <sheetName val="TS BYDem"/>
      <sheetName val="TS COMFR"/>
      <sheetName val="TS FTech"/>
      <sheetName val="TID FTech"/>
      <sheetName val="TS Emiss"/>
      <sheetName val="TID Emiss"/>
      <sheetName val="NameConv"/>
      <sheetName val="AFA"/>
      <sheetName val="Deflator"/>
      <sheetName val="LogofChang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9">
          <cell r="B39">
            <v>1.9269406392694064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67">
          <cell r="AL67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03">
          <cell r="B103" t="str">
            <v>TPPRCARHGNF-N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>
        <row r="1">
          <cell r="F1">
            <v>1E-8</v>
          </cell>
        </row>
      </sheetData>
      <sheetData sheetId="47" refreshError="1"/>
      <sheetData sheetId="48">
        <row r="4">
          <cell r="N4">
            <v>0.84477724913494801</v>
          </cell>
        </row>
      </sheetData>
      <sheetData sheetId="4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lator"/>
    </sheetNames>
    <sheetDataSet>
      <sheetData sheetId="0" refreshError="1">
        <row r="4">
          <cell r="P4">
            <v>1.3094103081137336</v>
          </cell>
          <cell r="R4">
            <v>1.1636030437253695</v>
          </cell>
          <cell r="U4">
            <v>1</v>
          </cell>
        </row>
        <row r="12">
          <cell r="B12">
            <v>2015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s"/>
      <sheetName val="Readme"/>
      <sheetName val="CPI-hist"/>
    </sheetNames>
    <sheetDataSet>
      <sheetData sheetId="0"/>
      <sheetData sheetId="1"/>
      <sheetData sheetId="2">
        <row r="23">
          <cell r="B23">
            <v>91.9</v>
          </cell>
          <cell r="C23">
            <v>92.8</v>
          </cell>
          <cell r="D23">
            <v>93.1</v>
          </cell>
          <cell r="E23">
            <v>92.6</v>
          </cell>
          <cell r="F23">
            <v>92</v>
          </cell>
          <cell r="G23">
            <v>92.5</v>
          </cell>
          <cell r="H23">
            <v>93.7</v>
          </cell>
          <cell r="I23">
            <v>93.9</v>
          </cell>
          <cell r="J23">
            <v>94</v>
          </cell>
          <cell r="K23">
            <v>94.3</v>
          </cell>
          <cell r="L23">
            <v>94.3</v>
          </cell>
          <cell r="M23">
            <v>94.4</v>
          </cell>
        </row>
        <row r="25">
          <cell r="B25">
            <v>100.2</v>
          </cell>
          <cell r="C25">
            <v>100.8</v>
          </cell>
          <cell r="D25">
            <v>101.8</v>
          </cell>
          <cell r="E25">
            <v>102.4</v>
          </cell>
          <cell r="F25">
            <v>103.1</v>
          </cell>
          <cell r="G25">
            <v>104.2</v>
          </cell>
          <cell r="H25">
            <v>105.8</v>
          </cell>
          <cell r="I25">
            <v>106</v>
          </cell>
          <cell r="J25">
            <v>106.1</v>
          </cell>
          <cell r="K25">
            <v>106.5</v>
          </cell>
          <cell r="L25">
            <v>106.8</v>
          </cell>
          <cell r="M25">
            <v>107.2</v>
          </cell>
        </row>
        <row r="26">
          <cell r="B26">
            <v>107.1</v>
          </cell>
          <cell r="C26">
            <v>107.9</v>
          </cell>
          <cell r="D26">
            <v>109</v>
          </cell>
          <cell r="E26">
            <v>109.4</v>
          </cell>
          <cell r="F26">
            <v>109.6</v>
          </cell>
          <cell r="G26">
            <v>109.8</v>
          </cell>
          <cell r="H26">
            <v>110.8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P"/>
      <sheetName val="ITEMS_Tech"/>
      <sheetName val="NT_TRP"/>
      <sheetName val="ITEMS_nTech"/>
      <sheetName val="Demand"/>
      <sheetName val="Calib_2017"/>
      <sheetName val="EB_2017"/>
      <sheetName val="SOL"/>
      <sheetName val="Analytica"/>
      <sheetName val="CostProjections"/>
      <sheetName val="VehicleCostData2022"/>
      <sheetName val="IEAWEO2023 cost data"/>
      <sheetName val="Vehicle data-proc2023"/>
      <sheetName val="AEA2012 update"/>
      <sheetName val="VehicleCostData2023"/>
      <sheetName val="Vehicle data-NDC2020"/>
      <sheetName val="AEA2012 summary"/>
      <sheetName val="Vehicle data "/>
      <sheetName val="FuelCell"/>
      <sheetName val="Calib_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8">
          <cell r="A8" t="str">
            <v>Passenger Car</v>
          </cell>
          <cell r="B8" t="str">
            <v>Petrol HEV</v>
          </cell>
          <cell r="C8">
            <v>17377.456235607926</v>
          </cell>
        </row>
        <row r="14">
          <cell r="A14" t="str">
            <v>Passenger Car</v>
          </cell>
          <cell r="B14" t="str">
            <v>BEV</v>
          </cell>
          <cell r="C14">
            <v>36238.596721333321</v>
          </cell>
        </row>
      </sheetData>
      <sheetData sheetId="17"/>
      <sheetData sheetId="18"/>
      <sheetData sheetId="1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uy Cunliffe" id="{CF743540-761E-4242-9DBC-F92B4D67C2DD}" userId="2804e71ab4b29b0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3-12-08T09:41:25.31" personId="{CF743540-761E-4242-9DBC-F92B4D67C2DD}" id="{D99C5C5F-423D-43A0-B73A-136F355FE260}">
    <text>Assumed BEV cost in 2022$ in 2010 based on AEA2012 summary data (converted from 2012 GBP to 2022 USD)</text>
  </threadedComment>
  <threadedComment ref="C14" dT="2023-12-08T09:41:25.31" personId="{CF743540-761E-4242-9DBC-F92B4D67C2DD}" id="{8788EC7F-83B0-4AB5-A77A-24CC8128D2A3}">
    <text>Assumed HEV cost in 2022$ in 2010 based on AEA2012 summary data (converted from 2012 GBP to 2022 USD)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s.co.za/usedcars/?body_type_exact=Hatchback|Sedan&amp;commercial_type=passenger&amp;fuel_type=p&amp;new_or_used=New&amp;seller_type=agent&amp;sort=price&amp;transmission=Manual&amp;vehicle_axle_config=4X2&amp;vfs_mileage=0-0&amp;vfs_year=2023-2023" TargetMode="External"/><Relationship Id="rId1" Type="http://schemas.openxmlformats.org/officeDocument/2006/relationships/hyperlink" Target="https://www.wesbank.co.za/blog/post/the-real-costs-of-vehicle-ownership-and-maintenanc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A2CE-E4B7-46D8-887F-AE779DF4DC0C}">
  <sheetPr codeName="Sheet4">
    <tabColor theme="4"/>
  </sheetPr>
  <dimension ref="A1:O86"/>
  <sheetViews>
    <sheetView tabSelected="1" zoomScale="70" zoomScaleNormal="70" workbookViewId="0">
      <selection activeCell="B33" sqref="B33"/>
    </sheetView>
    <sheetView zoomScale="55" zoomScaleNormal="55" workbookViewId="1">
      <selection activeCell="L13" sqref="L13"/>
    </sheetView>
  </sheetViews>
  <sheetFormatPr defaultColWidth="8.85546875" defaultRowHeight="12.75" x14ac:dyDescent="0.2"/>
  <cols>
    <col min="1" max="1" width="25.28515625" style="1" customWidth="1"/>
    <col min="2" max="2" width="47.42578125" style="1" customWidth="1"/>
    <col min="3" max="4" width="19.42578125" style="1" customWidth="1"/>
    <col min="5" max="5" width="10.7109375" style="1" bestFit="1" customWidth="1"/>
    <col min="6" max="6" width="14" style="26" customWidth="1"/>
    <col min="7" max="15" width="10" style="1" customWidth="1"/>
    <col min="16" max="16" width="9.140625" style="1" customWidth="1"/>
    <col min="17" max="18" width="8.85546875" style="1"/>
    <col min="19" max="19" width="9.5703125" style="1" bestFit="1" customWidth="1"/>
    <col min="20" max="16384" width="8.85546875" style="1"/>
  </cols>
  <sheetData>
    <row r="1" spans="1:15" ht="13.5" thickBot="1" x14ac:dyDescent="0.25">
      <c r="B1" s="25"/>
      <c r="C1" s="24"/>
      <c r="D1" s="24"/>
      <c r="E1" s="24"/>
      <c r="F1" s="23" t="s">
        <v>24</v>
      </c>
      <c r="G1" s="23" t="s">
        <v>24</v>
      </c>
      <c r="H1" s="23" t="s">
        <v>24</v>
      </c>
      <c r="I1" s="23" t="s">
        <v>24</v>
      </c>
      <c r="J1" s="23" t="s">
        <v>24</v>
      </c>
      <c r="K1" s="23" t="s">
        <v>24</v>
      </c>
      <c r="L1" s="23"/>
      <c r="M1" s="23"/>
      <c r="N1" s="23"/>
      <c r="O1" s="23"/>
    </row>
    <row r="2" spans="1:15" ht="18" x14ac:dyDescent="0.25">
      <c r="B2" s="21" t="s">
        <v>77</v>
      </c>
      <c r="C2" s="30"/>
      <c r="D2" s="108"/>
      <c r="E2" s="101"/>
      <c r="F2" s="87" t="s">
        <v>265</v>
      </c>
      <c r="G2" s="106" t="str">
        <f>CostProjections!M5</f>
        <v>NZE</v>
      </c>
      <c r="H2" s="91" t="s">
        <v>268</v>
      </c>
    </row>
    <row r="3" spans="1:15" x14ac:dyDescent="0.2">
      <c r="F3" s="88" t="s">
        <v>266</v>
      </c>
      <c r="G3" s="107" t="str">
        <f>CostProjections!M4</f>
        <v>NZE</v>
      </c>
    </row>
    <row r="4" spans="1:15" ht="18" thickBot="1" x14ac:dyDescent="0.35">
      <c r="C4" s="97" t="s">
        <v>346</v>
      </c>
      <c r="D4" s="97"/>
      <c r="E4" s="97"/>
      <c r="F4" s="89" t="s">
        <v>267</v>
      </c>
      <c r="G4" s="90">
        <f>CostProjections!M3</f>
        <v>2E-3</v>
      </c>
    </row>
    <row r="5" spans="1:15" ht="16.5" thickTop="1" thickBot="1" x14ac:dyDescent="0.3">
      <c r="B5" s="98" t="s">
        <v>74</v>
      </c>
      <c r="C5" s="98" t="s">
        <v>347</v>
      </c>
      <c r="D5" s="98" t="s">
        <v>348</v>
      </c>
      <c r="E5" s="98" t="s">
        <v>344</v>
      </c>
      <c r="F5" s="98">
        <v>2020</v>
      </c>
      <c r="G5" s="98">
        <v>2025</v>
      </c>
      <c r="H5" s="98">
        <v>2030</v>
      </c>
      <c r="I5" s="98">
        <v>2035</v>
      </c>
      <c r="J5" s="98">
        <v>2040</v>
      </c>
      <c r="K5" s="98">
        <v>2050</v>
      </c>
      <c r="L5" s="98"/>
      <c r="M5" s="98"/>
      <c r="N5" s="98"/>
      <c r="O5" s="98"/>
    </row>
    <row r="6" spans="1:15" s="17" customFormat="1" ht="16.5" thickBot="1" x14ac:dyDescent="0.3">
      <c r="A6" s="17" t="s">
        <v>345</v>
      </c>
      <c r="B6" s="20" t="s">
        <v>73</v>
      </c>
      <c r="C6" s="18" t="s">
        <v>72</v>
      </c>
      <c r="D6" s="18"/>
      <c r="E6" s="18" t="s">
        <v>4</v>
      </c>
      <c r="F6" s="19">
        <v>2020</v>
      </c>
      <c r="G6" s="19">
        <v>2025</v>
      </c>
      <c r="H6" s="19">
        <v>2030</v>
      </c>
      <c r="I6" s="19">
        <v>2035</v>
      </c>
      <c r="J6" s="19">
        <v>2040</v>
      </c>
      <c r="K6" s="19">
        <v>2050</v>
      </c>
      <c r="L6" s="19"/>
      <c r="M6" s="19"/>
      <c r="N6" s="19"/>
      <c r="O6" s="19"/>
    </row>
    <row r="7" spans="1:15" s="17" customFormat="1" x14ac:dyDescent="0.2">
      <c r="A7" s="17" t="s">
        <v>76</v>
      </c>
      <c r="B7" s="27" t="s">
        <v>71</v>
      </c>
      <c r="C7" s="29"/>
      <c r="D7" s="29"/>
      <c r="E7" s="29"/>
      <c r="F7" s="22" t="s">
        <v>20</v>
      </c>
      <c r="G7" s="22" t="s">
        <v>20</v>
      </c>
      <c r="H7" s="22" t="s">
        <v>20</v>
      </c>
      <c r="I7" s="22" t="s">
        <v>20</v>
      </c>
      <c r="J7" s="22" t="s">
        <v>20</v>
      </c>
      <c r="K7" s="22" t="s">
        <v>20</v>
      </c>
      <c r="L7" s="22"/>
      <c r="M7" s="22"/>
      <c r="N7" s="22"/>
      <c r="O7" s="22"/>
    </row>
    <row r="8" spans="1:15" x14ac:dyDescent="0.2">
      <c r="A8" s="1" t="s">
        <v>76</v>
      </c>
      <c r="B8" s="100" t="s">
        <v>78</v>
      </c>
      <c r="C8" s="100" t="s">
        <v>270</v>
      </c>
      <c r="D8" s="100" t="s">
        <v>349</v>
      </c>
      <c r="E8" s="100" t="s">
        <v>13</v>
      </c>
      <c r="F8" s="99">
        <f>IFERROR(INDEX(CostProjections!$N$11:$W$92,MATCH($C8,CostProjections!$L$11:$L$92,0),MATCH(F$6,CostProjections!$N$10:$W$10,0))*0.001,"")</f>
        <v>835.64408109927854</v>
      </c>
      <c r="G8" s="99">
        <f>IFERROR(INDEX(CostProjections!$N$11:$W$92,MATCH($C8,CostProjections!$L$11:$L$92,0),MATCH(G$6,CostProjections!$N$10:$W$10,0))*0.001,"")</f>
        <v>844.03401459192003</v>
      </c>
      <c r="H8" s="99">
        <f>IFERROR(INDEX(CostProjections!$N$11:$W$92,MATCH($C8,CostProjections!$L$11:$L$92,0),MATCH(H$6,CostProjections!$N$10:$W$10,0))*0.001,"")</f>
        <v>852.50818368869375</v>
      </c>
      <c r="I8" s="99">
        <f>IFERROR(INDEX(CostProjections!$N$11:$W$92,MATCH($C8,CostProjections!$L$11:$L$92,0),MATCH(I$6,CostProjections!$N$10:$W$10,0))*0.001,"")</f>
        <v>861.06743412181083</v>
      </c>
      <c r="J8" s="99">
        <f>IFERROR(INDEX(CostProjections!$N$11:$W$92,MATCH($C8,CostProjections!$L$11:$L$92,0),MATCH(J$6,CostProjections!$N$10:$W$10,0))*0.001,"")</f>
        <v>869.71262011470128</v>
      </c>
      <c r="K8" s="99">
        <f>IFERROR(INDEX(CostProjections!$N$11:$W$92,MATCH($C8,CostProjections!$L$11:$L$92,0),MATCH(K$6,CostProjections!$N$10:$W$10,0))*0.001,"")</f>
        <v>887.26425864199052</v>
      </c>
      <c r="L8" s="99"/>
      <c r="M8" s="99"/>
      <c r="N8" s="99"/>
      <c r="O8" s="99"/>
    </row>
    <row r="9" spans="1:15" x14ac:dyDescent="0.2">
      <c r="A9" s="1" t="s">
        <v>76</v>
      </c>
      <c r="B9" s="100" t="s">
        <v>79</v>
      </c>
      <c r="C9" s="100" t="s">
        <v>271</v>
      </c>
      <c r="D9" s="100" t="s">
        <v>349</v>
      </c>
      <c r="E9" s="100" t="s">
        <v>21</v>
      </c>
      <c r="F9" s="99">
        <f>IFERROR(INDEX(CostProjections!$N$11:$W$92,MATCH($C9,CostProjections!$L$11:$L$92,0),MATCH(F$6,CostProjections!$N$10:$W$10,0))*0.001,"")</f>
        <v>438.90146207526243</v>
      </c>
      <c r="G9" s="99">
        <f>IFERROR(INDEX(CostProjections!$N$11:$W$92,MATCH($C9,CostProjections!$L$11:$L$92,0),MATCH(G$6,CostProjections!$N$10:$W$10,0))*0.001,"")</f>
        <v>443.30806790174114</v>
      </c>
      <c r="H9" s="99">
        <f>IFERROR(INDEX(CostProjections!$N$11:$W$92,MATCH($C9,CostProjections!$L$11:$L$92,0),MATCH(H$6,CostProjections!$N$10:$W$10,0))*0.001,"")</f>
        <v>447.75891640359885</v>
      </c>
      <c r="I9" s="99">
        <f>IFERROR(INDEX(CostProjections!$N$11:$W$92,MATCH($C9,CostProjections!$L$11:$L$92,0),MATCH(I$6,CostProjections!$N$10:$W$10,0))*0.001,"")</f>
        <v>452.25445178083936</v>
      </c>
      <c r="J9" s="99">
        <f>IFERROR(INDEX(CostProjections!$N$11:$W$92,MATCH($C9,CostProjections!$L$11:$L$92,0),MATCH(J$6,CostProjections!$N$10:$W$10,0))*0.001,"")</f>
        <v>456.79512269326983</v>
      </c>
      <c r="K9" s="99">
        <f>IFERROR(INDEX(CostProjections!$N$11:$W$92,MATCH($C9,CostProjections!$L$11:$L$92,0),MATCH(K$6,CostProjections!$N$10:$W$10,0))*0.001,"")</f>
        <v>466.01368833105909</v>
      </c>
      <c r="L9" s="99"/>
      <c r="M9" s="99"/>
      <c r="N9" s="99"/>
      <c r="O9" s="99"/>
    </row>
    <row r="10" spans="1:15" x14ac:dyDescent="0.2">
      <c r="B10" s="100" t="s">
        <v>80</v>
      </c>
      <c r="C10" s="100" t="s">
        <v>272</v>
      </c>
      <c r="D10" s="100" t="s">
        <v>349</v>
      </c>
      <c r="E10" s="100" t="s">
        <v>13</v>
      </c>
      <c r="F10" s="99">
        <f>IFERROR(INDEX(CostProjections!$N$11:$W$92,MATCH($C10,CostProjections!$L$11:$L$92,0),MATCH(F$6,CostProjections!$N$10:$W$10,0))*0.001,"")</f>
        <v>1115.3529863163551</v>
      </c>
      <c r="G10" s="99">
        <f>IFERROR(INDEX(CostProjections!$N$11:$W$92,MATCH($C10,CostProjections!$L$11:$L$92,0),MATCH(G$6,CostProjections!$N$10:$W$10,0))*0.001,"")</f>
        <v>908.86636781442746</v>
      </c>
      <c r="H10" s="99">
        <f>IFERROR(INDEX(CostProjections!$N$11:$W$92,MATCH($C10,CostProjections!$L$11:$L$92,0),MATCH(H$6,CostProjections!$N$10:$W$10,0))*0.001,"")</f>
        <v>849.11877209576846</v>
      </c>
      <c r="I10" s="99">
        <f>IFERROR(INDEX(CostProjections!$N$11:$W$92,MATCH($C10,CostProjections!$L$11:$L$92,0),MATCH(I$6,CostProjections!$N$10:$W$10,0))*0.001,"")</f>
        <v>850.52459787738246</v>
      </c>
      <c r="J10" s="99">
        <f>IFERROR(INDEX(CostProjections!$N$11:$W$92,MATCH($C10,CostProjections!$L$11:$L$92,0),MATCH(J$6,CostProjections!$N$10:$W$10,0))*0.001,"")</f>
        <v>851.93042365899805</v>
      </c>
      <c r="K10" s="99">
        <f>IFERROR(INDEX(CostProjections!$N$11:$W$92,MATCH($C10,CostProjections!$L$11:$L$92,0),MATCH(K$6,CostProjections!$N$10:$W$10,0))*0.001,"")</f>
        <v>854.742075222229</v>
      </c>
      <c r="L10" s="99"/>
      <c r="M10" s="99"/>
      <c r="N10" s="99"/>
      <c r="O10" s="99"/>
    </row>
    <row r="11" spans="1:15" x14ac:dyDescent="0.2">
      <c r="B11" s="100" t="s">
        <v>81</v>
      </c>
      <c r="C11" s="100" t="s">
        <v>273</v>
      </c>
      <c r="D11" s="100" t="s">
        <v>349</v>
      </c>
      <c r="E11" s="100" t="s">
        <v>21</v>
      </c>
      <c r="F11" s="99">
        <f>IFERROR(INDEX(CostProjections!$N$11:$W$92,MATCH($C11,CostProjections!$L$11:$L$92,0),MATCH(F$6,CostProjections!$N$10:$W$10,0))*0.001,"")</f>
        <v>585.81167209404305</v>
      </c>
      <c r="G11" s="99">
        <f>IFERROR(INDEX(CostProjections!$N$11:$W$92,MATCH($C11,CostProjections!$L$11:$L$92,0),MATCH(G$6,CostProjections!$N$10:$W$10,0))*0.001,"")</f>
        <v>477.35966386554702</v>
      </c>
      <c r="H11" s="99">
        <f>IFERROR(INDEX(CostProjections!$N$11:$W$92,MATCH($C11,CostProjections!$L$11:$L$92,0),MATCH(H$6,CostProjections!$N$10:$W$10,0))*0.001,"")</f>
        <v>445.97871148459467</v>
      </c>
      <c r="I11" s="99">
        <f>IFERROR(INDEX(CostProjections!$N$11:$W$92,MATCH($C11,CostProjections!$L$11:$L$92,0),MATCH(I$6,CostProjections!$N$10:$W$10,0))*0.001,"")</f>
        <v>446.71708683473389</v>
      </c>
      <c r="J11" s="99">
        <f>IFERROR(INDEX(CostProjections!$N$11:$W$92,MATCH($C11,CostProjections!$L$11:$L$92,0),MATCH(J$6,CostProjections!$N$10:$W$10,0))*0.001,"")</f>
        <v>447.45546218487397</v>
      </c>
      <c r="K11" s="99">
        <f>IFERROR(INDEX(CostProjections!$N$11:$W$92,MATCH($C11,CostProjections!$L$11:$L$92,0),MATCH(K$6,CostProjections!$N$10:$W$10,0))*0.001,"")</f>
        <v>448.93221288515406</v>
      </c>
      <c r="L11" s="99"/>
      <c r="M11" s="99"/>
      <c r="N11" s="99"/>
      <c r="O11" s="99"/>
    </row>
    <row r="12" spans="1:15" x14ac:dyDescent="0.2">
      <c r="A12" s="1" t="s">
        <v>76</v>
      </c>
      <c r="B12" s="100" t="s">
        <v>82</v>
      </c>
      <c r="C12" s="100" t="s">
        <v>274</v>
      </c>
      <c r="D12" s="100" t="s">
        <v>349</v>
      </c>
      <c r="E12" s="100" t="s">
        <v>12</v>
      </c>
      <c r="F12" s="99">
        <f>IFERROR(INDEX(CostProjections!$N$11:$W$92,MATCH($C12,CostProjections!$L$11:$L$92,0),MATCH(F$6,CostProjections!$N$10:$W$10,0))*0.001,"")</f>
        <v>919.2084892092065</v>
      </c>
      <c r="G12" s="99">
        <f>IFERROR(INDEX(CostProjections!$N$11:$W$92,MATCH($C12,CostProjections!$L$11:$L$92,0),MATCH(G$6,CostProjections!$N$10:$W$10,0))*0.001,"")</f>
        <v>928.437416051112</v>
      </c>
      <c r="H12" s="99">
        <f>IFERROR(INDEX(CostProjections!$N$11:$W$92,MATCH($C12,CostProjections!$L$11:$L$92,0),MATCH(H$6,CostProjections!$N$10:$W$10,0))*0.001,"")</f>
        <v>937.75900205756318</v>
      </c>
      <c r="I12" s="99">
        <f>IFERROR(INDEX(CostProjections!$N$11:$W$92,MATCH($C12,CostProjections!$L$11:$L$92,0),MATCH(I$6,CostProjections!$N$10:$W$10,0))*0.001,"")</f>
        <v>947.17417753399195</v>
      </c>
      <c r="J12" s="99">
        <f>IFERROR(INDEX(CostProjections!$N$11:$W$92,MATCH($C12,CostProjections!$L$11:$L$92,0),MATCH(J$6,CostProjections!$N$10:$W$10,0))*0.001,"")</f>
        <v>956.68388212617151</v>
      </c>
      <c r="K12" s="99">
        <f>IFERROR(INDEX(CostProjections!$N$11:$W$92,MATCH($C12,CostProjections!$L$11:$L$92,0),MATCH(K$6,CostProjections!$N$10:$W$10,0))*0.001,"")</f>
        <v>975.99068450618972</v>
      </c>
      <c r="L12" s="99"/>
      <c r="M12" s="99"/>
      <c r="N12" s="99"/>
      <c r="O12" s="99"/>
    </row>
    <row r="13" spans="1:15" x14ac:dyDescent="0.2">
      <c r="B13" s="100" t="s">
        <v>83</v>
      </c>
      <c r="C13" s="100" t="s">
        <v>275</v>
      </c>
      <c r="D13" s="100" t="s">
        <v>349</v>
      </c>
      <c r="E13" s="100" t="s">
        <v>10</v>
      </c>
      <c r="F13" s="99">
        <f>IFERROR(INDEX(CostProjections!$N$11:$W$92,MATCH($C13,CostProjections!$L$11:$L$92,0),MATCH(F$6,CostProjections!$N$10:$W$10,0))*0.001,"")</f>
        <v>3873.0540520727282</v>
      </c>
      <c r="G13" s="99">
        <f>IFERROR(INDEX(CostProjections!$N$11:$W$92,MATCH($C13,CostProjections!$L$11:$L$92,0),MATCH(G$6,CostProjections!$N$10:$W$10,0))*0.001,"")</f>
        <v>2471.1035407868549</v>
      </c>
      <c r="H13" s="99">
        <f>IFERROR(INDEX(CostProjections!$N$11:$W$92,MATCH($C13,CostProjections!$L$11:$L$92,0),MATCH(H$6,CostProjections!$N$10:$W$10,0))*0.001,"")</f>
        <v>2065.5976014079038</v>
      </c>
      <c r="I13" s="99">
        <f>IFERROR(INDEX(CostProjections!$N$11:$W$92,MATCH($C13,CostProjections!$L$11:$L$92,0),MATCH(I$6,CostProjections!$N$10:$W$10,0))*0.001,"")</f>
        <v>2002.7028026470764</v>
      </c>
      <c r="J13" s="99">
        <f>IFERROR(INDEX(CostProjections!$N$11:$W$92,MATCH($C13,CostProjections!$L$11:$L$92,0),MATCH(J$6,CostProjections!$N$10:$W$10,0))*0.001,"")</f>
        <v>1939.8080038862586</v>
      </c>
      <c r="K13" s="99">
        <f>IFERROR(INDEX(CostProjections!$N$11:$W$92,MATCH($C13,CostProjections!$L$11:$L$92,0),MATCH(K$6,CostProjections!$N$10:$W$10,0))*0.001,"")</f>
        <v>1814.0184063646227</v>
      </c>
      <c r="L13" s="99"/>
      <c r="M13" s="99"/>
      <c r="N13" s="99"/>
      <c r="O13" s="99"/>
    </row>
    <row r="14" spans="1:15" x14ac:dyDescent="0.2">
      <c r="A14" s="1" t="s">
        <v>76</v>
      </c>
      <c r="B14" s="100" t="s">
        <v>84</v>
      </c>
      <c r="C14" s="100" t="s">
        <v>276</v>
      </c>
      <c r="D14" s="100" t="s">
        <v>349</v>
      </c>
      <c r="E14" s="100" t="s">
        <v>11</v>
      </c>
      <c r="F14" s="99">
        <f>IFERROR(INDEX(CostProjections!$N$11:$W$92,MATCH($C14,CostProjections!$L$11:$L$92,0),MATCH(F$6,CostProjections!$N$10:$W$10,0))*0.001,"")</f>
        <v>438.90146207526243</v>
      </c>
      <c r="G14" s="99">
        <f>IFERROR(INDEX(CostProjections!$N$11:$W$92,MATCH($C14,CostProjections!$L$11:$L$92,0),MATCH(G$6,CostProjections!$N$10:$W$10,0))*0.001,"")</f>
        <v>443.30806790174114</v>
      </c>
      <c r="H14" s="99">
        <f>IFERROR(INDEX(CostProjections!$N$11:$W$92,MATCH($C14,CostProjections!$L$11:$L$92,0),MATCH(H$6,CostProjections!$N$10:$W$10,0))*0.001,"")</f>
        <v>447.75891640359885</v>
      </c>
      <c r="I14" s="99">
        <f>IFERROR(INDEX(CostProjections!$N$11:$W$92,MATCH($C14,CostProjections!$L$11:$L$92,0),MATCH(I$6,CostProjections!$N$10:$W$10,0))*0.001,"")</f>
        <v>452.25445178083936</v>
      </c>
      <c r="J14" s="99">
        <f>IFERROR(INDEX(CostProjections!$N$11:$W$92,MATCH($C14,CostProjections!$L$11:$L$92,0),MATCH(J$6,CostProjections!$N$10:$W$10,0))*0.001,"")</f>
        <v>456.79512269326983</v>
      </c>
      <c r="K14" s="99">
        <f>IFERROR(INDEX(CostProjections!$N$11:$W$92,MATCH($C14,CostProjections!$L$11:$L$92,0),MATCH(K$6,CostProjections!$N$10:$W$10,0))*0.001,"")</f>
        <v>466.01368833105909</v>
      </c>
      <c r="L14" s="99"/>
      <c r="M14" s="99"/>
      <c r="N14" s="99"/>
      <c r="O14" s="99"/>
    </row>
    <row r="15" spans="1:15" x14ac:dyDescent="0.2">
      <c r="B15" s="100" t="s">
        <v>85</v>
      </c>
      <c r="C15" s="100" t="s">
        <v>277</v>
      </c>
      <c r="D15" s="100" t="s">
        <v>349</v>
      </c>
      <c r="E15" s="100" t="s">
        <v>9</v>
      </c>
      <c r="F15" s="99">
        <f>IFERROR(INDEX(CostProjections!$N$11:$W$92,MATCH($C15,CostProjections!$L$11:$L$92,0),MATCH(F$6,CostProjections!$N$10:$W$10,0))*0.001,"")</f>
        <v>1516.7538557832556</v>
      </c>
      <c r="G15" s="99">
        <f>IFERROR(INDEX(CostProjections!$N$11:$W$92,MATCH($C15,CostProjections!$L$11:$L$92,0),MATCH(G$6,CostProjections!$N$10:$W$10,0))*0.001,"")</f>
        <v>967.72618536585719</v>
      </c>
      <c r="H15" s="99">
        <f>IFERROR(INDEX(CostProjections!$N$11:$W$92,MATCH($C15,CostProjections!$L$11:$L$92,0),MATCH(H$6,CostProjections!$N$10:$W$10,0))*0.001,"")</f>
        <v>808.92316097561422</v>
      </c>
      <c r="I15" s="99">
        <f>IFERROR(INDEX(CostProjections!$N$11:$W$92,MATCH($C15,CostProjections!$L$11:$L$92,0),MATCH(I$6,CostProjections!$N$10:$W$10,0))*0.001,"")</f>
        <v>784.29248780487853</v>
      </c>
      <c r="J15" s="99">
        <f>IFERROR(INDEX(CostProjections!$N$11:$W$92,MATCH($C15,CostProjections!$L$11:$L$92,0),MATCH(J$6,CostProjections!$N$10:$W$10,0))*0.001,"")</f>
        <v>759.66181463414648</v>
      </c>
      <c r="K15" s="99">
        <f>IFERROR(INDEX(CostProjections!$N$11:$W$92,MATCH($C15,CostProjections!$L$11:$L$92,0),MATCH(K$6,CostProjections!$N$10:$W$10,0))*0.001,"")</f>
        <v>710.40046829268272</v>
      </c>
      <c r="L15" s="99"/>
      <c r="M15" s="99"/>
      <c r="N15" s="99"/>
      <c r="O15" s="99"/>
    </row>
    <row r="16" spans="1:15" x14ac:dyDescent="0.2">
      <c r="A16" s="1" t="s">
        <v>76</v>
      </c>
      <c r="B16" s="100" t="s">
        <v>86</v>
      </c>
      <c r="C16" s="100" t="s">
        <v>278</v>
      </c>
      <c r="D16" s="100" t="s">
        <v>349</v>
      </c>
      <c r="E16" s="100" t="s">
        <v>13</v>
      </c>
      <c r="F16" s="99">
        <f>IFERROR(INDEX(CostProjections!$N$11:$W$92,MATCH($C16,CostProjections!$L$11:$L$92,0),MATCH(F$6,CostProjections!$N$10:$W$10,0))*0.001,"")</f>
        <v>656.10237784381934</v>
      </c>
      <c r="G16" s="99">
        <f>IFERROR(INDEX(CostProjections!$N$11:$W$92,MATCH($C16,CostProjections!$L$11:$L$92,0),MATCH(G$6,CostProjections!$N$10:$W$10,0))*0.001,"")</f>
        <v>662.68969825807051</v>
      </c>
      <c r="H16" s="99">
        <f>IFERROR(INDEX(CostProjections!$N$11:$W$92,MATCH($C16,CostProjections!$L$11:$L$92,0),MATCH(H$6,CostProjections!$N$10:$W$10,0))*0.001,"")</f>
        <v>669.34315589679386</v>
      </c>
      <c r="I16" s="99">
        <f>IFERROR(INDEX(CostProjections!$N$11:$W$92,MATCH($C16,CostProjections!$L$11:$L$92,0),MATCH(I$6,CostProjections!$N$10:$W$10,0))*0.001,"")</f>
        <v>676.06341478301897</v>
      </c>
      <c r="J16" s="99">
        <f>IFERROR(INDEX(CostProjections!$N$11:$W$92,MATCH($C16,CostProjections!$L$11:$L$92,0),MATCH(J$6,CostProjections!$N$10:$W$10,0))*0.001,"")</f>
        <v>682.85114560662009</v>
      </c>
      <c r="K16" s="99">
        <f>IFERROR(INDEX(CostProjections!$N$11:$W$92,MATCH($C16,CostProjections!$L$11:$L$92,0),MATCH(K$6,CostProjections!$N$10:$W$10,0))*0.001,"")</f>
        <v>696.63173956195692</v>
      </c>
      <c r="L16" s="99"/>
      <c r="M16" s="99"/>
      <c r="N16" s="99"/>
      <c r="O16" s="99"/>
    </row>
    <row r="17" spans="1:15" x14ac:dyDescent="0.2">
      <c r="A17" s="1" t="s">
        <v>76</v>
      </c>
      <c r="B17" s="100" t="s">
        <v>87</v>
      </c>
      <c r="C17" s="100" t="s">
        <v>279</v>
      </c>
      <c r="D17" s="100" t="s">
        <v>349</v>
      </c>
      <c r="E17" s="100" t="s">
        <v>21</v>
      </c>
      <c r="F17" s="99">
        <f>IFERROR(INDEX(CostProjections!$N$11:$W$92,MATCH($C17,CostProjections!$L$11:$L$92,0),MATCH(F$6,CostProjections!$N$10:$W$10,0))*0.001,"")</f>
        <v>262.38470575580084</v>
      </c>
      <c r="G17" s="99">
        <f>IFERROR(INDEX(CostProjections!$N$11:$W$92,MATCH($C17,CostProjections!$L$11:$L$92,0),MATCH(G$6,CostProjections!$N$10:$W$10,0))*0.001,"")</f>
        <v>265.01906921336467</v>
      </c>
      <c r="H17" s="99">
        <f>IFERROR(INDEX(CostProjections!$N$11:$W$92,MATCH($C17,CostProjections!$L$11:$L$92,0),MATCH(H$6,CostProjections!$N$10:$W$10,0))*0.001,"")</f>
        <v>267.67988189100242</v>
      </c>
      <c r="I17" s="99">
        <f>IFERROR(INDEX(CostProjections!$N$11:$W$92,MATCH($C17,CostProjections!$L$11:$L$92,0),MATCH(I$6,CostProjections!$N$10:$W$10,0))*0.001,"")</f>
        <v>270.36740934100158</v>
      </c>
      <c r="J17" s="99">
        <f>IFERROR(INDEX(CostProjections!$N$11:$W$92,MATCH($C17,CostProjections!$L$11:$L$92,0),MATCH(J$6,CostProjections!$N$10:$W$10,0))*0.001,"")</f>
        <v>273.08191978181594</v>
      </c>
      <c r="K17" s="99">
        <f>IFERROR(INDEX(CostProjections!$N$11:$W$92,MATCH($C17,CostProjections!$L$11:$L$92,0),MATCH(K$6,CostProjections!$N$10:$W$10,0))*0.001,"")</f>
        <v>278.59297600141696</v>
      </c>
      <c r="L17" s="99"/>
      <c r="M17" s="99"/>
      <c r="N17" s="99"/>
      <c r="O17" s="99"/>
    </row>
    <row r="18" spans="1:15" x14ac:dyDescent="0.2">
      <c r="B18" s="100" t="s">
        <v>88</v>
      </c>
      <c r="C18" s="100" t="s">
        <v>280</v>
      </c>
      <c r="D18" s="100" t="s">
        <v>349</v>
      </c>
      <c r="E18" s="100" t="s">
        <v>13</v>
      </c>
      <c r="F18" s="99">
        <f>IFERROR(INDEX(CostProjections!$N$11:$W$92,MATCH($C18,CostProjections!$L$11:$L$92,0),MATCH(F$6,CostProjections!$N$10:$W$10,0))*0.001,"")</f>
        <v>1413.7180946041472</v>
      </c>
      <c r="G18" s="99">
        <f>IFERROR(INDEX(CostProjections!$N$11:$W$92,MATCH($C18,CostProjections!$L$11:$L$92,0),MATCH(G$6,CostProjections!$N$10:$W$10,0))*0.001,"")</f>
        <v>1151.9947904563774</v>
      </c>
      <c r="H18" s="99">
        <f>IFERROR(INDEX(CostProjections!$N$11:$W$92,MATCH($C18,CostProjections!$L$11:$L$92,0),MATCH(H$6,CostProjections!$N$10:$W$10,0))*0.001,"")</f>
        <v>1076.264274455765</v>
      </c>
      <c r="I18" s="99">
        <f>IFERROR(INDEX(CostProjections!$N$11:$W$92,MATCH($C18,CostProjections!$L$11:$L$92,0),MATCH(I$6,CostProjections!$N$10:$W$10,0))*0.001,"")</f>
        <v>1078.046168949895</v>
      </c>
      <c r="J18" s="99">
        <f>IFERROR(INDEX(CostProjections!$N$11:$W$92,MATCH($C18,CostProjections!$L$11:$L$92,0),MATCH(J$6,CostProjections!$N$10:$W$10,0))*0.001,"")</f>
        <v>1079.8280634440273</v>
      </c>
      <c r="K18" s="99">
        <f>IFERROR(INDEX(CostProjections!$N$11:$W$92,MATCH($C18,CostProjections!$L$11:$L$92,0),MATCH(K$6,CostProjections!$N$10:$W$10,0))*0.001,"")</f>
        <v>1083.3918524322912</v>
      </c>
      <c r="L18" s="99"/>
      <c r="M18" s="99"/>
      <c r="N18" s="99"/>
      <c r="O18" s="99"/>
    </row>
    <row r="19" spans="1:15" x14ac:dyDescent="0.2">
      <c r="B19" s="100" t="s">
        <v>89</v>
      </c>
      <c r="C19" s="100" t="s">
        <v>281</v>
      </c>
      <c r="D19" s="100" t="s">
        <v>349</v>
      </c>
      <c r="E19" s="100" t="s">
        <v>21</v>
      </c>
      <c r="F19" s="99">
        <f>IFERROR(INDEX(CostProjections!$N$11:$W$92,MATCH($C19,CostProjections!$L$11:$L$92,0),MATCH(F$6,CostProjections!$N$10:$W$10,0))*0.001,"")</f>
        <v>565.36604469167128</v>
      </c>
      <c r="G19" s="99">
        <f>IFERROR(INDEX(CostProjections!$N$11:$W$92,MATCH($C19,CostProjections!$L$11:$L$92,0),MATCH(G$6,CostProjections!$N$10:$W$10,0))*0.001,"")</f>
        <v>460.69915966386628</v>
      </c>
      <c r="H19" s="99">
        <f>IFERROR(INDEX(CostProjections!$N$11:$W$92,MATCH($C19,CostProjections!$L$11:$L$92,0),MATCH(H$6,CostProjections!$N$10:$W$10,0))*0.001,"")</f>
        <v>430.41344537815206</v>
      </c>
      <c r="I19" s="99">
        <f>IFERROR(INDEX(CostProjections!$N$11:$W$92,MATCH($C19,CostProjections!$L$11:$L$92,0),MATCH(I$6,CostProjections!$N$10:$W$10,0))*0.001,"")</f>
        <v>431.12605042016804</v>
      </c>
      <c r="J19" s="99">
        <f>IFERROR(INDEX(CostProjections!$N$11:$W$92,MATCH($C19,CostProjections!$L$11:$L$92,0),MATCH(J$6,CostProjections!$N$10:$W$10,0))*0.001,"")</f>
        <v>431.83865546218487</v>
      </c>
      <c r="K19" s="99">
        <f>IFERROR(INDEX(CostProjections!$N$11:$W$92,MATCH($C19,CostProjections!$L$11:$L$92,0),MATCH(K$6,CostProjections!$N$10:$W$10,0))*0.001,"")</f>
        <v>433.26386554621848</v>
      </c>
      <c r="L19" s="99"/>
      <c r="M19" s="99"/>
      <c r="N19" s="99"/>
      <c r="O19" s="99"/>
    </row>
    <row r="20" spans="1:15" x14ac:dyDescent="0.2">
      <c r="B20" s="100" t="s">
        <v>90</v>
      </c>
      <c r="C20" s="100" t="s">
        <v>282</v>
      </c>
      <c r="D20" s="100" t="s">
        <v>349</v>
      </c>
      <c r="E20" s="100" t="s">
        <v>9</v>
      </c>
      <c r="F20" s="99">
        <f>IFERROR(INDEX(CostProjections!$N$11:$W$92,MATCH($C20,CostProjections!$L$11:$L$92,0),MATCH(F$6,CostProjections!$N$10:$W$10,0))*0.001,"")</f>
        <v>996.58245713780525</v>
      </c>
      <c r="G20" s="99">
        <f>IFERROR(INDEX(CostProjections!$N$11:$W$92,MATCH($C20,CostProjections!$L$11:$L$92,0),MATCH(G$6,CostProjections!$N$10:$W$10,0))*0.001,"")</f>
        <v>635.84406657102102</v>
      </c>
      <c r="H20" s="99">
        <f>IFERROR(INDEX(CostProjections!$N$11:$W$92,MATCH($C20,CostProjections!$L$11:$L$92,0),MATCH(H$6,CostProjections!$N$10:$W$10,0))*0.001,"")</f>
        <v>531.50260889526839</v>
      </c>
      <c r="I20" s="99">
        <f>IFERROR(INDEX(CostProjections!$N$11:$W$92,MATCH($C20,CostProjections!$L$11:$L$92,0),MATCH(I$6,CostProjections!$N$10:$W$10,0))*0.001,"")</f>
        <v>515.31903586800604</v>
      </c>
      <c r="J20" s="99">
        <f>IFERROR(INDEX(CostProjections!$N$11:$W$92,MATCH($C20,CostProjections!$L$11:$L$92,0),MATCH(J$6,CostProjections!$N$10:$W$10,0))*0.001,"")</f>
        <v>499.13546284074624</v>
      </c>
      <c r="K20" s="99">
        <f>IFERROR(INDEX(CostProjections!$N$11:$W$92,MATCH($C20,CostProjections!$L$11:$L$92,0),MATCH(K$6,CostProjections!$N$10:$W$10,0))*0.001,"")</f>
        <v>466.76831678622648</v>
      </c>
      <c r="L20" s="99"/>
      <c r="M20" s="99"/>
      <c r="N20" s="99"/>
      <c r="O20" s="99"/>
    </row>
    <row r="21" spans="1:15" x14ac:dyDescent="0.2">
      <c r="A21" s="1" t="s">
        <v>76</v>
      </c>
      <c r="B21" s="100" t="s">
        <v>91</v>
      </c>
      <c r="C21" s="100" t="s">
        <v>283</v>
      </c>
      <c r="D21" s="100" t="s">
        <v>349</v>
      </c>
      <c r="E21" s="100" t="s">
        <v>12</v>
      </c>
      <c r="F21" s="99">
        <f>IFERROR(INDEX(CostProjections!$N$11:$W$92,MATCH($C21,CostProjections!$L$11:$L$92,0),MATCH(F$6,CostProjections!$N$10:$W$10,0))*0.001,"")</f>
        <v>721.71261562820132</v>
      </c>
      <c r="G21" s="99">
        <f>IFERROR(INDEX(CostProjections!$N$11:$W$92,MATCH($C21,CostProjections!$L$11:$L$92,0),MATCH(G$6,CostProjections!$N$10:$W$10,0))*0.001,"")</f>
        <v>728.95866808387768</v>
      </c>
      <c r="H21" s="99">
        <f>IFERROR(INDEX(CostProjections!$N$11:$W$92,MATCH($C21,CostProjections!$L$11:$L$92,0),MATCH(H$6,CostProjections!$N$10:$W$10,0))*0.001,"")</f>
        <v>736.27747148647325</v>
      </c>
      <c r="I21" s="99">
        <f>IFERROR(INDEX(CostProjections!$N$11:$W$92,MATCH($C21,CostProjections!$L$11:$L$92,0),MATCH(I$6,CostProjections!$N$10:$W$10,0))*0.001,"")</f>
        <v>743.66975626132091</v>
      </c>
      <c r="J21" s="99">
        <f>IFERROR(INDEX(CostProjections!$N$11:$W$92,MATCH($C21,CostProjections!$L$11:$L$92,0),MATCH(J$6,CostProjections!$N$10:$W$10,0))*0.001,"")</f>
        <v>751.13626016728222</v>
      </c>
      <c r="K21" s="99">
        <f>IFERROR(INDEX(CostProjections!$N$11:$W$92,MATCH($C21,CostProjections!$L$11:$L$92,0),MATCH(K$6,CostProjections!$N$10:$W$10,0))*0.001,"")</f>
        <v>766.29491351815273</v>
      </c>
      <c r="L21" s="99"/>
      <c r="M21" s="99"/>
      <c r="N21" s="99"/>
      <c r="O21" s="99"/>
    </row>
    <row r="22" spans="1:15" x14ac:dyDescent="0.2">
      <c r="B22" s="100" t="s">
        <v>92</v>
      </c>
      <c r="C22" s="100" t="s">
        <v>284</v>
      </c>
      <c r="D22" s="100" t="s">
        <v>349</v>
      </c>
      <c r="E22" s="100" t="s">
        <v>10</v>
      </c>
      <c r="F22" s="99">
        <f>IFERROR(INDEX(CostProjections!$N$11:$W$92,MATCH($C22,CostProjections!$L$11:$L$92,0),MATCH(F$6,CostProjections!$N$10:$W$10,0))*0.001,"")</f>
        <v>2544.7884698792823</v>
      </c>
      <c r="G22" s="99">
        <f>IFERROR(INDEX(CostProjections!$N$11:$W$92,MATCH($C22,CostProjections!$L$11:$L$92,0),MATCH(G$6,CostProjections!$N$10:$W$10,0))*0.001,"")</f>
        <v>1623.6375000000062</v>
      </c>
      <c r="H22" s="99">
        <f>IFERROR(INDEX(CostProjections!$N$11:$W$92,MATCH($C22,CostProjections!$L$11:$L$92,0),MATCH(H$6,CostProjections!$N$10:$W$10,0))*0.001,"")</f>
        <v>1357.2000000000075</v>
      </c>
      <c r="I22" s="99">
        <f>IFERROR(INDEX(CostProjections!$N$11:$W$92,MATCH($C22,CostProjections!$L$11:$L$92,0),MATCH(I$6,CostProjections!$N$10:$W$10,0))*0.001,"")</f>
        <v>1315.8750000000007</v>
      </c>
      <c r="J22" s="99">
        <f>IFERROR(INDEX(CostProjections!$N$11:$W$92,MATCH($C22,CostProjections!$L$11:$L$92,0),MATCH(J$6,CostProjections!$N$10:$W$10,0))*0.001,"")</f>
        <v>1274.5500000000002</v>
      </c>
      <c r="K22" s="99">
        <f>IFERROR(INDEX(CostProjections!$N$11:$W$92,MATCH($C22,CostProjections!$L$11:$L$92,0),MATCH(K$6,CostProjections!$N$10:$W$10,0))*0.001,"")</f>
        <v>1191.8999999999996</v>
      </c>
      <c r="L22" s="99"/>
      <c r="M22" s="99"/>
      <c r="N22" s="99"/>
      <c r="O22" s="99"/>
    </row>
    <row r="23" spans="1:15" x14ac:dyDescent="0.2">
      <c r="A23" s="1" t="s">
        <v>76</v>
      </c>
      <c r="B23" s="100" t="s">
        <v>93</v>
      </c>
      <c r="C23" s="100" t="s">
        <v>285</v>
      </c>
      <c r="D23" s="100" t="s">
        <v>349</v>
      </c>
      <c r="E23" s="100" t="s">
        <v>11</v>
      </c>
      <c r="F23" s="99">
        <f>IFERROR(INDEX(CostProjections!$N$11:$W$92,MATCH($C23,CostProjections!$L$11:$L$92,0),MATCH(F$6,CostProjections!$N$10:$W$10,0))*0.001,"")</f>
        <v>262.38470575580084</v>
      </c>
      <c r="G23" s="99">
        <f>IFERROR(INDEX(CostProjections!$N$11:$W$92,MATCH($C23,CostProjections!$L$11:$L$92,0),MATCH(G$6,CostProjections!$N$10:$W$10,0))*0.001,"")</f>
        <v>265.01906921336467</v>
      </c>
      <c r="H23" s="99">
        <f>IFERROR(INDEX(CostProjections!$N$11:$W$92,MATCH($C23,CostProjections!$L$11:$L$92,0),MATCH(H$6,CostProjections!$N$10:$W$10,0))*0.001,"")</f>
        <v>267.67988189100242</v>
      </c>
      <c r="I23" s="99">
        <f>IFERROR(INDEX(CostProjections!$N$11:$W$92,MATCH($C23,CostProjections!$L$11:$L$92,0),MATCH(I$6,CostProjections!$N$10:$W$10,0))*0.001,"")</f>
        <v>270.36740934100158</v>
      </c>
      <c r="J23" s="99">
        <f>IFERROR(INDEX(CostProjections!$N$11:$W$92,MATCH($C23,CostProjections!$L$11:$L$92,0),MATCH(J$6,CostProjections!$N$10:$W$10,0))*0.001,"")</f>
        <v>273.08191978181594</v>
      </c>
      <c r="K23" s="99">
        <f>IFERROR(INDEX(CostProjections!$N$11:$W$92,MATCH($C23,CostProjections!$L$11:$L$92,0),MATCH(K$6,CostProjections!$N$10:$W$10,0))*0.001,"")</f>
        <v>278.59297600141696</v>
      </c>
      <c r="L23" s="99"/>
      <c r="M23" s="99"/>
      <c r="N23" s="99"/>
      <c r="O23" s="99"/>
    </row>
    <row r="24" spans="1:15" x14ac:dyDescent="0.2">
      <c r="A24" s="1" t="s">
        <v>76</v>
      </c>
      <c r="B24" s="100" t="s">
        <v>94</v>
      </c>
      <c r="C24" s="100" t="s">
        <v>14</v>
      </c>
      <c r="D24" s="100" t="s">
        <v>349</v>
      </c>
      <c r="E24" s="100" t="s">
        <v>21</v>
      </c>
      <c r="F24" s="99">
        <f>IFERROR(INDEX(CostProjections!$N$11:$W$92,MATCH($C24,CostProjections!$L$11:$L$92,0),MATCH(F$6,CostProjections!$N$10:$W$10,0))*0.001,"")</f>
        <v>140.61345431714946</v>
      </c>
      <c r="G24" s="99">
        <f>IFERROR(INDEX(CostProjections!$N$11:$W$92,MATCH($C24,CostProjections!$L$11:$L$92,0),MATCH(G$6,CostProjections!$N$10:$W$10,0))*0.001,"")</f>
        <v>142.0252246588235</v>
      </c>
      <c r="H24" s="99">
        <f>IFERROR(INDEX(CostProjections!$N$11:$W$92,MATCH($C24,CostProjections!$L$11:$L$92,0),MATCH(H$6,CostProjections!$N$10:$W$10,0))*0.001,"")</f>
        <v>143.45116928778262</v>
      </c>
      <c r="I24" s="99">
        <f>IFERROR(INDEX(CostProjections!$N$11:$W$92,MATCH($C24,CostProjections!$L$11:$L$92,0),MATCH(I$6,CostProjections!$N$10:$W$10,0))*0.001,"")</f>
        <v>144.89143051500622</v>
      </c>
      <c r="J24" s="99">
        <f>IFERROR(INDEX(CostProjections!$N$11:$W$92,MATCH($C24,CostProjections!$L$11:$L$92,0),MATCH(J$6,CostProjections!$N$10:$W$10,0))*0.001,"")</f>
        <v>146.34615208028723</v>
      </c>
      <c r="K24" s="99">
        <f>IFERROR(INDEX(CostProjections!$N$11:$W$92,MATCH($C24,CostProjections!$L$11:$L$92,0),MATCH(K$6,CostProjections!$N$10:$W$10,0))*0.001,"")</f>
        <v>149.29955841447855</v>
      </c>
      <c r="L24" s="99"/>
      <c r="M24" s="99"/>
      <c r="N24" s="99"/>
      <c r="O24" s="99"/>
    </row>
    <row r="25" spans="1:15" x14ac:dyDescent="0.2">
      <c r="B25" s="100" t="s">
        <v>95</v>
      </c>
      <c r="C25" s="100" t="s">
        <v>286</v>
      </c>
      <c r="D25" s="100" t="s">
        <v>349</v>
      </c>
      <c r="E25" s="100" t="s">
        <v>9</v>
      </c>
      <c r="F25" s="99">
        <f>IFERROR(INDEX(CostProjections!$N$11:$W$92,MATCH($C25,CostProjections!$L$11:$L$92,0),MATCH(F$6,CostProjections!$N$10:$W$10,0))*0.001,"")</f>
        <v>201.43776538895028</v>
      </c>
      <c r="G25" s="99">
        <f>IFERROR(INDEX(CostProjections!$N$11:$W$92,MATCH($C25,CostProjections!$L$11:$L$92,0),MATCH(G$6,CostProjections!$N$10:$W$10,0))*0.001,"")</f>
        <v>128.5222381635586</v>
      </c>
      <c r="H25" s="99">
        <f>IFERROR(INDEX(CostProjections!$N$11:$W$92,MATCH($C25,CostProjections!$L$11:$L$92,0),MATCH(H$6,CostProjections!$N$10:$W$10,0))*0.001,"")</f>
        <v>107.43185078909673</v>
      </c>
      <c r="I25" s="99">
        <f>IFERROR(INDEX(CostProjections!$N$11:$W$92,MATCH($C25,CostProjections!$L$11:$L$92,0),MATCH(I$6,CostProjections!$N$10:$W$10,0))*0.001,"")</f>
        <v>104.16068866571027</v>
      </c>
      <c r="J25" s="99">
        <f>IFERROR(INDEX(CostProjections!$N$11:$W$92,MATCH($C25,CostProjections!$L$11:$L$92,0),MATCH(J$6,CostProjections!$N$10:$W$10,0))*0.001,"")</f>
        <v>100.88952654232429</v>
      </c>
      <c r="K25" s="99">
        <f>IFERROR(INDEX(CostProjections!$N$11:$W$92,MATCH($C25,CostProjections!$L$11:$L$92,0),MATCH(K$6,CostProjections!$N$10:$W$10,0))*0.001,"")</f>
        <v>94.347202295552336</v>
      </c>
      <c r="L25" s="99"/>
      <c r="M25" s="99"/>
      <c r="N25" s="99"/>
      <c r="O25" s="99"/>
    </row>
    <row r="26" spans="1:15" x14ac:dyDescent="0.2">
      <c r="A26" s="1" t="s">
        <v>76</v>
      </c>
      <c r="B26" s="100" t="s">
        <v>96</v>
      </c>
      <c r="C26" s="100" t="s">
        <v>287</v>
      </c>
      <c r="D26" s="100" t="s">
        <v>349</v>
      </c>
      <c r="E26" s="100" t="s">
        <v>13</v>
      </c>
      <c r="F26" s="99">
        <f>IFERROR(INDEX(CostProjections!$N$11:$W$92,MATCH($C26,CostProjections!$L$11:$L$92,0),MATCH(F$6,CostProjections!$N$10:$W$10,0))*0.001,"")</f>
        <v>1674.9173571001118</v>
      </c>
      <c r="G26" s="99">
        <f>IFERROR(INDEX(CostProjections!$N$11:$W$92,MATCH($C26,CostProjections!$L$11:$L$92,0),MATCH(G$6,CostProjections!$N$10:$W$10,0))*0.001,"")</f>
        <v>1691.733661492832</v>
      </c>
      <c r="H26" s="99">
        <f>IFERROR(INDEX(CostProjections!$N$11:$W$92,MATCH($C26,CostProjections!$L$11:$L$92,0),MATCH(H$6,CostProjections!$N$10:$W$10,0))*0.001,"")</f>
        <v>1708.7188029283056</v>
      </c>
      <c r="I26" s="99">
        <f>IFERROR(INDEX(CostProjections!$N$11:$W$92,MATCH($C26,CostProjections!$L$11:$L$92,0),MATCH(I$6,CostProjections!$N$10:$W$10,0))*0.001,"")</f>
        <v>1725.8744765439624</v>
      </c>
      <c r="J26" s="99">
        <f>IFERROR(INDEX(CostProjections!$N$11:$W$92,MATCH($C26,CostProjections!$L$11:$L$92,0),MATCH(J$6,CostProjections!$N$10:$W$10,0))*0.001,"")</f>
        <v>1743.2023944965467</v>
      </c>
      <c r="K26" s="99">
        <f>IFERROR(INDEX(CostProjections!$N$11:$W$92,MATCH($C26,CostProjections!$L$11:$L$92,0),MATCH(K$6,CostProjections!$N$10:$W$10,0))*0.001,"")</f>
        <v>1778.3818981630261</v>
      </c>
      <c r="L26" s="99"/>
      <c r="M26" s="99"/>
      <c r="N26" s="99"/>
      <c r="O26" s="99"/>
    </row>
    <row r="27" spans="1:15" x14ac:dyDescent="0.2">
      <c r="A27" s="1" t="s">
        <v>76</v>
      </c>
      <c r="B27" s="100" t="s">
        <v>97</v>
      </c>
      <c r="C27" s="100" t="s">
        <v>288</v>
      </c>
      <c r="D27" s="100" t="s">
        <v>349</v>
      </c>
      <c r="E27" s="100" t="s">
        <v>12</v>
      </c>
      <c r="F27" s="99">
        <f>IFERROR(INDEX(CostProjections!$N$11:$W$92,MATCH($C27,CostProjections!$L$11:$L$92,0),MATCH(F$6,CostProjections!$N$10:$W$10,0))*0.001,"")</f>
        <v>1775.901197692195</v>
      </c>
      <c r="G27" s="99">
        <f>IFERROR(INDEX(CostProjections!$N$11:$W$92,MATCH($C27,CostProjections!$L$11:$L$92,0),MATCH(G$6,CostProjections!$N$10:$W$10,0))*0.001,"")</f>
        <v>1793.7313879312489</v>
      </c>
      <c r="H27" s="99">
        <f>IFERROR(INDEX(CostProjections!$N$11:$W$92,MATCH($C27,CostProjections!$L$11:$L$92,0),MATCH(H$6,CostProjections!$N$10:$W$10,0))*0.001,"")</f>
        <v>1811.7405947081456</v>
      </c>
      <c r="I27" s="99">
        <f>IFERROR(INDEX(CostProjections!$N$11:$W$92,MATCH($C27,CostProjections!$L$11:$L$92,0),MATCH(I$6,CostProjections!$N$10:$W$10,0))*0.001,"")</f>
        <v>1829.9306153632604</v>
      </c>
      <c r="J27" s="99">
        <f>IFERROR(INDEX(CostProjections!$N$11:$W$92,MATCH($C27,CostProjections!$L$11:$L$92,0),MATCH(J$6,CostProjections!$N$10:$W$10,0))*0.001,"")</f>
        <v>1848.303265282409</v>
      </c>
      <c r="K27" s="99">
        <f>IFERROR(INDEX(CostProjections!$N$11:$W$92,MATCH($C27,CostProjections!$L$11:$L$92,0),MATCH(K$6,CostProjections!$N$10:$W$10,0))*0.001,"")</f>
        <v>1885.603805772171</v>
      </c>
      <c r="L27" s="99"/>
      <c r="M27" s="99"/>
      <c r="N27" s="99"/>
      <c r="O27" s="99"/>
    </row>
    <row r="28" spans="1:15" x14ac:dyDescent="0.2">
      <c r="B28" s="100" t="s">
        <v>98</v>
      </c>
      <c r="C28" s="100" t="s">
        <v>289</v>
      </c>
      <c r="D28" s="100" t="s">
        <v>349</v>
      </c>
      <c r="E28" s="100" t="s">
        <v>10</v>
      </c>
      <c r="F28" s="99">
        <f>IFERROR(INDEX(CostProjections!$N$11:$W$92,MATCH($C28,CostProjections!$L$11:$L$92,0),MATCH(F$6,CostProjections!$N$10:$W$10,0))*0.001,"")</f>
        <v>3448.5361583131421</v>
      </c>
      <c r="G28" s="99">
        <f>IFERROR(INDEX(CostProjections!$N$11:$W$92,MATCH($C28,CostProjections!$L$11:$L$92,0),MATCH(G$6,CostProjections!$N$10:$W$10,0))*0.001,"")</f>
        <v>2200.2507057133848</v>
      </c>
      <c r="H28" s="99">
        <f>IFERROR(INDEX(CostProjections!$N$11:$W$92,MATCH($C28,CostProjections!$L$11:$L$92,0),MATCH(H$6,CostProjections!$N$10:$W$10,0))*0.001,"")</f>
        <v>1839.1914807302808</v>
      </c>
      <c r="I28" s="99">
        <f>IFERROR(INDEX(CostProjections!$N$11:$W$92,MATCH($C28,CostProjections!$L$11:$L$92,0),MATCH(I$6,CostProjections!$N$10:$W$10,0))*0.001,"")</f>
        <v>1783.1904580798305</v>
      </c>
      <c r="J28" s="99">
        <f>IFERROR(INDEX(CostProjections!$N$11:$W$92,MATCH($C28,CostProjections!$L$11:$L$92,0),MATCH(J$6,CostProjections!$N$10:$W$10,0))*0.001,"")</f>
        <v>1727.1894354293891</v>
      </c>
      <c r="K28" s="99">
        <f>IFERROR(INDEX(CostProjections!$N$11:$W$92,MATCH($C28,CostProjections!$L$11:$L$92,0),MATCH(K$6,CostProjections!$N$10:$W$10,0))*0.001,"")</f>
        <v>1615.1873901285062</v>
      </c>
      <c r="L28" s="99"/>
      <c r="M28" s="99"/>
      <c r="N28" s="99"/>
      <c r="O28" s="99"/>
    </row>
    <row r="29" spans="1:15" x14ac:dyDescent="0.2">
      <c r="A29" s="1" t="s">
        <v>76</v>
      </c>
      <c r="B29" s="100" t="s">
        <v>99</v>
      </c>
      <c r="C29" s="100" t="s">
        <v>290</v>
      </c>
      <c r="D29" s="100" t="s">
        <v>349</v>
      </c>
      <c r="E29" s="100" t="s">
        <v>11</v>
      </c>
      <c r="F29" s="99">
        <f>IFERROR(INDEX(CostProjections!$N$11:$W$92,MATCH($C29,CostProjections!$L$11:$L$92,0),MATCH(F$6,CostProjections!$N$10:$W$10,0))*0.001,"")</f>
        <v>1674.9173571001118</v>
      </c>
      <c r="G29" s="99">
        <f>IFERROR(INDEX(CostProjections!$N$11:$W$92,MATCH($C29,CostProjections!$L$11:$L$92,0),MATCH(G$6,CostProjections!$N$10:$W$10,0))*0.001,"")</f>
        <v>1691.733661492832</v>
      </c>
      <c r="H29" s="99">
        <f>IFERROR(INDEX(CostProjections!$N$11:$W$92,MATCH($C29,CostProjections!$L$11:$L$92,0),MATCH(H$6,CostProjections!$N$10:$W$10,0))*0.001,"")</f>
        <v>1708.7188029283056</v>
      </c>
      <c r="I29" s="99">
        <f>IFERROR(INDEX(CostProjections!$N$11:$W$92,MATCH($C29,CostProjections!$L$11:$L$92,0),MATCH(I$6,CostProjections!$N$10:$W$10,0))*0.001,"")</f>
        <v>1725.8744765439624</v>
      </c>
      <c r="J29" s="99">
        <f>IFERROR(INDEX(CostProjections!$N$11:$W$92,MATCH($C29,CostProjections!$L$11:$L$92,0),MATCH(J$6,CostProjections!$N$10:$W$10,0))*0.001,"")</f>
        <v>1743.2023944965467</v>
      </c>
      <c r="K29" s="99">
        <f>IFERROR(INDEX(CostProjections!$N$11:$W$92,MATCH($C29,CostProjections!$L$11:$L$92,0),MATCH(K$6,CostProjections!$N$10:$W$10,0))*0.001,"")</f>
        <v>1778.3818981630261</v>
      </c>
      <c r="L29" s="99"/>
      <c r="M29" s="99"/>
      <c r="N29" s="99"/>
      <c r="O29" s="99"/>
    </row>
    <row r="30" spans="1:15" x14ac:dyDescent="0.2">
      <c r="B30" s="100" t="s">
        <v>100</v>
      </c>
      <c r="C30" s="100" t="s">
        <v>291</v>
      </c>
      <c r="D30" s="100" t="s">
        <v>349</v>
      </c>
      <c r="E30" s="100" t="s">
        <v>9</v>
      </c>
      <c r="F30" s="99">
        <f>IFERROR(INDEX(CostProjections!$N$11:$W$92,MATCH($C30,CostProjections!$L$11:$L$92,0),MATCH(F$6,CostProjections!$N$10:$W$10,0))*0.001,"")</f>
        <v>2885.1124291966107</v>
      </c>
      <c r="G30" s="99">
        <f>IFERROR(INDEX(CostProjections!$N$11:$W$92,MATCH($C30,CostProjections!$L$11:$L$92,0),MATCH(G$6,CostProjections!$N$10:$W$10,0))*0.001,"")</f>
        <v>1840.7725385449987</v>
      </c>
      <c r="H30" s="99">
        <f>IFERROR(INDEX(CostProjections!$N$11:$W$92,MATCH($C30,CostProjections!$L$11:$L$92,0),MATCH(H$6,CostProjections!$N$10:$W$10,0))*0.001,"")</f>
        <v>1538.7033677857753</v>
      </c>
      <c r="I30" s="99">
        <f>IFERROR(INDEX(CostProjections!$N$11:$W$92,MATCH($C30,CostProjections!$L$11:$L$92,0),MATCH(I$6,CostProjections!$N$10:$W$10,0))*0.001,"")</f>
        <v>1491.8518229333165</v>
      </c>
      <c r="J30" s="99">
        <f>IFERROR(INDEX(CostProjections!$N$11:$W$92,MATCH($C30,CostProjections!$L$11:$L$92,0),MATCH(J$6,CostProjections!$N$10:$W$10,0))*0.001,"")</f>
        <v>1445.0002780808647</v>
      </c>
      <c r="K30" s="99">
        <f>IFERROR(INDEX(CostProjections!$N$11:$W$92,MATCH($C30,CostProjections!$L$11:$L$92,0),MATCH(K$6,CostProjections!$N$10:$W$10,0))*0.001,"")</f>
        <v>1351.2971883759612</v>
      </c>
      <c r="L30" s="99"/>
      <c r="M30" s="99"/>
      <c r="N30" s="99"/>
      <c r="O30" s="99"/>
    </row>
    <row r="31" spans="1:15" x14ac:dyDescent="0.2">
      <c r="A31" s="1" t="s">
        <v>76</v>
      </c>
      <c r="B31" s="100" t="s">
        <v>101</v>
      </c>
      <c r="C31" s="100" t="s">
        <v>292</v>
      </c>
      <c r="D31" s="100" t="s">
        <v>349</v>
      </c>
      <c r="E31" s="100" t="s">
        <v>13</v>
      </c>
      <c r="F31" s="99">
        <f>IFERROR(INDEX(CostProjections!$N$11:$W$92,MATCH($C31,CostProjections!$L$11:$L$92,0),MATCH(F$6,CostProjections!$N$10:$W$10,0))*0.001,"")</f>
        <v>835.64408109927854</v>
      </c>
      <c r="G31" s="99">
        <f>IFERROR(INDEX(CostProjections!$N$11:$W$92,MATCH($C31,CostProjections!$L$11:$L$92,0),MATCH(G$6,CostProjections!$N$10:$W$10,0))*0.001,"")</f>
        <v>844.03401459192003</v>
      </c>
      <c r="H31" s="99">
        <f>IFERROR(INDEX(CostProjections!$N$11:$W$92,MATCH($C31,CostProjections!$L$11:$L$92,0),MATCH(H$6,CostProjections!$N$10:$W$10,0))*0.001,"")</f>
        <v>852.50818368869375</v>
      </c>
      <c r="I31" s="99">
        <f>IFERROR(INDEX(CostProjections!$N$11:$W$92,MATCH($C31,CostProjections!$L$11:$L$92,0),MATCH(I$6,CostProjections!$N$10:$W$10,0))*0.001,"")</f>
        <v>861.06743412181083</v>
      </c>
      <c r="J31" s="99">
        <f>IFERROR(INDEX(CostProjections!$N$11:$W$92,MATCH($C31,CostProjections!$L$11:$L$92,0),MATCH(J$6,CostProjections!$N$10:$W$10,0))*0.001,"")</f>
        <v>869.71262011470128</v>
      </c>
      <c r="K31" s="99">
        <f>IFERROR(INDEX(CostProjections!$N$11:$W$92,MATCH($C31,CostProjections!$L$11:$L$92,0),MATCH(K$6,CostProjections!$N$10:$W$10,0))*0.001,"")</f>
        <v>887.26425864199052</v>
      </c>
      <c r="L31" s="99"/>
      <c r="M31" s="99"/>
      <c r="N31" s="99"/>
      <c r="O31" s="99"/>
    </row>
    <row r="32" spans="1:15" x14ac:dyDescent="0.2">
      <c r="A32" s="1" t="s">
        <v>76</v>
      </c>
      <c r="B32" s="100" t="s">
        <v>102</v>
      </c>
      <c r="C32" s="100" t="s">
        <v>293</v>
      </c>
      <c r="D32" s="100" t="s">
        <v>349</v>
      </c>
      <c r="E32" s="100" t="s">
        <v>21</v>
      </c>
      <c r="F32" s="99">
        <f>IFERROR(INDEX(CostProjections!$N$11:$W$92,MATCH($C32,CostProjections!$L$11:$L$92,0),MATCH(F$6,CostProjections!$N$10:$W$10,0))*0.001,"")</f>
        <v>438.90146207526243</v>
      </c>
      <c r="G32" s="99">
        <f>IFERROR(INDEX(CostProjections!$N$11:$W$92,MATCH($C32,CostProjections!$L$11:$L$92,0),MATCH(G$6,CostProjections!$N$10:$W$10,0))*0.001,"")</f>
        <v>443.30806790174114</v>
      </c>
      <c r="H32" s="99">
        <f>IFERROR(INDEX(CostProjections!$N$11:$W$92,MATCH($C32,CostProjections!$L$11:$L$92,0),MATCH(H$6,CostProjections!$N$10:$W$10,0))*0.001,"")</f>
        <v>447.75891640359885</v>
      </c>
      <c r="I32" s="99">
        <f>IFERROR(INDEX(CostProjections!$N$11:$W$92,MATCH($C32,CostProjections!$L$11:$L$92,0),MATCH(I$6,CostProjections!$N$10:$W$10,0))*0.001,"")</f>
        <v>452.25445178083936</v>
      </c>
      <c r="J32" s="99">
        <f>IFERROR(INDEX(CostProjections!$N$11:$W$92,MATCH($C32,CostProjections!$L$11:$L$92,0),MATCH(J$6,CostProjections!$N$10:$W$10,0))*0.001,"")</f>
        <v>456.79512269326983</v>
      </c>
      <c r="K32" s="99">
        <f>IFERROR(INDEX(CostProjections!$N$11:$W$92,MATCH($C32,CostProjections!$L$11:$L$92,0),MATCH(K$6,CostProjections!$N$10:$W$10,0))*0.001,"")</f>
        <v>466.01368833105909</v>
      </c>
      <c r="L32" s="99"/>
      <c r="M32" s="99"/>
      <c r="N32" s="99"/>
      <c r="O32" s="99"/>
    </row>
    <row r="33" spans="1:15" x14ac:dyDescent="0.2">
      <c r="A33" s="1" t="s">
        <v>76</v>
      </c>
      <c r="B33" s="100" t="s">
        <v>103</v>
      </c>
      <c r="C33" s="100" t="s">
        <v>294</v>
      </c>
      <c r="D33" s="100" t="s">
        <v>349</v>
      </c>
      <c r="E33" s="100" t="s">
        <v>12</v>
      </c>
      <c r="F33" s="99">
        <f>IFERROR(INDEX(CostProjections!$N$11:$W$92,MATCH($C33,CostProjections!$L$11:$L$92,0),MATCH(F$6,CostProjections!$N$10:$W$10,0))*0.001,"")</f>
        <v>919.2084892092065</v>
      </c>
      <c r="G33" s="99">
        <f>IFERROR(INDEX(CostProjections!$N$11:$W$92,MATCH($C33,CostProjections!$L$11:$L$92,0),MATCH(G$6,CostProjections!$N$10:$W$10,0))*0.001,"")</f>
        <v>928.437416051112</v>
      </c>
      <c r="H33" s="99">
        <f>IFERROR(INDEX(CostProjections!$N$11:$W$92,MATCH($C33,CostProjections!$L$11:$L$92,0),MATCH(H$6,CostProjections!$N$10:$W$10,0))*0.001,"")</f>
        <v>937.75900205756318</v>
      </c>
      <c r="I33" s="99">
        <f>IFERROR(INDEX(CostProjections!$N$11:$W$92,MATCH($C33,CostProjections!$L$11:$L$92,0),MATCH(I$6,CostProjections!$N$10:$W$10,0))*0.001,"")</f>
        <v>947.17417753399195</v>
      </c>
      <c r="J33" s="99">
        <f>IFERROR(INDEX(CostProjections!$N$11:$W$92,MATCH($C33,CostProjections!$L$11:$L$92,0),MATCH(J$6,CostProjections!$N$10:$W$10,0))*0.001,"")</f>
        <v>956.68388212617151</v>
      </c>
      <c r="K33" s="99">
        <f>IFERROR(INDEX(CostProjections!$N$11:$W$92,MATCH($C33,CostProjections!$L$11:$L$92,0),MATCH(K$6,CostProjections!$N$10:$W$10,0))*0.001,"")</f>
        <v>975.99068450618972</v>
      </c>
      <c r="L33" s="99"/>
      <c r="M33" s="99"/>
      <c r="N33" s="99"/>
      <c r="O33" s="99"/>
    </row>
    <row r="34" spans="1:15" x14ac:dyDescent="0.2">
      <c r="B34" s="100" t="s">
        <v>104</v>
      </c>
      <c r="C34" s="100" t="s">
        <v>295</v>
      </c>
      <c r="D34" s="100" t="s">
        <v>349</v>
      </c>
      <c r="E34" s="100" t="s">
        <v>10</v>
      </c>
      <c r="F34" s="99">
        <f>IFERROR(INDEX(CostProjections!$N$11:$W$92,MATCH($C34,CostProjections!$L$11:$L$92,0),MATCH(F$6,CostProjections!$N$10:$W$10,0))*0.001,"")</f>
        <v>3873.0540520727282</v>
      </c>
      <c r="G34" s="99">
        <f>IFERROR(INDEX(CostProjections!$N$11:$W$92,MATCH($C34,CostProjections!$L$11:$L$92,0),MATCH(G$6,CostProjections!$N$10:$W$10,0))*0.001,"")</f>
        <v>2471.1035407868549</v>
      </c>
      <c r="H34" s="99">
        <f>IFERROR(INDEX(CostProjections!$N$11:$W$92,MATCH($C34,CostProjections!$L$11:$L$92,0),MATCH(H$6,CostProjections!$N$10:$W$10,0))*0.001,"")</f>
        <v>2065.5976014079038</v>
      </c>
      <c r="I34" s="99">
        <f>IFERROR(INDEX(CostProjections!$N$11:$W$92,MATCH($C34,CostProjections!$L$11:$L$92,0),MATCH(I$6,CostProjections!$N$10:$W$10,0))*0.001,"")</f>
        <v>2002.7028026470764</v>
      </c>
      <c r="J34" s="99">
        <f>IFERROR(INDEX(CostProjections!$N$11:$W$92,MATCH($C34,CostProjections!$L$11:$L$92,0),MATCH(J$6,CostProjections!$N$10:$W$10,0))*0.001,"")</f>
        <v>1939.8080038862586</v>
      </c>
      <c r="K34" s="99">
        <f>IFERROR(INDEX(CostProjections!$N$11:$W$92,MATCH($C34,CostProjections!$L$11:$L$92,0),MATCH(K$6,CostProjections!$N$10:$W$10,0))*0.001,"")</f>
        <v>1814.0184063646227</v>
      </c>
      <c r="L34" s="99"/>
      <c r="M34" s="99"/>
      <c r="N34" s="99"/>
      <c r="O34" s="99"/>
    </row>
    <row r="35" spans="1:15" x14ac:dyDescent="0.2">
      <c r="A35" s="1" t="s">
        <v>76</v>
      </c>
      <c r="B35" s="100" t="s">
        <v>105</v>
      </c>
      <c r="C35" s="100" t="s">
        <v>296</v>
      </c>
      <c r="D35" s="100" t="s">
        <v>349</v>
      </c>
      <c r="E35" s="100" t="s">
        <v>11</v>
      </c>
      <c r="F35" s="99">
        <f>IFERROR(INDEX(CostProjections!$N$11:$W$92,MATCH($C35,CostProjections!$L$11:$L$92,0),MATCH(F$6,CostProjections!$N$10:$W$10,0))*0.001,"")</f>
        <v>438.90146207526243</v>
      </c>
      <c r="G35" s="99">
        <f>IFERROR(INDEX(CostProjections!$N$11:$W$92,MATCH($C35,CostProjections!$L$11:$L$92,0),MATCH(G$6,CostProjections!$N$10:$W$10,0))*0.001,"")</f>
        <v>443.30806790174114</v>
      </c>
      <c r="H35" s="99">
        <f>IFERROR(INDEX(CostProjections!$N$11:$W$92,MATCH($C35,CostProjections!$L$11:$L$92,0),MATCH(H$6,CostProjections!$N$10:$W$10,0))*0.001,"")</f>
        <v>447.75891640359885</v>
      </c>
      <c r="I35" s="99">
        <f>IFERROR(INDEX(CostProjections!$N$11:$W$92,MATCH($C35,CostProjections!$L$11:$L$92,0),MATCH(I$6,CostProjections!$N$10:$W$10,0))*0.001,"")</f>
        <v>452.25445178083936</v>
      </c>
      <c r="J35" s="99">
        <f>IFERROR(INDEX(CostProjections!$N$11:$W$92,MATCH($C35,CostProjections!$L$11:$L$92,0),MATCH(J$6,CostProjections!$N$10:$W$10,0))*0.001,"")</f>
        <v>456.79512269326983</v>
      </c>
      <c r="K35" s="99">
        <f>IFERROR(INDEX(CostProjections!$N$11:$W$92,MATCH($C35,CostProjections!$L$11:$L$92,0),MATCH(K$6,CostProjections!$N$10:$W$10,0))*0.001,"")</f>
        <v>466.01368833105909</v>
      </c>
      <c r="L35" s="99"/>
      <c r="M35" s="99"/>
      <c r="N35" s="99"/>
      <c r="O35" s="99"/>
    </row>
    <row r="36" spans="1:15" x14ac:dyDescent="0.2">
      <c r="B36" s="100" t="s">
        <v>106</v>
      </c>
      <c r="C36" s="100" t="s">
        <v>297</v>
      </c>
      <c r="D36" s="100" t="s">
        <v>349</v>
      </c>
      <c r="E36" s="100" t="s">
        <v>9</v>
      </c>
      <c r="F36" s="99">
        <f>IFERROR(INDEX(CostProjections!$N$11:$W$92,MATCH($C36,CostProjections!$L$11:$L$92,0),MATCH(F$6,CostProjections!$N$10:$W$10,0))*0.001,"")</f>
        <v>1516.7538557832556</v>
      </c>
      <c r="G36" s="99">
        <f>IFERROR(INDEX(CostProjections!$N$11:$W$92,MATCH($C36,CostProjections!$L$11:$L$92,0),MATCH(G$6,CostProjections!$N$10:$W$10,0))*0.001,"")</f>
        <v>967.72618536585719</v>
      </c>
      <c r="H36" s="99">
        <f>IFERROR(INDEX(CostProjections!$N$11:$W$92,MATCH($C36,CostProjections!$L$11:$L$92,0),MATCH(H$6,CostProjections!$N$10:$W$10,0))*0.001,"")</f>
        <v>808.92316097561422</v>
      </c>
      <c r="I36" s="99">
        <f>IFERROR(INDEX(CostProjections!$N$11:$W$92,MATCH($C36,CostProjections!$L$11:$L$92,0),MATCH(I$6,CostProjections!$N$10:$W$10,0))*0.001,"")</f>
        <v>784.29248780487853</v>
      </c>
      <c r="J36" s="99">
        <f>IFERROR(INDEX(CostProjections!$N$11:$W$92,MATCH($C36,CostProjections!$L$11:$L$92,0),MATCH(J$6,CostProjections!$N$10:$W$10,0))*0.001,"")</f>
        <v>759.66181463414648</v>
      </c>
      <c r="K36" s="99">
        <f>IFERROR(INDEX(CostProjections!$N$11:$W$92,MATCH($C36,CostProjections!$L$11:$L$92,0),MATCH(K$6,CostProjections!$N$10:$W$10,0))*0.001,"")</f>
        <v>710.40046829268272</v>
      </c>
      <c r="L36" s="99"/>
      <c r="M36" s="99"/>
      <c r="N36" s="99"/>
      <c r="O36" s="99"/>
    </row>
    <row r="37" spans="1:15" x14ac:dyDescent="0.2">
      <c r="A37" s="1" t="s">
        <v>76</v>
      </c>
      <c r="B37" s="100" t="s">
        <v>107</v>
      </c>
      <c r="C37" s="100" t="s">
        <v>26</v>
      </c>
      <c r="D37" s="100" t="s">
        <v>349</v>
      </c>
      <c r="E37" s="100" t="s">
        <v>13</v>
      </c>
      <c r="F37" s="99">
        <f>IFERROR(INDEX(CostProjections!$N$11:$W$92,MATCH($C37,CostProjections!$L$11:$L$92,0),MATCH(F$6,CostProjections!$N$10:$W$10,0))*0.001,"")</f>
        <v>1674.9173571001118</v>
      </c>
      <c r="G37" s="99">
        <f>IFERROR(INDEX(CostProjections!$N$11:$W$92,MATCH($C37,CostProjections!$L$11:$L$92,0),MATCH(G$6,CostProjections!$N$10:$W$10,0))*0.001,"")</f>
        <v>1691.733661492832</v>
      </c>
      <c r="H37" s="99">
        <f>IFERROR(INDEX(CostProjections!$N$11:$W$92,MATCH($C37,CostProjections!$L$11:$L$92,0),MATCH(H$6,CostProjections!$N$10:$W$10,0))*0.001,"")</f>
        <v>1708.7188029283056</v>
      </c>
      <c r="I37" s="99">
        <f>IFERROR(INDEX(CostProjections!$N$11:$W$92,MATCH($C37,CostProjections!$L$11:$L$92,0),MATCH(I$6,CostProjections!$N$10:$W$10,0))*0.001,"")</f>
        <v>1725.8744765439624</v>
      </c>
      <c r="J37" s="99">
        <f>IFERROR(INDEX(CostProjections!$N$11:$W$92,MATCH($C37,CostProjections!$L$11:$L$92,0),MATCH(J$6,CostProjections!$N$10:$W$10,0))*0.001,"")</f>
        <v>1743.2023944965467</v>
      </c>
      <c r="K37" s="99">
        <f>IFERROR(INDEX(CostProjections!$N$11:$W$92,MATCH($C37,CostProjections!$L$11:$L$92,0),MATCH(K$6,CostProjections!$N$10:$W$10,0))*0.001,"")</f>
        <v>1778.3818981630261</v>
      </c>
      <c r="L37" s="99"/>
      <c r="M37" s="99"/>
      <c r="N37" s="99"/>
      <c r="O37" s="99"/>
    </row>
    <row r="38" spans="1:15" x14ac:dyDescent="0.2">
      <c r="A38" s="1" t="s">
        <v>76</v>
      </c>
      <c r="B38" s="100" t="s">
        <v>108</v>
      </c>
      <c r="C38" s="100" t="s">
        <v>298</v>
      </c>
      <c r="D38" s="100" t="s">
        <v>349</v>
      </c>
      <c r="E38" s="100" t="s">
        <v>12</v>
      </c>
      <c r="F38" s="99">
        <f>IFERROR(INDEX(CostProjections!$N$11:$W$92,MATCH($C38,CostProjections!$L$11:$L$92,0),MATCH(F$6,CostProjections!$N$10:$W$10,0))*0.001,"")</f>
        <v>1775.901197692195</v>
      </c>
      <c r="G38" s="99">
        <f>IFERROR(INDEX(CostProjections!$N$11:$W$92,MATCH($C38,CostProjections!$L$11:$L$92,0),MATCH(G$6,CostProjections!$N$10:$W$10,0))*0.001,"")</f>
        <v>1793.7313879312489</v>
      </c>
      <c r="H38" s="99">
        <f>IFERROR(INDEX(CostProjections!$N$11:$W$92,MATCH($C38,CostProjections!$L$11:$L$92,0),MATCH(H$6,CostProjections!$N$10:$W$10,0))*0.001,"")</f>
        <v>1811.7405947081456</v>
      </c>
      <c r="I38" s="99">
        <f>IFERROR(INDEX(CostProjections!$N$11:$W$92,MATCH($C38,CostProjections!$L$11:$L$92,0),MATCH(I$6,CostProjections!$N$10:$W$10,0))*0.001,"")</f>
        <v>1829.9306153632604</v>
      </c>
      <c r="J38" s="99">
        <f>IFERROR(INDEX(CostProjections!$N$11:$W$92,MATCH($C38,CostProjections!$L$11:$L$92,0),MATCH(J$6,CostProjections!$N$10:$W$10,0))*0.001,"")</f>
        <v>1848.303265282409</v>
      </c>
      <c r="K38" s="99">
        <f>IFERROR(INDEX(CostProjections!$N$11:$W$92,MATCH($C38,CostProjections!$L$11:$L$92,0),MATCH(K$6,CostProjections!$N$10:$W$10,0))*0.001,"")</f>
        <v>1885.603805772171</v>
      </c>
      <c r="L38" s="99"/>
      <c r="M38" s="99"/>
      <c r="N38" s="99"/>
      <c r="O38" s="99"/>
    </row>
    <row r="39" spans="1:15" x14ac:dyDescent="0.2">
      <c r="B39" s="100" t="s">
        <v>109</v>
      </c>
      <c r="C39" s="100" t="s">
        <v>299</v>
      </c>
      <c r="D39" s="100" t="s">
        <v>349</v>
      </c>
      <c r="E39" s="100" t="s">
        <v>9</v>
      </c>
      <c r="F39" s="99">
        <f>IFERROR(INDEX(CostProjections!$N$11:$W$92,MATCH($C39,CostProjections!$L$11:$L$92,0),MATCH(F$6,CostProjections!$N$10:$W$10,0))*0.001,"")</f>
        <v>2885.1124291966107</v>
      </c>
      <c r="G39" s="99">
        <f>IFERROR(INDEX(CostProjections!$N$11:$W$92,MATCH($C39,CostProjections!$L$11:$L$92,0),MATCH(G$6,CostProjections!$N$10:$W$10,0))*0.001,"")</f>
        <v>1840.7725385449987</v>
      </c>
      <c r="H39" s="99">
        <f>IFERROR(INDEX(CostProjections!$N$11:$W$92,MATCH($C39,CostProjections!$L$11:$L$92,0),MATCH(H$6,CostProjections!$N$10:$W$10,0))*0.001,"")</f>
        <v>1538.7033677857753</v>
      </c>
      <c r="I39" s="99">
        <f>IFERROR(INDEX(CostProjections!$N$11:$W$92,MATCH($C39,CostProjections!$L$11:$L$92,0),MATCH(I$6,CostProjections!$N$10:$W$10,0))*0.001,"")</f>
        <v>1491.8518229333165</v>
      </c>
      <c r="J39" s="99">
        <f>IFERROR(INDEX(CostProjections!$N$11:$W$92,MATCH($C39,CostProjections!$L$11:$L$92,0),MATCH(J$6,CostProjections!$N$10:$W$10,0))*0.001,"")</f>
        <v>1445.0002780808647</v>
      </c>
      <c r="K39" s="99">
        <f>IFERROR(INDEX(CostProjections!$N$11:$W$92,MATCH($C39,CostProjections!$L$11:$L$92,0),MATCH(K$6,CostProjections!$N$10:$W$10,0))*0.001,"")</f>
        <v>1351.2971883759612</v>
      </c>
      <c r="L39" s="99"/>
      <c r="M39" s="99"/>
      <c r="N39" s="99"/>
      <c r="O39" s="99"/>
    </row>
    <row r="40" spans="1:15" x14ac:dyDescent="0.2">
      <c r="B40" s="100" t="s">
        <v>110</v>
      </c>
      <c r="C40" s="100" t="s">
        <v>300</v>
      </c>
      <c r="D40" s="100" t="s">
        <v>349</v>
      </c>
      <c r="E40" s="100" t="s">
        <v>10</v>
      </c>
      <c r="F40" s="99">
        <f>IFERROR(INDEX(CostProjections!$N$11:$W$92,MATCH($C40,CostProjections!$L$11:$L$92,0),MATCH(F$6,CostProjections!$N$10:$W$10,0))*0.001,"")</f>
        <v>3448.5361583131421</v>
      </c>
      <c r="G40" s="99">
        <f>IFERROR(INDEX(CostProjections!$N$11:$W$92,MATCH($C40,CostProjections!$L$11:$L$92,0),MATCH(G$6,CostProjections!$N$10:$W$10,0))*0.001,"")</f>
        <v>2200.2507057133848</v>
      </c>
      <c r="H40" s="99">
        <f>IFERROR(INDEX(CostProjections!$N$11:$W$92,MATCH($C40,CostProjections!$L$11:$L$92,0),MATCH(H$6,CostProjections!$N$10:$W$10,0))*0.001,"")</f>
        <v>1839.1914807302808</v>
      </c>
      <c r="I40" s="99">
        <f>IFERROR(INDEX(CostProjections!$N$11:$W$92,MATCH($C40,CostProjections!$L$11:$L$92,0),MATCH(I$6,CostProjections!$N$10:$W$10,0))*0.001,"")</f>
        <v>1783.1904580798305</v>
      </c>
      <c r="J40" s="99">
        <f>IFERROR(INDEX(CostProjections!$N$11:$W$92,MATCH($C40,CostProjections!$L$11:$L$92,0),MATCH(J$6,CostProjections!$N$10:$W$10,0))*0.001,"")</f>
        <v>1727.1894354293891</v>
      </c>
      <c r="K40" s="99">
        <f>IFERROR(INDEX(CostProjections!$N$11:$W$92,MATCH($C40,CostProjections!$L$11:$L$92,0),MATCH(K$6,CostProjections!$N$10:$W$10,0))*0.001,"")</f>
        <v>1615.1873901285062</v>
      </c>
      <c r="L40" s="99"/>
      <c r="M40" s="99"/>
      <c r="N40" s="99"/>
      <c r="O40" s="99"/>
    </row>
    <row r="41" spans="1:15" x14ac:dyDescent="0.2">
      <c r="A41" s="1" t="s">
        <v>76</v>
      </c>
      <c r="B41" s="100" t="s">
        <v>111</v>
      </c>
      <c r="C41" s="100" t="s">
        <v>301</v>
      </c>
      <c r="D41" s="100" t="s">
        <v>349</v>
      </c>
      <c r="E41" s="100" t="s">
        <v>11</v>
      </c>
      <c r="F41" s="99">
        <f>IFERROR(INDEX(CostProjections!$N$11:$W$92,MATCH($C41,CostProjections!$L$11:$L$92,0),MATCH(F$6,CostProjections!$N$10:$W$10,0))*0.001,"")</f>
        <v>1674.9173571001118</v>
      </c>
      <c r="G41" s="99">
        <f>IFERROR(INDEX(CostProjections!$N$11:$W$92,MATCH($C41,CostProjections!$L$11:$L$92,0),MATCH(G$6,CostProjections!$N$10:$W$10,0))*0.001,"")</f>
        <v>1691.733661492832</v>
      </c>
      <c r="H41" s="99">
        <f>IFERROR(INDEX(CostProjections!$N$11:$W$92,MATCH($C41,CostProjections!$L$11:$L$92,0),MATCH(H$6,CostProjections!$N$10:$W$10,0))*0.001,"")</f>
        <v>1708.7188029283056</v>
      </c>
      <c r="I41" s="99">
        <f>IFERROR(INDEX(CostProjections!$N$11:$W$92,MATCH($C41,CostProjections!$L$11:$L$92,0),MATCH(I$6,CostProjections!$N$10:$W$10,0))*0.001,"")</f>
        <v>1725.8744765439624</v>
      </c>
      <c r="J41" s="99">
        <f>IFERROR(INDEX(CostProjections!$N$11:$W$92,MATCH($C41,CostProjections!$L$11:$L$92,0),MATCH(J$6,CostProjections!$N$10:$W$10,0))*0.001,"")</f>
        <v>1743.2023944965467</v>
      </c>
      <c r="K41" s="99">
        <f>IFERROR(INDEX(CostProjections!$N$11:$W$92,MATCH($C41,CostProjections!$L$11:$L$92,0),MATCH(K$6,CostProjections!$N$10:$W$10,0))*0.001,"")</f>
        <v>1778.3818981630261</v>
      </c>
      <c r="L41" s="99"/>
      <c r="M41" s="99"/>
      <c r="N41" s="99"/>
      <c r="O41" s="99"/>
    </row>
    <row r="42" spans="1:15" x14ac:dyDescent="0.2">
      <c r="A42" s="1" t="s">
        <v>76</v>
      </c>
      <c r="B42" s="100" t="s">
        <v>112</v>
      </c>
      <c r="C42" s="100" t="s">
        <v>302</v>
      </c>
      <c r="D42" s="100" t="s">
        <v>349</v>
      </c>
      <c r="E42" s="100" t="s">
        <v>13</v>
      </c>
      <c r="F42" s="99">
        <f>IFERROR(INDEX(CostProjections!$N$11:$W$92,MATCH($C42,CostProjections!$L$11:$L$92,0),MATCH(F$6,CostProjections!$N$10:$W$10,0))*0.001,"")</f>
        <v>835.64408109927854</v>
      </c>
      <c r="G42" s="99">
        <f>IFERROR(INDEX(CostProjections!$N$11:$W$92,MATCH($C42,CostProjections!$L$11:$L$92,0),MATCH(G$6,CostProjections!$N$10:$W$10,0))*0.001,"")</f>
        <v>844.03401459192003</v>
      </c>
      <c r="H42" s="99">
        <f>IFERROR(INDEX(CostProjections!$N$11:$W$92,MATCH($C42,CostProjections!$L$11:$L$92,0),MATCH(H$6,CostProjections!$N$10:$W$10,0))*0.001,"")</f>
        <v>852.50818368869375</v>
      </c>
      <c r="I42" s="99">
        <f>IFERROR(INDEX(CostProjections!$N$11:$W$92,MATCH($C42,CostProjections!$L$11:$L$92,0),MATCH(I$6,CostProjections!$N$10:$W$10,0))*0.001,"")</f>
        <v>861.06743412181083</v>
      </c>
      <c r="J42" s="99">
        <f>IFERROR(INDEX(CostProjections!$N$11:$W$92,MATCH($C42,CostProjections!$L$11:$L$92,0),MATCH(J$6,CostProjections!$N$10:$W$10,0))*0.001,"")</f>
        <v>869.71262011470128</v>
      </c>
      <c r="K42" s="99">
        <f>IFERROR(INDEX(CostProjections!$N$11:$W$92,MATCH($C42,CostProjections!$L$11:$L$92,0),MATCH(K$6,CostProjections!$N$10:$W$10,0))*0.001,"")</f>
        <v>887.26425864199052</v>
      </c>
      <c r="L42" s="99"/>
      <c r="M42" s="99"/>
      <c r="N42" s="99"/>
      <c r="O42" s="99"/>
    </row>
    <row r="43" spans="1:15" x14ac:dyDescent="0.2">
      <c r="B43" s="100" t="s">
        <v>113</v>
      </c>
      <c r="C43" s="100" t="s">
        <v>303</v>
      </c>
      <c r="D43" s="100" t="s">
        <v>349</v>
      </c>
      <c r="E43" s="100" t="s">
        <v>13</v>
      </c>
      <c r="F43" s="99">
        <f>IFERROR(INDEX(CostProjections!$N$11:$W$92,MATCH($C43,CostProjections!$L$11:$L$92,0),MATCH(F$6,CostProjections!$N$10:$W$10,0))*0.001,"")</f>
        <v>1115.3529863163551</v>
      </c>
      <c r="G43" s="99">
        <f>IFERROR(INDEX(CostProjections!$N$11:$W$92,MATCH($C43,CostProjections!$L$11:$L$92,0),MATCH(G$6,CostProjections!$N$10:$W$10,0))*0.001,"")</f>
        <v>908.86636781442746</v>
      </c>
      <c r="H43" s="99">
        <f>IFERROR(INDEX(CostProjections!$N$11:$W$92,MATCH($C43,CostProjections!$L$11:$L$92,0),MATCH(H$6,CostProjections!$N$10:$W$10,0))*0.001,"")</f>
        <v>849.11877209576846</v>
      </c>
      <c r="I43" s="99">
        <f>IFERROR(INDEX(CostProjections!$N$11:$W$92,MATCH($C43,CostProjections!$L$11:$L$92,0),MATCH(I$6,CostProjections!$N$10:$W$10,0))*0.001,"")</f>
        <v>850.52459787738246</v>
      </c>
      <c r="J43" s="99">
        <f>IFERROR(INDEX(CostProjections!$N$11:$W$92,MATCH($C43,CostProjections!$L$11:$L$92,0),MATCH(J$6,CostProjections!$N$10:$W$10,0))*0.001,"")</f>
        <v>851.93042365899805</v>
      </c>
      <c r="K43" s="99">
        <f>IFERROR(INDEX(CostProjections!$N$11:$W$92,MATCH($C43,CostProjections!$L$11:$L$92,0),MATCH(K$6,CostProjections!$N$10:$W$10,0))*0.001,"")</f>
        <v>854.742075222229</v>
      </c>
      <c r="L43" s="99"/>
      <c r="M43" s="99"/>
      <c r="N43" s="99"/>
      <c r="O43" s="99"/>
    </row>
    <row r="44" spans="1:15" x14ac:dyDescent="0.2">
      <c r="A44" s="1" t="s">
        <v>76</v>
      </c>
      <c r="B44" s="100" t="s">
        <v>114</v>
      </c>
      <c r="C44" s="100" t="s">
        <v>304</v>
      </c>
      <c r="D44" s="100" t="s">
        <v>349</v>
      </c>
      <c r="E44" s="100" t="s">
        <v>21</v>
      </c>
      <c r="F44" s="99">
        <f>IFERROR(INDEX(CostProjections!$N$11:$W$92,MATCH($C44,CostProjections!$L$11:$L$92,0),MATCH(F$6,CostProjections!$N$10:$W$10,0))*0.001,"")</f>
        <v>438.90146207526243</v>
      </c>
      <c r="G44" s="99">
        <f>IFERROR(INDEX(CostProjections!$N$11:$W$92,MATCH($C44,CostProjections!$L$11:$L$92,0),MATCH(G$6,CostProjections!$N$10:$W$10,0))*0.001,"")</f>
        <v>443.30806790174114</v>
      </c>
      <c r="H44" s="99">
        <f>IFERROR(INDEX(CostProjections!$N$11:$W$92,MATCH($C44,CostProjections!$L$11:$L$92,0),MATCH(H$6,CostProjections!$N$10:$W$10,0))*0.001,"")</f>
        <v>447.75891640359885</v>
      </c>
      <c r="I44" s="99">
        <f>IFERROR(INDEX(CostProjections!$N$11:$W$92,MATCH($C44,CostProjections!$L$11:$L$92,0),MATCH(I$6,CostProjections!$N$10:$W$10,0))*0.001,"")</f>
        <v>452.25445178083936</v>
      </c>
      <c r="J44" s="99">
        <f>IFERROR(INDEX(CostProjections!$N$11:$W$92,MATCH($C44,CostProjections!$L$11:$L$92,0),MATCH(J$6,CostProjections!$N$10:$W$10,0))*0.001,"")</f>
        <v>456.79512269326983</v>
      </c>
      <c r="K44" s="99">
        <f>IFERROR(INDEX(CostProjections!$N$11:$W$92,MATCH($C44,CostProjections!$L$11:$L$92,0),MATCH(K$6,CostProjections!$N$10:$W$10,0))*0.001,"")</f>
        <v>466.01368833105909</v>
      </c>
      <c r="L44" s="99"/>
      <c r="M44" s="99"/>
      <c r="N44" s="99"/>
      <c r="O44" s="99"/>
    </row>
    <row r="45" spans="1:15" x14ac:dyDescent="0.2">
      <c r="B45" s="100" t="s">
        <v>115</v>
      </c>
      <c r="C45" s="100" t="s">
        <v>305</v>
      </c>
      <c r="D45" s="100" t="s">
        <v>349</v>
      </c>
      <c r="E45" s="100" t="s">
        <v>21</v>
      </c>
      <c r="F45" s="99">
        <f>IFERROR(INDEX(CostProjections!$N$11:$W$92,MATCH($C45,CostProjections!$L$11:$L$92,0),MATCH(F$6,CostProjections!$N$10:$W$10,0))*0.001,"")</f>
        <v>585.81167209404305</v>
      </c>
      <c r="G45" s="99">
        <f>IFERROR(INDEX(CostProjections!$N$11:$W$92,MATCH($C45,CostProjections!$L$11:$L$92,0),MATCH(G$6,CostProjections!$N$10:$W$10,0))*0.001,"")</f>
        <v>477.35966386554702</v>
      </c>
      <c r="H45" s="99">
        <f>IFERROR(INDEX(CostProjections!$N$11:$W$92,MATCH($C45,CostProjections!$L$11:$L$92,0),MATCH(H$6,CostProjections!$N$10:$W$10,0))*0.001,"")</f>
        <v>445.97871148459467</v>
      </c>
      <c r="I45" s="99">
        <f>IFERROR(INDEX(CostProjections!$N$11:$W$92,MATCH($C45,CostProjections!$L$11:$L$92,0),MATCH(I$6,CostProjections!$N$10:$W$10,0))*0.001,"")</f>
        <v>446.71708683473389</v>
      </c>
      <c r="J45" s="99">
        <f>IFERROR(INDEX(CostProjections!$N$11:$W$92,MATCH($C45,CostProjections!$L$11:$L$92,0),MATCH(J$6,CostProjections!$N$10:$W$10,0))*0.001,"")</f>
        <v>447.45546218487397</v>
      </c>
      <c r="K45" s="99">
        <f>IFERROR(INDEX(CostProjections!$N$11:$W$92,MATCH($C45,CostProjections!$L$11:$L$92,0),MATCH(K$6,CostProjections!$N$10:$W$10,0))*0.001,"")</f>
        <v>448.93221288515406</v>
      </c>
      <c r="L45" s="99"/>
      <c r="M45" s="99"/>
      <c r="N45" s="99"/>
      <c r="O45" s="99"/>
    </row>
    <row r="46" spans="1:15" x14ac:dyDescent="0.2">
      <c r="A46" s="1" t="s">
        <v>76</v>
      </c>
      <c r="B46" s="100" t="s">
        <v>116</v>
      </c>
      <c r="C46" s="100" t="s">
        <v>306</v>
      </c>
      <c r="D46" s="100" t="s">
        <v>349</v>
      </c>
      <c r="E46" s="100" t="s">
        <v>12</v>
      </c>
      <c r="F46" s="99">
        <f>IFERROR(INDEX(CostProjections!$N$11:$W$92,MATCH($C46,CostProjections!$L$11:$L$92,0),MATCH(F$6,CostProjections!$N$10:$W$10,0))*0.001,"")</f>
        <v>919.2084892092065</v>
      </c>
      <c r="G46" s="99">
        <f>IFERROR(INDEX(CostProjections!$N$11:$W$92,MATCH($C46,CostProjections!$L$11:$L$92,0),MATCH(G$6,CostProjections!$N$10:$W$10,0))*0.001,"")</f>
        <v>928.437416051112</v>
      </c>
      <c r="H46" s="99">
        <f>IFERROR(INDEX(CostProjections!$N$11:$W$92,MATCH($C46,CostProjections!$L$11:$L$92,0),MATCH(H$6,CostProjections!$N$10:$W$10,0))*0.001,"")</f>
        <v>937.75900205756318</v>
      </c>
      <c r="I46" s="99">
        <f>IFERROR(INDEX(CostProjections!$N$11:$W$92,MATCH($C46,CostProjections!$L$11:$L$92,0),MATCH(I$6,CostProjections!$N$10:$W$10,0))*0.001,"")</f>
        <v>947.17417753399195</v>
      </c>
      <c r="J46" s="99">
        <f>IFERROR(INDEX(CostProjections!$N$11:$W$92,MATCH($C46,CostProjections!$L$11:$L$92,0),MATCH(J$6,CostProjections!$N$10:$W$10,0))*0.001,"")</f>
        <v>956.68388212617151</v>
      </c>
      <c r="K46" s="99">
        <f>IFERROR(INDEX(CostProjections!$N$11:$W$92,MATCH($C46,CostProjections!$L$11:$L$92,0),MATCH(K$6,CostProjections!$N$10:$W$10,0))*0.001,"")</f>
        <v>975.99068450618972</v>
      </c>
      <c r="L46" s="99"/>
      <c r="M46" s="99"/>
      <c r="N46" s="99"/>
      <c r="O46" s="99"/>
    </row>
    <row r="47" spans="1:15" x14ac:dyDescent="0.2">
      <c r="B47" s="100" t="s">
        <v>117</v>
      </c>
      <c r="C47" s="100" t="s">
        <v>307</v>
      </c>
      <c r="D47" s="100" t="s">
        <v>349</v>
      </c>
      <c r="E47" s="100" t="s">
        <v>9</v>
      </c>
      <c r="F47" s="99">
        <f>IFERROR(INDEX(CostProjections!$N$11:$W$92,MATCH($C47,CostProjections!$L$11:$L$92,0),MATCH(F$6,CostProjections!$N$10:$W$10,0))*0.001,"")</f>
        <v>1516.7538557832556</v>
      </c>
      <c r="G47" s="99">
        <f>IFERROR(INDEX(CostProjections!$N$11:$W$92,MATCH($C47,CostProjections!$L$11:$L$92,0),MATCH(G$6,CostProjections!$N$10:$W$10,0))*0.001,"")</f>
        <v>967.72618536585719</v>
      </c>
      <c r="H47" s="99">
        <f>IFERROR(INDEX(CostProjections!$N$11:$W$92,MATCH($C47,CostProjections!$L$11:$L$92,0),MATCH(H$6,CostProjections!$N$10:$W$10,0))*0.001,"")</f>
        <v>808.92316097561422</v>
      </c>
      <c r="I47" s="99">
        <f>IFERROR(INDEX(CostProjections!$N$11:$W$92,MATCH($C47,CostProjections!$L$11:$L$92,0),MATCH(I$6,CostProjections!$N$10:$W$10,0))*0.001,"")</f>
        <v>784.29248780487853</v>
      </c>
      <c r="J47" s="99">
        <f>IFERROR(INDEX(CostProjections!$N$11:$W$92,MATCH($C47,CostProjections!$L$11:$L$92,0),MATCH(J$6,CostProjections!$N$10:$W$10,0))*0.001,"")</f>
        <v>759.66181463414648</v>
      </c>
      <c r="K47" s="99">
        <f>IFERROR(INDEX(CostProjections!$N$11:$W$92,MATCH($C47,CostProjections!$L$11:$L$92,0),MATCH(K$6,CostProjections!$N$10:$W$10,0))*0.001,"")</f>
        <v>710.40046829268272</v>
      </c>
      <c r="L47" s="99"/>
      <c r="M47" s="99"/>
      <c r="N47" s="99"/>
      <c r="O47" s="99"/>
    </row>
    <row r="48" spans="1:15" x14ac:dyDescent="0.2">
      <c r="A48" s="1" t="s">
        <v>76</v>
      </c>
      <c r="B48" s="100" t="s">
        <v>118</v>
      </c>
      <c r="C48" s="100" t="s">
        <v>308</v>
      </c>
      <c r="D48" s="100" t="s">
        <v>349</v>
      </c>
      <c r="E48" s="100" t="s">
        <v>13</v>
      </c>
      <c r="F48" s="99">
        <f>IFERROR(INDEX(CostProjections!$N$11:$W$92,MATCH($C48,CostProjections!$L$11:$L$92,0),MATCH(F$6,CostProjections!$N$10:$W$10,0))*0.001,"")</f>
        <v>522.57584162425417</v>
      </c>
      <c r="G48" s="99">
        <f>IFERROR(INDEX(CostProjections!$N$11:$W$92,MATCH($C48,CostProjections!$L$11:$L$92,0),MATCH(G$6,CostProjections!$N$10:$W$10,0))*0.001,"")</f>
        <v>527.82254492205163</v>
      </c>
      <c r="H48" s="99">
        <f>IFERROR(INDEX(CostProjections!$N$11:$W$92,MATCH($C48,CostProjections!$L$11:$L$92,0),MATCH(H$6,CostProjections!$N$10:$W$10,0))*0.001,"")</f>
        <v>533.12192554111539</v>
      </c>
      <c r="I48" s="99">
        <f>IFERROR(INDEX(CostProjections!$N$11:$W$92,MATCH($C48,CostProjections!$L$11:$L$92,0),MATCH(I$6,CostProjections!$N$10:$W$10,0))*0.001,"")</f>
        <v>538.47451236596908</v>
      </c>
      <c r="J48" s="99">
        <f>IFERROR(INDEX(CostProjections!$N$11:$W$92,MATCH($C48,CostProjections!$L$11:$L$92,0),MATCH(J$6,CostProjections!$N$10:$W$10,0))*0.001,"")</f>
        <v>543.88083959117944</v>
      </c>
      <c r="K48" s="99">
        <f>IFERROR(INDEX(CostProjections!$N$11:$W$92,MATCH($C48,CostProjections!$L$11:$L$92,0),MATCH(K$6,CostProjections!$N$10:$W$10,0))*0.001,"")</f>
        <v>554.85687889156804</v>
      </c>
      <c r="L48" s="99"/>
      <c r="M48" s="99"/>
      <c r="N48" s="99"/>
      <c r="O48" s="99"/>
    </row>
    <row r="49" spans="1:15" x14ac:dyDescent="0.2">
      <c r="A49" s="1" t="s">
        <v>76</v>
      </c>
      <c r="B49" s="100" t="s">
        <v>119</v>
      </c>
      <c r="C49" s="100" t="s">
        <v>309</v>
      </c>
      <c r="D49" s="100" t="s">
        <v>349</v>
      </c>
      <c r="E49" s="100" t="s">
        <v>21</v>
      </c>
      <c r="F49" s="99">
        <f>IFERROR(INDEX(CostProjections!$N$11:$W$92,MATCH($C49,CostProjections!$L$11:$L$92,0),MATCH(F$6,CostProjections!$N$10:$W$10,0))*0.001,"")</f>
        <v>411.73058994760896</v>
      </c>
      <c r="G49" s="99">
        <f>IFERROR(INDEX(CostProjections!$N$11:$W$92,MATCH($C49,CostProjections!$L$11:$L$92,0),MATCH(G$6,CostProjections!$N$10:$W$10,0))*0.001,"")</f>
        <v>415.86439804208169</v>
      </c>
      <c r="H49" s="99">
        <f>IFERROR(INDEX(CostProjections!$N$11:$W$92,MATCH($C49,CostProjections!$L$11:$L$92,0),MATCH(H$6,CostProjections!$N$10:$W$10,0))*0.001,"")</f>
        <v>420.0397099008585</v>
      </c>
      <c r="I49" s="99">
        <f>IFERROR(INDEX(CostProjections!$N$11:$W$92,MATCH($C49,CostProjections!$L$11:$L$92,0),MATCH(I$6,CostProjections!$N$10:$W$10,0))*0.001,"")</f>
        <v>424.25694222505655</v>
      </c>
      <c r="J49" s="99">
        <f>IFERROR(INDEX(CostProjections!$N$11:$W$92,MATCH($C49,CostProjections!$L$11:$L$92,0),MATCH(J$6,CostProjections!$N$10:$W$10,0))*0.001,"")</f>
        <v>428.51651589950546</v>
      </c>
      <c r="K49" s="99">
        <f>IFERROR(INDEX(CostProjections!$N$11:$W$92,MATCH($C49,CostProjections!$L$11:$L$92,0),MATCH(K$6,CostProjections!$N$10:$W$10,0))*0.001,"")</f>
        <v>437.16439200948946</v>
      </c>
      <c r="L49" s="99"/>
      <c r="M49" s="99"/>
      <c r="N49" s="99"/>
      <c r="O49" s="99"/>
    </row>
    <row r="50" spans="1:15" x14ac:dyDescent="0.2">
      <c r="A50" s="1" t="s">
        <v>76</v>
      </c>
      <c r="B50" s="100" t="s">
        <v>120</v>
      </c>
      <c r="C50" s="100" t="s">
        <v>310</v>
      </c>
      <c r="D50" s="100" t="s">
        <v>349</v>
      </c>
      <c r="E50" s="100" t="s">
        <v>13</v>
      </c>
      <c r="F50" s="99">
        <f>IFERROR(INDEX(CostProjections!$N$11:$W$92,MATCH($C50,CostProjections!$L$11:$L$92,0),MATCH(F$6,CostProjections!$N$10:$W$10,0))*0.001,"")</f>
        <v>522.57584162425417</v>
      </c>
      <c r="G50" s="99">
        <f>IFERROR(INDEX(CostProjections!$N$11:$W$92,MATCH($C50,CostProjections!$L$11:$L$92,0),MATCH(G$6,CostProjections!$N$10:$W$10,0))*0.001,"")</f>
        <v>527.82254492205163</v>
      </c>
      <c r="H50" s="99">
        <f>IFERROR(INDEX(CostProjections!$N$11:$W$92,MATCH($C50,CostProjections!$L$11:$L$92,0),MATCH(H$6,CostProjections!$N$10:$W$10,0))*0.001,"")</f>
        <v>533.12192554111539</v>
      </c>
      <c r="I50" s="99">
        <f>IFERROR(INDEX(CostProjections!$N$11:$W$92,MATCH($C50,CostProjections!$L$11:$L$92,0),MATCH(I$6,CostProjections!$N$10:$W$10,0))*0.001,"")</f>
        <v>538.47451236596908</v>
      </c>
      <c r="J50" s="99">
        <f>IFERROR(INDEX(CostProjections!$N$11:$W$92,MATCH($C50,CostProjections!$L$11:$L$92,0),MATCH(J$6,CostProjections!$N$10:$W$10,0))*0.001,"")</f>
        <v>543.88083959117944</v>
      </c>
      <c r="K50" s="99">
        <f>IFERROR(INDEX(CostProjections!$N$11:$W$92,MATCH($C50,CostProjections!$L$11:$L$92,0),MATCH(K$6,CostProjections!$N$10:$W$10,0))*0.001,"")</f>
        <v>554.85687889156804</v>
      </c>
      <c r="L50" s="99"/>
      <c r="M50" s="99"/>
      <c r="N50" s="99"/>
      <c r="O50" s="99"/>
    </row>
    <row r="51" spans="1:15" x14ac:dyDescent="0.2">
      <c r="A51" s="1" t="s">
        <v>76</v>
      </c>
      <c r="B51" s="100" t="s">
        <v>121</v>
      </c>
      <c r="C51" s="100" t="s">
        <v>311</v>
      </c>
      <c r="D51" s="100" t="s">
        <v>349</v>
      </c>
      <c r="E51" s="100" t="s">
        <v>13</v>
      </c>
      <c r="F51" s="99">
        <f>IFERROR(INDEX(CostProjections!$N$11:$W$92,MATCH($C51,CostProjections!$L$11:$L$92,0),MATCH(F$6,CostProjections!$N$10:$W$10,0))*0.001,"")</f>
        <v>522.57584162425417</v>
      </c>
      <c r="G51" s="99">
        <f>IFERROR(INDEX(CostProjections!$N$11:$W$92,MATCH($C51,CostProjections!$L$11:$L$92,0),MATCH(G$6,CostProjections!$N$10:$W$10,0))*0.001,"")</f>
        <v>527.82254492205163</v>
      </c>
      <c r="H51" s="99">
        <f>IFERROR(INDEX(CostProjections!$N$11:$W$92,MATCH($C51,CostProjections!$L$11:$L$92,0),MATCH(H$6,CostProjections!$N$10:$W$10,0))*0.001,"")</f>
        <v>533.12192554111539</v>
      </c>
      <c r="I51" s="99">
        <f>IFERROR(INDEX(CostProjections!$N$11:$W$92,MATCH($C51,CostProjections!$L$11:$L$92,0),MATCH(I$6,CostProjections!$N$10:$W$10,0))*0.001,"")</f>
        <v>538.47451236596908</v>
      </c>
      <c r="J51" s="99">
        <f>IFERROR(INDEX(CostProjections!$N$11:$W$92,MATCH($C51,CostProjections!$L$11:$L$92,0),MATCH(J$6,CostProjections!$N$10:$W$10,0))*0.001,"")</f>
        <v>543.88083959117944</v>
      </c>
      <c r="K51" s="99">
        <f>IFERROR(INDEX(CostProjections!$N$11:$W$92,MATCH($C51,CostProjections!$L$11:$L$92,0),MATCH(K$6,CostProjections!$N$10:$W$10,0))*0.001,"")</f>
        <v>554.85687889156804</v>
      </c>
      <c r="L51" s="99"/>
      <c r="M51" s="99"/>
      <c r="N51" s="99"/>
      <c r="O51" s="99"/>
    </row>
    <row r="52" spans="1:15" x14ac:dyDescent="0.2">
      <c r="A52" s="1" t="s">
        <v>76</v>
      </c>
      <c r="B52" s="100" t="s">
        <v>122</v>
      </c>
      <c r="C52" s="100" t="s">
        <v>312</v>
      </c>
      <c r="D52" s="100" t="s">
        <v>349</v>
      </c>
      <c r="E52" s="100" t="s">
        <v>13</v>
      </c>
      <c r="F52" s="99">
        <f>IFERROR(INDEX(CostProjections!$N$11:$W$92,MATCH($C52,CostProjections!$L$11:$L$92,0),MATCH(F$6,CostProjections!$N$10:$W$10,0))*0.001,"")</f>
        <v>902.73536260054868</v>
      </c>
      <c r="G52" s="99">
        <f>IFERROR(INDEX(CostProjections!$N$11:$W$92,MATCH($C52,CostProjections!$L$11:$L$92,0),MATCH(G$6,CostProjections!$N$10:$W$10,0))*0.001,"")</f>
        <v>911.79889793213465</v>
      </c>
      <c r="H52" s="99">
        <f>IFERROR(INDEX(CostProjections!$N$11:$W$92,MATCH($C52,CostProjections!$L$11:$L$92,0),MATCH(H$6,CostProjections!$N$10:$W$10,0))*0.001,"")</f>
        <v>920.95343188425818</v>
      </c>
      <c r="I52" s="99">
        <f>IFERROR(INDEX(CostProjections!$N$11:$W$92,MATCH($C52,CostProjections!$L$11:$L$92,0),MATCH(I$6,CostProjections!$N$10:$W$10,0))*0.001,"")</f>
        <v>930.19987809035649</v>
      </c>
      <c r="J52" s="99">
        <f>IFERROR(INDEX(CostProjections!$N$11:$W$92,MATCH($C52,CostProjections!$L$11:$L$92,0),MATCH(J$6,CostProjections!$N$10:$W$10,0))*0.001,"")</f>
        <v>939.53915935681937</v>
      </c>
      <c r="K52" s="99">
        <f>IFERROR(INDEX(CostProjections!$N$11:$W$92,MATCH($C52,CostProjections!$L$11:$L$92,0),MATCH(K$6,CostProjections!$N$10:$W$10,0))*0.001,"")</f>
        <v>958.49996471467352</v>
      </c>
      <c r="L52" s="99"/>
      <c r="M52" s="99"/>
      <c r="N52" s="99"/>
      <c r="O52" s="99"/>
    </row>
    <row r="53" spans="1:15" x14ac:dyDescent="0.2">
      <c r="A53" s="1" t="s">
        <v>76</v>
      </c>
      <c r="B53" s="100" t="s">
        <v>123</v>
      </c>
      <c r="C53" s="100" t="s">
        <v>313</v>
      </c>
      <c r="D53" s="100" t="s">
        <v>349</v>
      </c>
      <c r="E53" s="100" t="s">
        <v>13</v>
      </c>
      <c r="F53" s="99">
        <f>IFERROR(INDEX(CostProjections!$N$11:$W$92,MATCH($C53,CostProjections!$L$11:$L$92,0),MATCH(F$6,CostProjections!$N$10:$W$10,0))*0.001,"")</f>
        <v>858.22359532891846</v>
      </c>
      <c r="G53" s="99">
        <f>IFERROR(INDEX(CostProjections!$N$11:$W$92,MATCH($C53,CostProjections!$L$11:$L$92,0),MATCH(G$6,CostProjections!$N$10:$W$10,0))*0.001,"")</f>
        <v>866.84022895259363</v>
      </c>
      <c r="H53" s="99">
        <f>IFERROR(INDEX(CostProjections!$N$11:$W$92,MATCH($C53,CostProjections!$L$11:$L$92,0),MATCH(H$6,CostProjections!$N$10:$W$10,0))*0.001,"")</f>
        <v>875.54337426787095</v>
      </c>
      <c r="I53" s="99">
        <f>IFERROR(INDEX(CostProjections!$N$11:$W$92,MATCH($C53,CostProjections!$L$11:$L$92,0),MATCH(I$6,CostProjections!$N$10:$W$10,0))*0.001,"")</f>
        <v>884.33389985906172</v>
      </c>
      <c r="J53" s="99">
        <f>IFERROR(INDEX(CostProjections!$N$11:$W$92,MATCH($C53,CostProjections!$L$11:$L$92,0),MATCH(J$6,CostProjections!$N$10:$W$10,0))*0.001,"")</f>
        <v>893.21268303113357</v>
      </c>
      <c r="K53" s="99">
        <f>IFERROR(INDEX(CostProjections!$N$11:$W$92,MATCH($C53,CostProjections!$L$11:$L$92,0),MATCH(K$6,CostProjections!$N$10:$W$10,0))*0.001,"")</f>
        <v>911.23857546728675</v>
      </c>
      <c r="L53" s="99"/>
      <c r="M53" s="99"/>
      <c r="N53" s="99"/>
      <c r="O53" s="99"/>
    </row>
    <row r="54" spans="1:15" x14ac:dyDescent="0.2">
      <c r="A54" s="1" t="s">
        <v>76</v>
      </c>
      <c r="B54" s="100" t="s">
        <v>124</v>
      </c>
      <c r="C54" s="100" t="s">
        <v>314</v>
      </c>
      <c r="D54" s="100" t="s">
        <v>349</v>
      </c>
      <c r="E54" s="100" t="s">
        <v>13</v>
      </c>
      <c r="F54" s="99">
        <f>IFERROR(INDEX(CostProjections!$N$11:$W$92,MATCH($C54,CostProjections!$L$11:$L$92,0),MATCH(F$6,CostProjections!$N$10:$W$10,0))*0.001,"")</f>
        <v>858.22359532891846</v>
      </c>
      <c r="G54" s="99">
        <f>IFERROR(INDEX(CostProjections!$N$11:$W$92,MATCH($C54,CostProjections!$L$11:$L$92,0),MATCH(G$6,CostProjections!$N$10:$W$10,0))*0.001,"")</f>
        <v>866.84022895259363</v>
      </c>
      <c r="H54" s="99">
        <f>IFERROR(INDEX(CostProjections!$N$11:$W$92,MATCH($C54,CostProjections!$L$11:$L$92,0),MATCH(H$6,CostProjections!$N$10:$W$10,0))*0.001,"")</f>
        <v>875.54337426787095</v>
      </c>
      <c r="I54" s="99">
        <f>IFERROR(INDEX(CostProjections!$N$11:$W$92,MATCH($C54,CostProjections!$L$11:$L$92,0),MATCH(I$6,CostProjections!$N$10:$W$10,0))*0.001,"")</f>
        <v>884.33389985906172</v>
      </c>
      <c r="J54" s="99">
        <f>IFERROR(INDEX(CostProjections!$N$11:$W$92,MATCH($C54,CostProjections!$L$11:$L$92,0),MATCH(J$6,CostProjections!$N$10:$W$10,0))*0.001,"")</f>
        <v>893.21268303113357</v>
      </c>
      <c r="K54" s="99">
        <f>IFERROR(INDEX(CostProjections!$N$11:$W$92,MATCH($C54,CostProjections!$L$11:$L$92,0),MATCH(K$6,CostProjections!$N$10:$W$10,0))*0.001,"")</f>
        <v>911.23857546728675</v>
      </c>
      <c r="L54" s="99"/>
      <c r="M54" s="99"/>
      <c r="N54" s="99"/>
      <c r="O54" s="99"/>
    </row>
    <row r="55" spans="1:15" x14ac:dyDescent="0.2">
      <c r="A55" s="1" t="s">
        <v>76</v>
      </c>
      <c r="B55" s="100" t="s">
        <v>125</v>
      </c>
      <c r="C55" s="100" t="s">
        <v>315</v>
      </c>
      <c r="D55" s="100" t="s">
        <v>349</v>
      </c>
      <c r="E55" s="100" t="s">
        <v>13</v>
      </c>
      <c r="F55" s="99">
        <f>IFERROR(INDEX(CostProjections!$N$11:$W$92,MATCH($C55,CostProjections!$L$11:$L$92,0),MATCH(F$6,CostProjections!$N$10:$W$10,0))*0.001,"")</f>
        <v>1128.5294733678718</v>
      </c>
      <c r="G55" s="99">
        <f>IFERROR(INDEX(CostProjections!$N$11:$W$92,MATCH($C55,CostProjections!$L$11:$L$92,0),MATCH(G$6,CostProjections!$N$10:$W$10,0))*0.001,"")</f>
        <v>1139.8599996531614</v>
      </c>
      <c r="H55" s="99">
        <f>IFERROR(INDEX(CostProjections!$N$11:$W$92,MATCH($C55,CostProjections!$L$11:$L$92,0),MATCH(H$6,CostProjections!$N$10:$W$10,0))*0.001,"")</f>
        <v>1151.3042853297043</v>
      </c>
      <c r="I55" s="99">
        <f>IFERROR(INDEX(CostProjections!$N$11:$W$92,MATCH($C55,CostProjections!$L$11:$L$92,0),MATCH(I$6,CostProjections!$N$10:$W$10,0))*0.001,"")</f>
        <v>1162.8634725508987</v>
      </c>
      <c r="J55" s="99">
        <f>IFERROR(INDEX(CostProjections!$N$11:$W$92,MATCH($C55,CostProjections!$L$11:$L$92,0),MATCH(J$6,CostProjections!$N$10:$W$10,0))*0.001,"")</f>
        <v>1174.5387149374535</v>
      </c>
      <c r="K55" s="99">
        <f>IFERROR(INDEX(CostProjections!$N$11:$W$92,MATCH($C55,CostProjections!$L$11:$L$92,0),MATCH(K$6,CostProjections!$N$10:$W$10,0))*0.001,"")</f>
        <v>1198.2420377179947</v>
      </c>
      <c r="L55" s="99"/>
      <c r="M55" s="99"/>
      <c r="N55" s="99"/>
      <c r="O55" s="99"/>
    </row>
    <row r="56" spans="1:15" x14ac:dyDescent="0.2">
      <c r="A56" s="1" t="s">
        <v>76</v>
      </c>
      <c r="B56" s="100" t="s">
        <v>126</v>
      </c>
      <c r="C56" s="100" t="s">
        <v>316</v>
      </c>
      <c r="D56" s="100" t="s">
        <v>349</v>
      </c>
      <c r="E56" s="100" t="s">
        <v>13</v>
      </c>
      <c r="F56" s="99">
        <f>IFERROR(INDEX(CostProjections!$N$11:$W$92,MATCH($C56,CostProjections!$L$11:$L$92,0),MATCH(F$6,CostProjections!$N$10:$W$10,0))*0.001,"")</f>
        <v>1128.5294733678718</v>
      </c>
      <c r="G56" s="99">
        <f>IFERROR(INDEX(CostProjections!$N$11:$W$92,MATCH($C56,CostProjections!$L$11:$L$92,0),MATCH(G$6,CostProjections!$N$10:$W$10,0))*0.001,"")</f>
        <v>1139.8599996531614</v>
      </c>
      <c r="H56" s="99">
        <f>IFERROR(INDEX(CostProjections!$N$11:$W$92,MATCH($C56,CostProjections!$L$11:$L$92,0),MATCH(H$6,CostProjections!$N$10:$W$10,0))*0.001,"")</f>
        <v>1151.3042853297043</v>
      </c>
      <c r="I56" s="99">
        <f>IFERROR(INDEX(CostProjections!$N$11:$W$92,MATCH($C56,CostProjections!$L$11:$L$92,0),MATCH(I$6,CostProjections!$N$10:$W$10,0))*0.001,"")</f>
        <v>1162.8634725508987</v>
      </c>
      <c r="J56" s="99">
        <f>IFERROR(INDEX(CostProjections!$N$11:$W$92,MATCH($C56,CostProjections!$L$11:$L$92,0),MATCH(J$6,CostProjections!$N$10:$W$10,0))*0.001,"")</f>
        <v>1174.5387149374535</v>
      </c>
      <c r="K56" s="99">
        <f>IFERROR(INDEX(CostProjections!$N$11:$W$92,MATCH($C56,CostProjections!$L$11:$L$92,0),MATCH(K$6,CostProjections!$N$10:$W$10,0))*0.001,"")</f>
        <v>1198.2420377179947</v>
      </c>
      <c r="L56" s="99"/>
      <c r="M56" s="99"/>
      <c r="N56" s="99"/>
      <c r="O56" s="99"/>
    </row>
    <row r="57" spans="1:15" x14ac:dyDescent="0.2">
      <c r="A57" s="1" t="s">
        <v>76</v>
      </c>
      <c r="B57" s="100" t="s">
        <v>127</v>
      </c>
      <c r="C57" s="100" t="s">
        <v>317</v>
      </c>
      <c r="D57" s="100" t="s">
        <v>349</v>
      </c>
      <c r="E57" s="100" t="s">
        <v>13</v>
      </c>
      <c r="F57" s="99">
        <f>IFERROR(INDEX(CostProjections!$N$11:$W$92,MATCH($C57,CostProjections!$L$11:$L$92,0),MATCH(F$6,CostProjections!$N$10:$W$10,0))*0.001,"")</f>
        <v>1128.5294733678718</v>
      </c>
      <c r="G57" s="99">
        <f>IFERROR(INDEX(CostProjections!$N$11:$W$92,MATCH($C57,CostProjections!$L$11:$L$92,0),MATCH(G$6,CostProjections!$N$10:$W$10,0))*0.001,"")</f>
        <v>1139.8599996531614</v>
      </c>
      <c r="H57" s="99">
        <f>IFERROR(INDEX(CostProjections!$N$11:$W$92,MATCH($C57,CostProjections!$L$11:$L$92,0),MATCH(H$6,CostProjections!$N$10:$W$10,0))*0.001,"")</f>
        <v>1151.3042853297043</v>
      </c>
      <c r="I57" s="99">
        <f>IFERROR(INDEX(CostProjections!$N$11:$W$92,MATCH($C57,CostProjections!$L$11:$L$92,0),MATCH(I$6,CostProjections!$N$10:$W$10,0))*0.001,"")</f>
        <v>1162.8634725508987</v>
      </c>
      <c r="J57" s="99">
        <f>IFERROR(INDEX(CostProjections!$N$11:$W$92,MATCH($C57,CostProjections!$L$11:$L$92,0),MATCH(J$6,CostProjections!$N$10:$W$10,0))*0.001,"")</f>
        <v>1174.5387149374535</v>
      </c>
      <c r="K57" s="99">
        <f>IFERROR(INDEX(CostProjections!$N$11:$W$92,MATCH($C57,CostProjections!$L$11:$L$92,0),MATCH(K$6,CostProjections!$N$10:$W$10,0))*0.001,"")</f>
        <v>1198.2420377179947</v>
      </c>
      <c r="L57" s="99"/>
      <c r="M57" s="99"/>
      <c r="N57" s="99"/>
      <c r="O57" s="99"/>
    </row>
    <row r="58" spans="1:15" x14ac:dyDescent="0.2">
      <c r="A58" s="1" t="s">
        <v>76</v>
      </c>
      <c r="B58" s="100" t="s">
        <v>128</v>
      </c>
      <c r="C58" s="100" t="s">
        <v>318</v>
      </c>
      <c r="D58" s="100" t="s">
        <v>349</v>
      </c>
      <c r="E58" s="100" t="s">
        <v>12</v>
      </c>
      <c r="F58" s="99">
        <f>IFERROR(INDEX(CostProjections!$N$11:$W$92,MATCH($C58,CostProjections!$L$11:$L$92,0),MATCH(F$6,CostProjections!$N$10:$W$10,0))*0.001,"")</f>
        <v>645.6084743842323</v>
      </c>
      <c r="G58" s="99">
        <f>IFERROR(INDEX(CostProjections!$N$11:$W$92,MATCH($C58,CostProjections!$L$11:$L$92,0),MATCH(G$6,CostProjections!$N$10:$W$10,0))*0.001,"")</f>
        <v>652.09043516739712</v>
      </c>
      <c r="H58" s="99">
        <f>IFERROR(INDEX(CostProjections!$N$11:$W$92,MATCH($C58,CostProjections!$L$11:$L$92,0),MATCH(H$6,CostProjections!$N$10:$W$10,0))*0.001,"")</f>
        <v>658.63747535590073</v>
      </c>
      <c r="I58" s="99">
        <f>IFERROR(INDEX(CostProjections!$N$11:$W$92,MATCH($C58,CostProjections!$L$11:$L$92,0),MATCH(I$6,CostProjections!$N$10:$W$10,0))*0.001,"")</f>
        <v>665.25024835218414</v>
      </c>
      <c r="J58" s="99">
        <f>IFERROR(INDEX(CostProjections!$N$11:$W$92,MATCH($C58,CostProjections!$L$11:$L$92,0),MATCH(J$6,CostProjections!$N$10:$W$10,0))*0.001,"")</f>
        <v>671.92941411890092</v>
      </c>
      <c r="K58" s="99">
        <f>IFERROR(INDEX(CostProjections!$N$11:$W$92,MATCH($C58,CostProjections!$L$11:$L$92,0),MATCH(K$6,CostProjections!$N$10:$W$10,0))*0.001,"")</f>
        <v>685.48959701116814</v>
      </c>
      <c r="L58" s="99"/>
      <c r="M58" s="99"/>
      <c r="N58" s="99"/>
      <c r="O58" s="99"/>
    </row>
    <row r="59" spans="1:15" x14ac:dyDescent="0.2">
      <c r="A59" s="1" t="s">
        <v>76</v>
      </c>
      <c r="B59" s="100" t="s">
        <v>129</v>
      </c>
      <c r="C59" s="100" t="s">
        <v>319</v>
      </c>
      <c r="D59" s="100" t="s">
        <v>349</v>
      </c>
      <c r="E59" s="100" t="s">
        <v>12</v>
      </c>
      <c r="F59" s="99">
        <f>IFERROR(INDEX(CostProjections!$N$11:$W$92,MATCH($C59,CostProjections!$L$11:$L$92,0),MATCH(F$6,CostProjections!$N$10:$W$10,0))*0.001,"")</f>
        <v>645.6084743842323</v>
      </c>
      <c r="G59" s="99">
        <f>IFERROR(INDEX(CostProjections!$N$11:$W$92,MATCH($C59,CostProjections!$L$11:$L$92,0),MATCH(G$6,CostProjections!$N$10:$W$10,0))*0.001,"")</f>
        <v>652.09043516739712</v>
      </c>
      <c r="H59" s="99">
        <f>IFERROR(INDEX(CostProjections!$N$11:$W$92,MATCH($C59,CostProjections!$L$11:$L$92,0),MATCH(H$6,CostProjections!$N$10:$W$10,0))*0.001,"")</f>
        <v>658.63747535590073</v>
      </c>
      <c r="I59" s="99">
        <f>IFERROR(INDEX(CostProjections!$N$11:$W$92,MATCH($C59,CostProjections!$L$11:$L$92,0),MATCH(I$6,CostProjections!$N$10:$W$10,0))*0.001,"")</f>
        <v>665.25024835218414</v>
      </c>
      <c r="J59" s="99">
        <f>IFERROR(INDEX(CostProjections!$N$11:$W$92,MATCH($C59,CostProjections!$L$11:$L$92,0),MATCH(J$6,CostProjections!$N$10:$W$10,0))*0.001,"")</f>
        <v>671.92941411890092</v>
      </c>
      <c r="K59" s="99">
        <f>IFERROR(INDEX(CostProjections!$N$11:$W$92,MATCH($C59,CostProjections!$L$11:$L$92,0),MATCH(K$6,CostProjections!$N$10:$W$10,0))*0.001,"")</f>
        <v>685.48959701116814</v>
      </c>
      <c r="L59" s="99"/>
      <c r="M59" s="99"/>
      <c r="N59" s="99"/>
      <c r="O59" s="99"/>
    </row>
    <row r="60" spans="1:15" x14ac:dyDescent="0.2">
      <c r="A60" s="1" t="s">
        <v>76</v>
      </c>
      <c r="B60" s="100" t="s">
        <v>130</v>
      </c>
      <c r="C60" s="100" t="s">
        <v>320</v>
      </c>
      <c r="D60" s="100" t="s">
        <v>349</v>
      </c>
      <c r="E60" s="100" t="s">
        <v>12</v>
      </c>
      <c r="F60" s="99">
        <f>IFERROR(INDEX(CostProjections!$N$11:$W$92,MATCH($C60,CostProjections!$L$11:$L$92,0),MATCH(F$6,CostProjections!$N$10:$W$10,0))*0.001,"")</f>
        <v>645.6084743842323</v>
      </c>
      <c r="G60" s="99">
        <f>IFERROR(INDEX(CostProjections!$N$11:$W$92,MATCH($C60,CostProjections!$L$11:$L$92,0),MATCH(G$6,CostProjections!$N$10:$W$10,0))*0.001,"")</f>
        <v>652.09043516739712</v>
      </c>
      <c r="H60" s="99">
        <f>IFERROR(INDEX(CostProjections!$N$11:$W$92,MATCH($C60,CostProjections!$L$11:$L$92,0),MATCH(H$6,CostProjections!$N$10:$W$10,0))*0.001,"")</f>
        <v>658.63747535590073</v>
      </c>
      <c r="I60" s="99">
        <f>IFERROR(INDEX(CostProjections!$N$11:$W$92,MATCH($C60,CostProjections!$L$11:$L$92,0),MATCH(I$6,CostProjections!$N$10:$W$10,0))*0.001,"")</f>
        <v>665.25024835218414</v>
      </c>
      <c r="J60" s="99">
        <f>IFERROR(INDEX(CostProjections!$N$11:$W$92,MATCH($C60,CostProjections!$L$11:$L$92,0),MATCH(J$6,CostProjections!$N$10:$W$10,0))*0.001,"")</f>
        <v>671.92941411890092</v>
      </c>
      <c r="K60" s="99">
        <f>IFERROR(INDEX(CostProjections!$N$11:$W$92,MATCH($C60,CostProjections!$L$11:$L$92,0),MATCH(K$6,CostProjections!$N$10:$W$10,0))*0.001,"")</f>
        <v>685.48959701116814</v>
      </c>
      <c r="L60" s="99"/>
      <c r="M60" s="99"/>
      <c r="N60" s="99"/>
      <c r="O60" s="99"/>
    </row>
    <row r="61" spans="1:15" x14ac:dyDescent="0.2">
      <c r="A61" s="1" t="s">
        <v>76</v>
      </c>
      <c r="B61" s="100" t="s">
        <v>131</v>
      </c>
      <c r="C61" s="100" t="s">
        <v>321</v>
      </c>
      <c r="D61" s="100" t="s">
        <v>349</v>
      </c>
      <c r="E61" s="100" t="s">
        <v>12</v>
      </c>
      <c r="F61" s="99">
        <f>IFERROR(INDEX(CostProjections!$N$11:$W$92,MATCH($C61,CostProjections!$L$11:$L$92,0),MATCH(F$6,CostProjections!$N$10:$W$10,0))*0.001,"")</f>
        <v>1086.2358398404897</v>
      </c>
      <c r="G61" s="99">
        <f>IFERROR(INDEX(CostProjections!$N$11:$W$92,MATCH($C61,CostProjections!$L$11:$L$92,0),MATCH(G$6,CostProjections!$N$10:$W$10,0))*0.001,"")</f>
        <v>1097.1417346582889</v>
      </c>
      <c r="H61" s="99">
        <f>IFERROR(INDEX(CostProjections!$N$11:$W$92,MATCH($C61,CostProjections!$L$11:$L$92,0),MATCH(H$6,CostProjections!$N$10:$W$10,0))*0.001,"")</f>
        <v>1108.1571255334031</v>
      </c>
      <c r="I61" s="99">
        <f>IFERROR(INDEX(CostProjections!$N$11:$W$92,MATCH($C61,CostProjections!$L$11:$L$92,0),MATCH(I$6,CostProjections!$N$10:$W$10,0))*0.001,"")</f>
        <v>1119.2831118150168</v>
      </c>
      <c r="J61" s="99">
        <f>IFERROR(INDEX(CostProjections!$N$11:$W$92,MATCH($C61,CostProjections!$L$11:$L$92,0),MATCH(J$6,CostProjections!$N$10:$W$10,0))*0.001,"")</f>
        <v>1130.5208038898666</v>
      </c>
      <c r="K61" s="99">
        <f>IFERROR(INDEX(CostProjections!$N$11:$W$92,MATCH($C61,CostProjections!$L$11:$L$92,0),MATCH(K$6,CostProjections!$N$10:$W$10,0))*0.001,"")</f>
        <v>1153.3358028200171</v>
      </c>
      <c r="L61" s="99"/>
      <c r="M61" s="99"/>
      <c r="N61" s="99"/>
      <c r="O61" s="99"/>
    </row>
    <row r="62" spans="1:15" x14ac:dyDescent="0.2">
      <c r="A62" s="1" t="s">
        <v>76</v>
      </c>
      <c r="B62" s="100" t="s">
        <v>132</v>
      </c>
      <c r="C62" s="100" t="s">
        <v>322</v>
      </c>
      <c r="D62" s="100" t="s">
        <v>349</v>
      </c>
      <c r="E62" s="100" t="s">
        <v>12</v>
      </c>
      <c r="F62" s="99">
        <f>IFERROR(INDEX(CostProjections!$N$11:$W$92,MATCH($C62,CostProjections!$L$11:$L$92,0),MATCH(F$6,CostProjections!$N$10:$W$10,0))*0.001,"")</f>
        <v>991.12866157757253</v>
      </c>
      <c r="G62" s="99">
        <f>IFERROR(INDEX(CostProjections!$N$11:$W$92,MATCH($C62,CostProjections!$L$11:$L$92,0),MATCH(G$6,CostProjections!$N$10:$W$10,0))*0.001,"")</f>
        <v>1001.0796727094262</v>
      </c>
      <c r="H62" s="99">
        <f>IFERROR(INDEX(CostProjections!$N$11:$W$92,MATCH($C62,CostProjections!$L$11:$L$92,0),MATCH(H$6,CostProjections!$N$10:$W$10,0))*0.001,"")</f>
        <v>1011.130592789921</v>
      </c>
      <c r="I62" s="99">
        <f>IFERROR(INDEX(CostProjections!$N$11:$W$92,MATCH($C62,CostProjections!$L$11:$L$92,0),MATCH(I$6,CostProjections!$N$10:$W$10,0))*0.001,"")</f>
        <v>1021.282424912902</v>
      </c>
      <c r="J62" s="99">
        <f>IFERROR(INDEX(CostProjections!$N$11:$W$92,MATCH($C62,CostProjections!$L$11:$L$92,0),MATCH(J$6,CostProjections!$N$10:$W$10,0))*0.001,"")</f>
        <v>1031.5361822433565</v>
      </c>
      <c r="K62" s="99">
        <f>IFERROR(INDEX(CostProjections!$N$11:$W$92,MATCH($C62,CostProjections!$L$11:$L$92,0),MATCH(K$6,CostProjections!$N$10:$W$10,0))*0.001,"")</f>
        <v>1052.3535761500559</v>
      </c>
      <c r="L62" s="99"/>
      <c r="M62" s="99"/>
      <c r="N62" s="99"/>
      <c r="O62" s="99"/>
    </row>
    <row r="63" spans="1:15" x14ac:dyDescent="0.2">
      <c r="A63" s="1" t="s">
        <v>76</v>
      </c>
      <c r="B63" s="100" t="s">
        <v>133</v>
      </c>
      <c r="C63" s="100" t="s">
        <v>323</v>
      </c>
      <c r="D63" s="100" t="s">
        <v>349</v>
      </c>
      <c r="E63" s="100" t="s">
        <v>12</v>
      </c>
      <c r="F63" s="99">
        <f>IFERROR(INDEX(CostProjections!$N$11:$W$92,MATCH($C63,CostProjections!$L$11:$L$92,0),MATCH(F$6,CostProjections!$N$10:$W$10,0))*0.001,"")</f>
        <v>991.12866157757253</v>
      </c>
      <c r="G63" s="99">
        <f>IFERROR(INDEX(CostProjections!$N$11:$W$92,MATCH($C63,CostProjections!$L$11:$L$92,0),MATCH(G$6,CostProjections!$N$10:$W$10,0))*0.001,"")</f>
        <v>1001.0796727094262</v>
      </c>
      <c r="H63" s="99">
        <f>IFERROR(INDEX(CostProjections!$N$11:$W$92,MATCH($C63,CostProjections!$L$11:$L$92,0),MATCH(H$6,CostProjections!$N$10:$W$10,0))*0.001,"")</f>
        <v>1011.130592789921</v>
      </c>
      <c r="I63" s="99">
        <f>IFERROR(INDEX(CostProjections!$N$11:$W$92,MATCH($C63,CostProjections!$L$11:$L$92,0),MATCH(I$6,CostProjections!$N$10:$W$10,0))*0.001,"")</f>
        <v>1021.282424912902</v>
      </c>
      <c r="J63" s="99">
        <f>IFERROR(INDEX(CostProjections!$N$11:$W$92,MATCH($C63,CostProjections!$L$11:$L$92,0),MATCH(J$6,CostProjections!$N$10:$W$10,0))*0.001,"")</f>
        <v>1031.5361822433565</v>
      </c>
      <c r="K63" s="99">
        <f>IFERROR(INDEX(CostProjections!$N$11:$W$92,MATCH($C63,CostProjections!$L$11:$L$92,0),MATCH(K$6,CostProjections!$N$10:$W$10,0))*0.001,"")</f>
        <v>1052.3535761500559</v>
      </c>
      <c r="L63" s="99"/>
      <c r="M63" s="99"/>
      <c r="N63" s="99"/>
      <c r="O63" s="99"/>
    </row>
    <row r="64" spans="1:15" x14ac:dyDescent="0.2">
      <c r="A64" s="1" t="s">
        <v>76</v>
      </c>
      <c r="B64" s="100" t="s">
        <v>134</v>
      </c>
      <c r="C64" s="100" t="s">
        <v>324</v>
      </c>
      <c r="D64" s="100" t="s">
        <v>349</v>
      </c>
      <c r="E64" s="100" t="s">
        <v>12</v>
      </c>
      <c r="F64" s="99">
        <f>IFERROR(INDEX(CostProjections!$N$11:$W$92,MATCH($C64,CostProjections!$L$11:$L$92,0),MATCH(F$6,CostProjections!$N$10:$W$10,0))*0.001,"")</f>
        <v>1308.7827191732849</v>
      </c>
      <c r="G64" s="99">
        <f>IFERROR(INDEX(CostProjections!$N$11:$W$92,MATCH($C64,CostProjections!$L$11:$L$92,0),MATCH(G$6,CostProjections!$N$10:$W$10,0))*0.001,"")</f>
        <v>1321.9230024811466</v>
      </c>
      <c r="H64" s="99">
        <f>IFERROR(INDEX(CostProjections!$N$11:$W$92,MATCH($C64,CostProjections!$L$11:$L$92,0),MATCH(H$6,CostProjections!$N$10:$W$10,0))*0.001,"")</f>
        <v>1335.1952152856936</v>
      </c>
      <c r="I64" s="99">
        <f>IFERROR(INDEX(CostProjections!$N$11:$W$92,MATCH($C64,CostProjections!$L$11:$L$92,0),MATCH(I$6,CostProjections!$N$10:$W$10,0))*0.001,"")</f>
        <v>1348.6006821696374</v>
      </c>
      <c r="J64" s="99">
        <f>IFERROR(INDEX(CostProjections!$N$11:$W$92,MATCH($C64,CostProjections!$L$11:$L$92,0),MATCH(J$6,CostProjections!$N$10:$W$10,0))*0.001,"")</f>
        <v>1362.1407410146062</v>
      </c>
      <c r="K64" s="99">
        <f>IFERROR(INDEX(CostProjections!$N$11:$W$92,MATCH($C64,CostProjections!$L$11:$L$92,0),MATCH(K$6,CostProjections!$N$10:$W$10,0))*0.001,"")</f>
        <v>1389.6300534111874</v>
      </c>
      <c r="L64" s="99"/>
      <c r="M64" s="99"/>
      <c r="N64" s="99"/>
      <c r="O64" s="99"/>
    </row>
    <row r="65" spans="1:15" x14ac:dyDescent="0.2">
      <c r="A65" s="1" t="s">
        <v>76</v>
      </c>
      <c r="B65" s="100" t="s">
        <v>135</v>
      </c>
      <c r="C65" s="100" t="s">
        <v>325</v>
      </c>
      <c r="D65" s="100" t="s">
        <v>349</v>
      </c>
      <c r="E65" s="100" t="s">
        <v>12</v>
      </c>
      <c r="F65" s="99">
        <f>IFERROR(INDEX(CostProjections!$N$11:$W$92,MATCH($C65,CostProjections!$L$11:$L$92,0),MATCH(F$6,CostProjections!$N$10:$W$10,0))*0.001,"")</f>
        <v>1308.7827191732849</v>
      </c>
      <c r="G65" s="99">
        <f>IFERROR(INDEX(CostProjections!$N$11:$W$92,MATCH($C65,CostProjections!$L$11:$L$92,0),MATCH(G$6,CostProjections!$N$10:$W$10,0))*0.001,"")</f>
        <v>1321.9230024811466</v>
      </c>
      <c r="H65" s="99">
        <f>IFERROR(INDEX(CostProjections!$N$11:$W$92,MATCH($C65,CostProjections!$L$11:$L$92,0),MATCH(H$6,CostProjections!$N$10:$W$10,0))*0.001,"")</f>
        <v>1335.1952152856936</v>
      </c>
      <c r="I65" s="99">
        <f>IFERROR(INDEX(CostProjections!$N$11:$W$92,MATCH($C65,CostProjections!$L$11:$L$92,0),MATCH(I$6,CostProjections!$N$10:$W$10,0))*0.001,"")</f>
        <v>1348.6006821696374</v>
      </c>
      <c r="J65" s="99">
        <f>IFERROR(INDEX(CostProjections!$N$11:$W$92,MATCH($C65,CostProjections!$L$11:$L$92,0),MATCH(J$6,CostProjections!$N$10:$W$10,0))*0.001,"")</f>
        <v>1362.1407410146062</v>
      </c>
      <c r="K65" s="99">
        <f>IFERROR(INDEX(CostProjections!$N$11:$W$92,MATCH($C65,CostProjections!$L$11:$L$92,0),MATCH(K$6,CostProjections!$N$10:$W$10,0))*0.001,"")</f>
        <v>1389.6300534111874</v>
      </c>
      <c r="L65" s="99"/>
      <c r="M65" s="99"/>
      <c r="N65" s="99"/>
      <c r="O65" s="99"/>
    </row>
    <row r="66" spans="1:15" x14ac:dyDescent="0.2">
      <c r="A66" s="1" t="s">
        <v>76</v>
      </c>
      <c r="B66" s="100" t="s">
        <v>136</v>
      </c>
      <c r="C66" s="100" t="s">
        <v>326</v>
      </c>
      <c r="D66" s="100" t="s">
        <v>349</v>
      </c>
      <c r="E66" s="100" t="s">
        <v>12</v>
      </c>
      <c r="F66" s="99">
        <f>IFERROR(INDEX(CostProjections!$N$11:$W$92,MATCH($C66,CostProjections!$L$11:$L$92,0),MATCH(F$6,CostProjections!$N$10:$W$10,0))*0.001,"")</f>
        <v>1308.7827191732849</v>
      </c>
      <c r="G66" s="99">
        <f>IFERROR(INDEX(CostProjections!$N$11:$W$92,MATCH($C66,CostProjections!$L$11:$L$92,0),MATCH(G$6,CostProjections!$N$10:$W$10,0))*0.001,"")</f>
        <v>1321.9230024811466</v>
      </c>
      <c r="H66" s="99">
        <f>IFERROR(INDEX(CostProjections!$N$11:$W$92,MATCH($C66,CostProjections!$L$11:$L$92,0),MATCH(H$6,CostProjections!$N$10:$W$10,0))*0.001,"")</f>
        <v>1335.1952152856936</v>
      </c>
      <c r="I66" s="99">
        <f>IFERROR(INDEX(CostProjections!$N$11:$W$92,MATCH($C66,CostProjections!$L$11:$L$92,0),MATCH(I$6,CostProjections!$N$10:$W$10,0))*0.001,"")</f>
        <v>1348.6006821696374</v>
      </c>
      <c r="J66" s="99">
        <f>IFERROR(INDEX(CostProjections!$N$11:$W$92,MATCH($C66,CostProjections!$L$11:$L$92,0),MATCH(J$6,CostProjections!$N$10:$W$10,0))*0.001,"")</f>
        <v>1362.1407410146062</v>
      </c>
      <c r="K66" s="99">
        <f>IFERROR(INDEX(CostProjections!$N$11:$W$92,MATCH($C66,CostProjections!$L$11:$L$92,0),MATCH(K$6,CostProjections!$N$10:$W$10,0))*0.001,"")</f>
        <v>1389.6300534111874</v>
      </c>
      <c r="L66" s="99"/>
      <c r="M66" s="99"/>
      <c r="N66" s="99"/>
      <c r="O66" s="99"/>
    </row>
    <row r="67" spans="1:15" x14ac:dyDescent="0.2">
      <c r="B67" s="100" t="s">
        <v>137</v>
      </c>
      <c r="C67" s="100" t="s">
        <v>327</v>
      </c>
      <c r="D67" s="100" t="s">
        <v>349</v>
      </c>
      <c r="E67" s="100" t="s">
        <v>9</v>
      </c>
      <c r="F67" s="99">
        <f>IFERROR(INDEX(CostProjections!$N$11:$W$92,MATCH($C67,CostProjections!$L$11:$L$92,0),MATCH(F$6,CostProjections!$N$10:$W$10,0))*0.001,"")</f>
        <v>1161.917203295312</v>
      </c>
      <c r="G67" s="99">
        <f>IFERROR(INDEX(CostProjections!$N$11:$W$92,MATCH($C67,CostProjections!$L$11:$L$92,0),MATCH(G$6,CostProjections!$N$10:$W$10,0))*0.001,"")</f>
        <v>741.33169239598556</v>
      </c>
      <c r="H67" s="99">
        <f>IFERROR(INDEX(CostProjections!$N$11:$W$92,MATCH($C67,CostProjections!$L$11:$L$92,0),MATCH(H$6,CostProjections!$N$10:$W$10,0))*0.001,"")</f>
        <v>619.67980717360467</v>
      </c>
      <c r="I67" s="99">
        <f>IFERROR(INDEX(CostProjections!$N$11:$W$92,MATCH($C67,CostProjections!$L$11:$L$92,0),MATCH(I$6,CostProjections!$N$10:$W$10,0))*0.001,"")</f>
        <v>600.81135150645662</v>
      </c>
      <c r="J67" s="99">
        <f>IFERROR(INDEX(CostProjections!$N$11:$W$92,MATCH($C67,CostProjections!$L$11:$L$92,0),MATCH(J$6,CostProjections!$N$10:$W$10,0))*0.001,"")</f>
        <v>581.94289583931152</v>
      </c>
      <c r="K67" s="99">
        <f>IFERROR(INDEX(CostProjections!$N$11:$W$92,MATCH($C67,CostProjections!$L$11:$L$92,0),MATCH(K$6,CostProjections!$N$10:$W$10,0))*0.001,"")</f>
        <v>544.20598450502132</v>
      </c>
      <c r="L67" s="99"/>
      <c r="M67" s="99"/>
      <c r="N67" s="99"/>
      <c r="O67" s="99"/>
    </row>
    <row r="68" spans="1:15" x14ac:dyDescent="0.2">
      <c r="B68" s="100" t="s">
        <v>138</v>
      </c>
      <c r="C68" s="100" t="s">
        <v>328</v>
      </c>
      <c r="D68" s="100" t="s">
        <v>349</v>
      </c>
      <c r="E68" s="100" t="s">
        <v>9</v>
      </c>
      <c r="F68" s="99">
        <f>IFERROR(INDEX(CostProjections!$N$11:$W$92,MATCH($C68,CostProjections!$L$11:$L$92,0),MATCH(F$6,CostProjections!$N$10:$W$10,0))*0.001,"")</f>
        <v>1161.917203295312</v>
      </c>
      <c r="G68" s="99">
        <f>IFERROR(INDEX(CostProjections!$N$11:$W$92,MATCH($C68,CostProjections!$L$11:$L$92,0),MATCH(G$6,CostProjections!$N$10:$W$10,0))*0.001,"")</f>
        <v>741.33169239598556</v>
      </c>
      <c r="H68" s="99">
        <f>IFERROR(INDEX(CostProjections!$N$11:$W$92,MATCH($C68,CostProjections!$L$11:$L$92,0),MATCH(H$6,CostProjections!$N$10:$W$10,0))*0.001,"")</f>
        <v>619.67980717360467</v>
      </c>
      <c r="I68" s="99">
        <f>IFERROR(INDEX(CostProjections!$N$11:$W$92,MATCH($C68,CostProjections!$L$11:$L$92,0),MATCH(I$6,CostProjections!$N$10:$W$10,0))*0.001,"")</f>
        <v>600.81135150645662</v>
      </c>
      <c r="J68" s="99">
        <f>IFERROR(INDEX(CostProjections!$N$11:$W$92,MATCH($C68,CostProjections!$L$11:$L$92,0),MATCH(J$6,CostProjections!$N$10:$W$10,0))*0.001,"")</f>
        <v>581.94289583931152</v>
      </c>
      <c r="K68" s="99">
        <f>IFERROR(INDEX(CostProjections!$N$11:$W$92,MATCH($C68,CostProjections!$L$11:$L$92,0),MATCH(K$6,CostProjections!$N$10:$W$10,0))*0.001,"")</f>
        <v>544.20598450502132</v>
      </c>
      <c r="L68" s="99"/>
      <c r="M68" s="99"/>
      <c r="N68" s="99"/>
      <c r="O68" s="99"/>
    </row>
    <row r="69" spans="1:15" x14ac:dyDescent="0.2">
      <c r="B69" s="100" t="s">
        <v>139</v>
      </c>
      <c r="C69" s="100" t="s">
        <v>329</v>
      </c>
      <c r="D69" s="100" t="s">
        <v>349</v>
      </c>
      <c r="E69" s="100" t="s">
        <v>9</v>
      </c>
      <c r="F69" s="99">
        <f>IFERROR(INDEX(CostProjections!$N$11:$W$92,MATCH($C69,CostProjections!$L$11:$L$92,0),MATCH(F$6,CostProjections!$N$10:$W$10,0))*0.001,"")</f>
        <v>1161.917203295312</v>
      </c>
      <c r="G69" s="99">
        <f>IFERROR(INDEX(CostProjections!$N$11:$W$92,MATCH($C69,CostProjections!$L$11:$L$92,0),MATCH(G$6,CostProjections!$N$10:$W$10,0))*0.001,"")</f>
        <v>741.33169239598556</v>
      </c>
      <c r="H69" s="99">
        <f>IFERROR(INDEX(CostProjections!$N$11:$W$92,MATCH($C69,CostProjections!$L$11:$L$92,0),MATCH(H$6,CostProjections!$N$10:$W$10,0))*0.001,"")</f>
        <v>619.67980717360467</v>
      </c>
      <c r="I69" s="99">
        <f>IFERROR(INDEX(CostProjections!$N$11:$W$92,MATCH($C69,CostProjections!$L$11:$L$92,0),MATCH(I$6,CostProjections!$N$10:$W$10,0))*0.001,"")</f>
        <v>600.81135150645662</v>
      </c>
      <c r="J69" s="99">
        <f>IFERROR(INDEX(CostProjections!$N$11:$W$92,MATCH($C69,CostProjections!$L$11:$L$92,0),MATCH(J$6,CostProjections!$N$10:$W$10,0))*0.001,"")</f>
        <v>581.94289583931152</v>
      </c>
      <c r="K69" s="99">
        <f>IFERROR(INDEX(CostProjections!$N$11:$W$92,MATCH($C69,CostProjections!$L$11:$L$92,0),MATCH(K$6,CostProjections!$N$10:$W$10,0))*0.001,"")</f>
        <v>544.20598450502132</v>
      </c>
      <c r="L69" s="99"/>
      <c r="M69" s="99"/>
      <c r="N69" s="99"/>
      <c r="O69" s="99"/>
    </row>
    <row r="70" spans="1:15" x14ac:dyDescent="0.2">
      <c r="B70" s="100" t="s">
        <v>185</v>
      </c>
      <c r="C70" s="100" t="s">
        <v>330</v>
      </c>
      <c r="D70" s="100" t="s">
        <v>349</v>
      </c>
      <c r="E70" s="100" t="s">
        <v>9</v>
      </c>
      <c r="F70" s="99">
        <f>IFERROR(INDEX(CostProjections!$N$11:$W$92,MATCH($C70,CostProjections!$L$11:$L$92,0),MATCH(F$6,CostProjections!$N$10:$W$10,0))*0.001,"")</f>
        <v>2007.179942663324</v>
      </c>
      <c r="G70" s="99">
        <f>IFERROR(INDEX(CostProjections!$N$11:$W$92,MATCH($C70,CostProjections!$L$11:$L$92,0),MATCH(G$6,CostProjections!$N$10:$W$10,0))*0.001,"")</f>
        <v>1280.6300652213461</v>
      </c>
      <c r="H70" s="99">
        <f>IFERROR(INDEX(CostProjections!$N$11:$W$92,MATCH($C70,CostProjections!$L$11:$L$92,0),MATCH(H$6,CostProjections!$N$10:$W$10,0))*0.001,"")</f>
        <v>1070.4797866016361</v>
      </c>
      <c r="I70" s="99">
        <f>IFERROR(INDEX(CostProjections!$N$11:$W$92,MATCH($C70,CostProjections!$L$11:$L$92,0),MATCH(I$6,CostProjections!$N$10:$W$10,0))*0.001,"")</f>
        <v>1037.885049509594</v>
      </c>
      <c r="J70" s="99">
        <f>IFERROR(INDEX(CostProjections!$N$11:$W$92,MATCH($C70,CostProjections!$L$11:$L$92,0),MATCH(J$6,CostProjections!$N$10:$W$10,0))*0.001,"")</f>
        <v>1005.2903124175569</v>
      </c>
      <c r="K70" s="99">
        <f>IFERROR(INDEX(CostProjections!$N$11:$W$92,MATCH($C70,CostProjections!$L$11:$L$92,0),MATCH(K$6,CostProjections!$N$10:$W$10,0))*0.001,"")</f>
        <v>940.10083823348259</v>
      </c>
      <c r="L70" s="99"/>
      <c r="M70" s="99"/>
      <c r="N70" s="99"/>
      <c r="O70" s="99"/>
    </row>
    <row r="71" spans="1:15" x14ac:dyDescent="0.2">
      <c r="B71" s="100" t="s">
        <v>186</v>
      </c>
      <c r="C71" s="100" t="s">
        <v>331</v>
      </c>
      <c r="D71" s="100" t="s">
        <v>349</v>
      </c>
      <c r="E71" s="100" t="s">
        <v>9</v>
      </c>
      <c r="F71" s="99">
        <f>IFERROR(INDEX(CostProjections!$N$11:$W$92,MATCH($C71,CostProjections!$L$11:$L$92,0),MATCH(F$6,CostProjections!$N$10:$W$10,0))*0.001,"")</f>
        <v>1908.21059884285</v>
      </c>
      <c r="G71" s="99">
        <f>IFERROR(INDEX(CostProjections!$N$11:$W$92,MATCH($C71,CostProjections!$L$11:$L$92,0),MATCH(G$6,CostProjections!$N$10:$W$10,0))*0.001,"")</f>
        <v>1217.4851948797502</v>
      </c>
      <c r="H71" s="99">
        <f>IFERROR(INDEX(CostProjections!$N$11:$W$92,MATCH($C71,CostProjections!$L$11:$L$92,0),MATCH(H$6,CostProjections!$N$10:$W$10,0))*0.001,"")</f>
        <v>1017.6969345009586</v>
      </c>
      <c r="I71" s="99">
        <f>IFERROR(INDEX(CostProjections!$N$11:$W$92,MATCH($C71,CostProjections!$L$11:$L$92,0),MATCH(I$6,CostProjections!$N$10:$W$10,0))*0.001,"")</f>
        <v>986.709367585059</v>
      </c>
      <c r="J71" s="99">
        <f>IFERROR(INDEX(CostProjections!$N$11:$W$92,MATCH($C71,CostProjections!$L$11:$L$92,0),MATCH(J$6,CostProjections!$N$10:$W$10,0))*0.001,"")</f>
        <v>955.72180066916428</v>
      </c>
      <c r="K71" s="99">
        <f>IFERROR(INDEX(CostProjections!$N$11:$W$92,MATCH($C71,CostProjections!$L$11:$L$92,0),MATCH(K$6,CostProjections!$N$10:$W$10,0))*0.001,"")</f>
        <v>893.74666683737496</v>
      </c>
      <c r="L71" s="99"/>
      <c r="M71" s="99"/>
      <c r="N71" s="99"/>
      <c r="O71" s="99"/>
    </row>
    <row r="72" spans="1:15" x14ac:dyDescent="0.2">
      <c r="B72" s="100" t="s">
        <v>187</v>
      </c>
      <c r="C72" s="100" t="s">
        <v>332</v>
      </c>
      <c r="D72" s="100" t="s">
        <v>349</v>
      </c>
      <c r="E72" s="100" t="s">
        <v>9</v>
      </c>
      <c r="F72" s="99">
        <f>IFERROR(INDEX(CostProjections!$N$11:$W$92,MATCH($C72,CostProjections!$L$11:$L$92,0),MATCH(F$6,CostProjections!$N$10:$W$10,0))*0.001,"")</f>
        <v>1908.21059884285</v>
      </c>
      <c r="G72" s="99">
        <f>IFERROR(INDEX(CostProjections!$N$11:$W$92,MATCH($C72,CostProjections!$L$11:$L$92,0),MATCH(G$6,CostProjections!$N$10:$W$10,0))*0.001,"")</f>
        <v>1217.4851948797502</v>
      </c>
      <c r="H72" s="99">
        <f>IFERROR(INDEX(CostProjections!$N$11:$W$92,MATCH($C72,CostProjections!$L$11:$L$92,0),MATCH(H$6,CostProjections!$N$10:$W$10,0))*0.001,"")</f>
        <v>1017.6969345009586</v>
      </c>
      <c r="I72" s="99">
        <f>IFERROR(INDEX(CostProjections!$N$11:$W$92,MATCH($C72,CostProjections!$L$11:$L$92,0),MATCH(I$6,CostProjections!$N$10:$W$10,0))*0.001,"")</f>
        <v>986.709367585059</v>
      </c>
      <c r="J72" s="99">
        <f>IFERROR(INDEX(CostProjections!$N$11:$W$92,MATCH($C72,CostProjections!$L$11:$L$92,0),MATCH(J$6,CostProjections!$N$10:$W$10,0))*0.001,"")</f>
        <v>955.72180066916428</v>
      </c>
      <c r="K72" s="99">
        <f>IFERROR(INDEX(CostProjections!$N$11:$W$92,MATCH($C72,CostProjections!$L$11:$L$92,0),MATCH(K$6,CostProjections!$N$10:$W$10,0))*0.001,"")</f>
        <v>893.74666683737496</v>
      </c>
      <c r="L72" s="99"/>
      <c r="M72" s="99"/>
      <c r="N72" s="99"/>
      <c r="O72" s="99"/>
    </row>
    <row r="73" spans="1:15" x14ac:dyDescent="0.2">
      <c r="B73" s="100" t="s">
        <v>188</v>
      </c>
      <c r="C73" s="100" t="s">
        <v>333</v>
      </c>
      <c r="D73" s="100" t="s">
        <v>349</v>
      </c>
      <c r="E73" s="100" t="s">
        <v>9</v>
      </c>
      <c r="F73" s="99">
        <f>IFERROR(INDEX(CostProjections!$N$11:$W$92,MATCH($C73,CostProjections!$L$11:$L$92,0),MATCH(F$6,CostProjections!$N$10:$W$10,0))*0.001,"")</f>
        <v>2509.2201075662383</v>
      </c>
      <c r="G73" s="99">
        <f>IFERROR(INDEX(CostProjections!$N$11:$W$92,MATCH($C73,CostProjections!$L$11:$L$92,0),MATCH(G$6,CostProjections!$N$10:$W$10,0))*0.001,"")</f>
        <v>1600.944011897325</v>
      </c>
      <c r="H73" s="99">
        <f>IFERROR(INDEX(CostProjections!$N$11:$W$92,MATCH($C73,CostProjections!$L$11:$L$92,0),MATCH(H$6,CostProjections!$N$10:$W$10,0))*0.001,"")</f>
        <v>1338.2304935350739</v>
      </c>
      <c r="I73" s="99">
        <f>IFERROR(INDEX(CostProjections!$N$11:$W$92,MATCH($C73,CostProjections!$L$11:$L$92,0),MATCH(I$6,CostProjections!$N$10:$W$10,0))*0.001,"")</f>
        <v>1297.4830906870445</v>
      </c>
      <c r="J73" s="99">
        <f>IFERROR(INDEX(CostProjections!$N$11:$W$92,MATCH($C73,CostProjections!$L$11:$L$92,0),MATCH(J$6,CostProjections!$N$10:$W$10,0))*0.001,"")</f>
        <v>1256.7356878390212</v>
      </c>
      <c r="K73" s="99">
        <f>IFERROR(INDEX(CostProjections!$N$11:$W$92,MATCH($C73,CostProjections!$L$11:$L$92,0),MATCH(K$6,CostProjections!$N$10:$W$10,0))*0.001,"")</f>
        <v>1175.2408821429744</v>
      </c>
      <c r="L73" s="99"/>
      <c r="M73" s="99"/>
      <c r="N73" s="99"/>
      <c r="O73" s="99"/>
    </row>
    <row r="74" spans="1:15" x14ac:dyDescent="0.2">
      <c r="B74" s="100" t="s">
        <v>189</v>
      </c>
      <c r="C74" s="100" t="s">
        <v>334</v>
      </c>
      <c r="D74" s="100" t="s">
        <v>349</v>
      </c>
      <c r="E74" s="100" t="s">
        <v>9</v>
      </c>
      <c r="F74" s="99">
        <f>IFERROR(INDEX(CostProjections!$N$11:$W$92,MATCH($C74,CostProjections!$L$11:$L$92,0),MATCH(F$6,CostProjections!$N$10:$W$10,0))*0.001,"")</f>
        <v>2509.2201075662383</v>
      </c>
      <c r="G74" s="99">
        <f>IFERROR(INDEX(CostProjections!$N$11:$W$92,MATCH($C74,CostProjections!$L$11:$L$92,0),MATCH(G$6,CostProjections!$N$10:$W$10,0))*0.001,"")</f>
        <v>1600.944011897325</v>
      </c>
      <c r="H74" s="99">
        <f>IFERROR(INDEX(CostProjections!$N$11:$W$92,MATCH($C74,CostProjections!$L$11:$L$92,0),MATCH(H$6,CostProjections!$N$10:$W$10,0))*0.001,"")</f>
        <v>1338.2304935350739</v>
      </c>
      <c r="I74" s="99">
        <f>IFERROR(INDEX(CostProjections!$N$11:$W$92,MATCH($C74,CostProjections!$L$11:$L$92,0),MATCH(I$6,CostProjections!$N$10:$W$10,0))*0.001,"")</f>
        <v>1297.4830906870445</v>
      </c>
      <c r="J74" s="99">
        <f>IFERROR(INDEX(CostProjections!$N$11:$W$92,MATCH($C74,CostProjections!$L$11:$L$92,0),MATCH(J$6,CostProjections!$N$10:$W$10,0))*0.001,"")</f>
        <v>1256.7356878390212</v>
      </c>
      <c r="K74" s="99">
        <f>IFERROR(INDEX(CostProjections!$N$11:$W$92,MATCH($C74,CostProjections!$L$11:$L$92,0),MATCH(K$6,CostProjections!$N$10:$W$10,0))*0.001,"")</f>
        <v>1175.2408821429744</v>
      </c>
      <c r="L74" s="99"/>
      <c r="M74" s="99"/>
      <c r="N74" s="99"/>
      <c r="O74" s="99"/>
    </row>
    <row r="75" spans="1:15" x14ac:dyDescent="0.2">
      <c r="B75" s="100" t="s">
        <v>190</v>
      </c>
      <c r="C75" s="100" t="s">
        <v>335</v>
      </c>
      <c r="D75" s="100" t="s">
        <v>349</v>
      </c>
      <c r="E75" s="100" t="s">
        <v>9</v>
      </c>
      <c r="F75" s="99">
        <f>IFERROR(INDEX(CostProjections!$N$11:$W$92,MATCH($C75,CostProjections!$L$11:$L$92,0),MATCH(F$6,CostProjections!$N$10:$W$10,0))*0.001,"")</f>
        <v>2509.2201075662383</v>
      </c>
      <c r="G75" s="99">
        <f>IFERROR(INDEX(CostProjections!$N$11:$W$92,MATCH($C75,CostProjections!$L$11:$L$92,0),MATCH(G$6,CostProjections!$N$10:$W$10,0))*0.001,"")</f>
        <v>1600.944011897325</v>
      </c>
      <c r="H75" s="99">
        <f>IFERROR(INDEX(CostProjections!$N$11:$W$92,MATCH($C75,CostProjections!$L$11:$L$92,0),MATCH(H$6,CostProjections!$N$10:$W$10,0))*0.001,"")</f>
        <v>1338.2304935350739</v>
      </c>
      <c r="I75" s="99">
        <f>IFERROR(INDEX(CostProjections!$N$11:$W$92,MATCH($C75,CostProjections!$L$11:$L$92,0),MATCH(I$6,CostProjections!$N$10:$W$10,0))*0.001,"")</f>
        <v>1297.4830906870445</v>
      </c>
      <c r="J75" s="99">
        <f>IFERROR(INDEX(CostProjections!$N$11:$W$92,MATCH($C75,CostProjections!$L$11:$L$92,0),MATCH(J$6,CostProjections!$N$10:$W$10,0))*0.001,"")</f>
        <v>1256.7356878390212</v>
      </c>
      <c r="K75" s="99">
        <f>IFERROR(INDEX(CostProjections!$N$11:$W$92,MATCH($C75,CostProjections!$L$11:$L$92,0),MATCH(K$6,CostProjections!$N$10:$W$10,0))*0.001,"")</f>
        <v>1175.2408821429744</v>
      </c>
      <c r="L75" s="99"/>
      <c r="M75" s="99"/>
      <c r="N75" s="99"/>
      <c r="O75" s="99"/>
    </row>
    <row r="76" spans="1:15" s="2" customFormat="1" ht="15" x14ac:dyDescent="0.25">
      <c r="B76" s="100" t="s">
        <v>140</v>
      </c>
      <c r="C76" s="100" t="s">
        <v>336</v>
      </c>
      <c r="D76" s="100" t="s">
        <v>349</v>
      </c>
      <c r="E76" s="100" t="s">
        <v>10</v>
      </c>
      <c r="F76" s="99">
        <f>IFERROR(INDEX(CostProjections!$N$11:$W$92,MATCH($C76,CostProjections!$L$11:$L$92,0),MATCH(F$6,CostProjections!$N$10:$W$10,0))*0.001,"")</f>
        <v>1697.4360739182023</v>
      </c>
      <c r="G76" s="99">
        <f>IFERROR(INDEX(CostProjections!$N$11:$W$92,MATCH($C76,CostProjections!$L$11:$L$92,0),MATCH(G$6,CostProjections!$N$10:$W$10,0))*0.001,"")</f>
        <v>1083.0058749822585</v>
      </c>
      <c r="H76" s="99">
        <f>IFERROR(INDEX(CostProjections!$N$11:$W$92,MATCH($C76,CostProjections!$L$11:$L$92,0),MATCH(H$6,CostProjections!$N$10:$W$10,0))*0.001,"")</f>
        <v>905.28555390345696</v>
      </c>
      <c r="I76" s="99">
        <f>IFERROR(INDEX(CostProjections!$N$11:$W$92,MATCH($C76,CostProjections!$L$11:$L$92,0),MATCH(I$6,CostProjections!$N$10:$W$10,0))*0.001,"")</f>
        <v>877.72076940959732</v>
      </c>
      <c r="J76" s="99">
        <f>IFERROR(INDEX(CostProjections!$N$11:$W$92,MATCH($C76,CostProjections!$L$11:$L$92,0),MATCH(J$6,CostProjections!$N$10:$W$10,0))*0.001,"")</f>
        <v>850.15598491574201</v>
      </c>
      <c r="K76" s="99">
        <f>IFERROR(INDEX(CostProjections!$N$11:$W$92,MATCH($C76,CostProjections!$L$11:$L$92,0),MATCH(K$6,CostProjections!$N$10:$W$10,0))*0.001,"")</f>
        <v>795.02641592803116</v>
      </c>
      <c r="L76" s="99"/>
      <c r="M76" s="99"/>
      <c r="N76" s="99"/>
      <c r="O76" s="99"/>
    </row>
    <row r="77" spans="1:15" s="2" customFormat="1" ht="15" x14ac:dyDescent="0.25">
      <c r="B77" s="100" t="s">
        <v>141</v>
      </c>
      <c r="C77" s="100" t="s">
        <v>337</v>
      </c>
      <c r="D77" s="100" t="s">
        <v>349</v>
      </c>
      <c r="E77" s="100" t="s">
        <v>10</v>
      </c>
      <c r="F77" s="99">
        <f>IFERROR(INDEX(CostProjections!$N$11:$W$92,MATCH($C77,CostProjections!$L$11:$L$92,0),MATCH(F$6,CostProjections!$N$10:$W$10,0))*0.001,"")</f>
        <v>1697.4360739182023</v>
      </c>
      <c r="G77" s="99">
        <f>IFERROR(INDEX(CostProjections!$N$11:$W$92,MATCH($C77,CostProjections!$L$11:$L$92,0),MATCH(G$6,CostProjections!$N$10:$W$10,0))*0.001,"")</f>
        <v>1083.0058749822585</v>
      </c>
      <c r="H77" s="99">
        <f>IFERROR(INDEX(CostProjections!$N$11:$W$92,MATCH($C77,CostProjections!$L$11:$L$92,0),MATCH(H$6,CostProjections!$N$10:$W$10,0))*0.001,"")</f>
        <v>905.28555390345696</v>
      </c>
      <c r="I77" s="99">
        <f>IFERROR(INDEX(CostProjections!$N$11:$W$92,MATCH($C77,CostProjections!$L$11:$L$92,0),MATCH(I$6,CostProjections!$N$10:$W$10,0))*0.001,"")</f>
        <v>877.72076940959732</v>
      </c>
      <c r="J77" s="99">
        <f>IFERROR(INDEX(CostProjections!$N$11:$W$92,MATCH($C77,CostProjections!$L$11:$L$92,0),MATCH(J$6,CostProjections!$N$10:$W$10,0))*0.001,"")</f>
        <v>850.15598491574201</v>
      </c>
      <c r="K77" s="99">
        <f>IFERROR(INDEX(CostProjections!$N$11:$W$92,MATCH($C77,CostProjections!$L$11:$L$92,0),MATCH(K$6,CostProjections!$N$10:$W$10,0))*0.001,"")</f>
        <v>795.02641592803116</v>
      </c>
      <c r="L77" s="99"/>
      <c r="M77" s="99"/>
      <c r="N77" s="99"/>
      <c r="O77" s="99"/>
    </row>
    <row r="78" spans="1:15" s="2" customFormat="1" ht="15" x14ac:dyDescent="0.25">
      <c r="B78" s="100" t="s">
        <v>142</v>
      </c>
      <c r="C78" s="100" t="s">
        <v>338</v>
      </c>
      <c r="D78" s="100" t="s">
        <v>349</v>
      </c>
      <c r="E78" s="100" t="s">
        <v>10</v>
      </c>
      <c r="F78" s="99">
        <f>IFERROR(INDEX(CostProjections!$N$11:$W$92,MATCH($C78,CostProjections!$L$11:$L$92,0),MATCH(F$6,CostProjections!$N$10:$W$10,0))*0.001,"")</f>
        <v>2645.9522057126255</v>
      </c>
      <c r="G78" s="99">
        <f>IFERROR(INDEX(CostProjections!$N$11:$W$92,MATCH($C78,CostProjections!$L$11:$L$92,0),MATCH(G$6,CostProjections!$N$10:$W$10,0))*0.001,"")</f>
        <v>1688.1824463023215</v>
      </c>
      <c r="H78" s="99">
        <f>IFERROR(INDEX(CostProjections!$N$11:$W$92,MATCH($C78,CostProjections!$L$11:$L$92,0),MATCH(H$6,CostProjections!$N$10:$W$10,0))*0.001,"")</f>
        <v>1411.1531768153391</v>
      </c>
      <c r="I78" s="99">
        <f>IFERROR(INDEX(CostProjections!$N$11:$W$92,MATCH($C78,CostProjections!$L$11:$L$92,0),MATCH(I$6,CostProjections!$N$10:$W$10,0))*0.001,"")</f>
        <v>1368.1853717520446</v>
      </c>
      <c r="J78" s="99">
        <f>IFERROR(INDEX(CostProjections!$N$11:$W$92,MATCH($C78,CostProjections!$L$11:$L$92,0),MATCH(J$6,CostProjections!$N$10:$W$10,0))*0.001,"")</f>
        <v>1325.217566688757</v>
      </c>
      <c r="K78" s="99">
        <f>IFERROR(INDEX(CostProjections!$N$11:$W$92,MATCH($C78,CostProjections!$L$11:$L$92,0),MATCH(K$6,CostProjections!$N$10:$W$10,0))*0.001,"")</f>
        <v>1239.2819565621814</v>
      </c>
      <c r="L78" s="99"/>
      <c r="M78" s="99"/>
      <c r="N78" s="99"/>
      <c r="O78" s="99"/>
    </row>
    <row r="79" spans="1:15" s="2" customFormat="1" ht="15" x14ac:dyDescent="0.25">
      <c r="B79" s="100" t="s">
        <v>143</v>
      </c>
      <c r="C79" s="100" t="s">
        <v>339</v>
      </c>
      <c r="D79" s="100" t="s">
        <v>349</v>
      </c>
      <c r="E79" s="100" t="s">
        <v>10</v>
      </c>
      <c r="F79" s="99">
        <f>IFERROR(INDEX(CostProjections!$N$11:$W$92,MATCH($C79,CostProjections!$L$11:$L$92,0),MATCH(F$6,CostProjections!$N$10:$W$10,0))*0.001,"")</f>
        <v>2693.0881275829665</v>
      </c>
      <c r="G79" s="99">
        <f>IFERROR(INDEX(CostProjections!$N$11:$W$92,MATCH($C79,CostProjections!$L$11:$L$92,0),MATCH(G$6,CostProjections!$N$10:$W$10,0))*0.001,"")</f>
        <v>1718.2563213027795</v>
      </c>
      <c r="H79" s="99">
        <f>IFERROR(INDEX(CostProjections!$N$11:$W$92,MATCH($C79,CostProjections!$L$11:$L$92,0),MATCH(H$6,CostProjections!$N$10:$W$10,0))*0.001,"")</f>
        <v>1436.2919551144494</v>
      </c>
      <c r="I79" s="99">
        <f>IFERROR(INDEX(CostProjections!$N$11:$W$92,MATCH($C79,CostProjections!$L$11:$L$92,0),MATCH(I$6,CostProjections!$N$10:$W$10,0))*0.001,"")</f>
        <v>1392.55870648115</v>
      </c>
      <c r="J79" s="99">
        <f>IFERROR(INDEX(CostProjections!$N$11:$W$92,MATCH($C79,CostProjections!$L$11:$L$92,0),MATCH(J$6,CostProjections!$N$10:$W$10,0))*0.001,"")</f>
        <v>1348.8254578478573</v>
      </c>
      <c r="K79" s="99">
        <f>IFERROR(INDEX(CostProjections!$N$11:$W$92,MATCH($C79,CostProjections!$L$11:$L$92,0),MATCH(K$6,CostProjections!$N$10:$W$10,0))*0.001,"")</f>
        <v>1261.3589605812717</v>
      </c>
      <c r="L79" s="99"/>
      <c r="M79" s="99"/>
      <c r="N79" s="99"/>
      <c r="O79" s="99"/>
    </row>
    <row r="80" spans="1:15" s="2" customFormat="1" ht="15" x14ac:dyDescent="0.25">
      <c r="B80" s="100" t="s">
        <v>144</v>
      </c>
      <c r="C80" s="100" t="s">
        <v>340</v>
      </c>
      <c r="D80" s="100" t="s">
        <v>349</v>
      </c>
      <c r="E80" s="100" t="s">
        <v>10</v>
      </c>
      <c r="F80" s="99">
        <f>IFERROR(INDEX(CostProjections!$N$11:$W$92,MATCH($C80,CostProjections!$L$11:$L$92,0),MATCH(F$6,CostProjections!$N$10:$W$10,0))*0.001,"")</f>
        <v>2693.0881275829665</v>
      </c>
      <c r="G80" s="99">
        <f>IFERROR(INDEX(CostProjections!$N$11:$W$92,MATCH($C80,CostProjections!$L$11:$L$92,0),MATCH(G$6,CostProjections!$N$10:$W$10,0))*0.001,"")</f>
        <v>1718.2563213027795</v>
      </c>
      <c r="H80" s="99">
        <f>IFERROR(INDEX(CostProjections!$N$11:$W$92,MATCH($C80,CostProjections!$L$11:$L$92,0),MATCH(H$6,CostProjections!$N$10:$W$10,0))*0.001,"")</f>
        <v>1436.2919551144494</v>
      </c>
      <c r="I80" s="99">
        <f>IFERROR(INDEX(CostProjections!$N$11:$W$92,MATCH($C80,CostProjections!$L$11:$L$92,0),MATCH(I$6,CostProjections!$N$10:$W$10,0))*0.001,"")</f>
        <v>1392.55870648115</v>
      </c>
      <c r="J80" s="99">
        <f>IFERROR(INDEX(CostProjections!$N$11:$W$92,MATCH($C80,CostProjections!$L$11:$L$92,0),MATCH(J$6,CostProjections!$N$10:$W$10,0))*0.001,"")</f>
        <v>1348.8254578478573</v>
      </c>
      <c r="K80" s="99">
        <f>IFERROR(INDEX(CostProjections!$N$11:$W$92,MATCH($C80,CostProjections!$L$11:$L$92,0),MATCH(K$6,CostProjections!$N$10:$W$10,0))*0.001,"")</f>
        <v>1261.3589605812717</v>
      </c>
      <c r="L80" s="99"/>
      <c r="M80" s="99"/>
      <c r="N80" s="99"/>
      <c r="O80" s="99"/>
    </row>
    <row r="81" spans="2:15" s="2" customFormat="1" ht="15" x14ac:dyDescent="0.25">
      <c r="B81" s="100" t="s">
        <v>145</v>
      </c>
      <c r="C81" s="100" t="s">
        <v>341</v>
      </c>
      <c r="D81" s="100" t="s">
        <v>349</v>
      </c>
      <c r="E81" s="100" t="s">
        <v>10</v>
      </c>
      <c r="F81" s="99">
        <f>IFERROR(INDEX(CostProjections!$N$11:$W$92,MATCH($C81,CostProjections!$L$11:$L$92,0),MATCH(F$6,CostProjections!$N$10:$W$10,0))*0.001,"")</f>
        <v>3660.6104342648114</v>
      </c>
      <c r="G81" s="99">
        <f>IFERROR(INDEX(CostProjections!$N$11:$W$92,MATCH($C81,CostProjections!$L$11:$L$92,0),MATCH(G$6,CostProjections!$N$10:$W$10,0))*0.001,"")</f>
        <v>2335.5592986656361</v>
      </c>
      <c r="H81" s="99">
        <f>IFERROR(INDEX(CostProjections!$N$11:$W$92,MATCH($C81,CostProjections!$L$11:$L$92,0),MATCH(H$6,CostProjections!$N$10:$W$10,0))*0.001,"")</f>
        <v>1952.2960513963292</v>
      </c>
      <c r="I81" s="99">
        <f>IFERROR(INDEX(CostProjections!$N$11:$W$92,MATCH($C81,CostProjections!$L$11:$L$92,0),MATCH(I$6,CostProjections!$N$10:$W$10,0))*0.001,"")</f>
        <v>1892.8511395749574</v>
      </c>
      <c r="J81" s="99">
        <f>IFERROR(INDEX(CostProjections!$N$11:$W$92,MATCH($C81,CostProjections!$L$11:$L$92,0),MATCH(J$6,CostProjections!$N$10:$W$10,0))*0.001,"")</f>
        <v>1833.4062277535943</v>
      </c>
      <c r="K81" s="99">
        <f>IFERROR(INDEX(CostProjections!$N$11:$W$92,MATCH($C81,CostProjections!$L$11:$L$92,0),MATCH(K$6,CostProjections!$N$10:$W$10,0))*0.001,"")</f>
        <v>1714.5164041108685</v>
      </c>
      <c r="L81" s="99"/>
      <c r="M81" s="99"/>
      <c r="N81" s="99"/>
      <c r="O81" s="99"/>
    </row>
    <row r="82" spans="2:15" s="2" customFormat="1" ht="15" x14ac:dyDescent="0.25">
      <c r="B82" s="100" t="s">
        <v>146</v>
      </c>
      <c r="C82" s="100" t="s">
        <v>342</v>
      </c>
      <c r="D82" s="100" t="s">
        <v>349</v>
      </c>
      <c r="E82" s="100" t="s">
        <v>10</v>
      </c>
      <c r="F82" s="99">
        <f>IFERROR(INDEX(CostProjections!$N$11:$W$92,MATCH($C82,CostProjections!$L$11:$L$92,0),MATCH(F$6,CostProjections!$N$10:$W$10,0))*0.001,"")</f>
        <v>3660.6104342648114</v>
      </c>
      <c r="G82" s="99">
        <f>IFERROR(INDEX(CostProjections!$N$11:$W$92,MATCH($C82,CostProjections!$L$11:$L$92,0),MATCH(G$6,CostProjections!$N$10:$W$10,0))*0.001,"")</f>
        <v>2335.5592986656361</v>
      </c>
      <c r="H82" s="99">
        <f>IFERROR(INDEX(CostProjections!$N$11:$W$92,MATCH($C82,CostProjections!$L$11:$L$92,0),MATCH(H$6,CostProjections!$N$10:$W$10,0))*0.001,"")</f>
        <v>1952.2960513963292</v>
      </c>
      <c r="I82" s="99">
        <f>IFERROR(INDEX(CostProjections!$N$11:$W$92,MATCH($C82,CostProjections!$L$11:$L$92,0),MATCH(I$6,CostProjections!$N$10:$W$10,0))*0.001,"")</f>
        <v>1892.8511395749574</v>
      </c>
      <c r="J82" s="99">
        <f>IFERROR(INDEX(CostProjections!$N$11:$W$92,MATCH($C82,CostProjections!$L$11:$L$92,0),MATCH(J$6,CostProjections!$N$10:$W$10,0))*0.001,"")</f>
        <v>1833.4062277535943</v>
      </c>
      <c r="K82" s="99">
        <f>IFERROR(INDEX(CostProjections!$N$11:$W$92,MATCH($C82,CostProjections!$L$11:$L$92,0),MATCH(K$6,CostProjections!$N$10:$W$10,0))*0.001,"")</f>
        <v>1714.5164041108685</v>
      </c>
      <c r="L82" s="99"/>
      <c r="M82" s="99"/>
      <c r="N82" s="99"/>
      <c r="O82" s="99"/>
    </row>
    <row r="83" spans="2:15" s="2" customFormat="1" ht="15" x14ac:dyDescent="0.25">
      <c r="B83" s="100" t="s">
        <v>147</v>
      </c>
      <c r="C83" s="100" t="s">
        <v>343</v>
      </c>
      <c r="D83" s="100" t="s">
        <v>349</v>
      </c>
      <c r="E83" s="100" t="s">
        <v>10</v>
      </c>
      <c r="F83" s="99">
        <f>IFERROR(INDEX(CostProjections!$N$11:$W$92,MATCH($C83,CostProjections!$L$11:$L$92,0),MATCH(F$6,CostProjections!$N$10:$W$10,0))*0.001,"")</f>
        <v>3660.6104342648114</v>
      </c>
      <c r="G83" s="99">
        <f>IFERROR(INDEX(CostProjections!$N$11:$W$92,MATCH($C83,CostProjections!$L$11:$L$92,0),MATCH(G$6,CostProjections!$N$10:$W$10,0))*0.001,"")</f>
        <v>2335.5592986656361</v>
      </c>
      <c r="H83" s="99">
        <f>IFERROR(INDEX(CostProjections!$N$11:$W$92,MATCH($C83,CostProjections!$L$11:$L$92,0),MATCH(H$6,CostProjections!$N$10:$W$10,0))*0.001,"")</f>
        <v>1952.2960513963292</v>
      </c>
      <c r="I83" s="99">
        <f>IFERROR(INDEX(CostProjections!$N$11:$W$92,MATCH($C83,CostProjections!$L$11:$L$92,0),MATCH(I$6,CostProjections!$N$10:$W$10,0))*0.001,"")</f>
        <v>1892.8511395749574</v>
      </c>
      <c r="J83" s="99">
        <f>IFERROR(INDEX(CostProjections!$N$11:$W$92,MATCH($C83,CostProjections!$L$11:$L$92,0),MATCH(J$6,CostProjections!$N$10:$W$10,0))*0.001,"")</f>
        <v>1833.4062277535943</v>
      </c>
      <c r="K83" s="99">
        <f>IFERROR(INDEX(CostProjections!$N$11:$W$92,MATCH($C83,CostProjections!$L$11:$L$92,0),MATCH(K$6,CostProjections!$N$10:$W$10,0))*0.001,"")</f>
        <v>1714.5164041108685</v>
      </c>
      <c r="L83" s="99"/>
      <c r="M83" s="99"/>
      <c r="N83" s="99"/>
      <c r="O83" s="99"/>
    </row>
    <row r="84" spans="2:15" x14ac:dyDescent="0.2">
      <c r="B84" s="16"/>
      <c r="C84" s="6"/>
      <c r="D84" s="6"/>
      <c r="E84" s="6"/>
      <c r="F84" s="28"/>
      <c r="G84" s="28"/>
      <c r="H84" s="28"/>
      <c r="I84" s="28"/>
      <c r="J84" s="28"/>
      <c r="K84" s="28"/>
      <c r="L84" s="28"/>
      <c r="M84" s="28"/>
      <c r="N84" s="28"/>
      <c r="O84" s="28"/>
    </row>
    <row r="85" spans="2:15" x14ac:dyDescent="0.2">
      <c r="F85" s="1"/>
    </row>
    <row r="86" spans="2:15" x14ac:dyDescent="0.2">
      <c r="F86" s="1"/>
    </row>
  </sheetData>
  <conditionalFormatting sqref="F8:K83">
    <cfRule type="cellIs" dxfId="7" priority="3" operator="equal">
      <formula>0</formula>
    </cfRule>
    <cfRule type="expression" dxfId="6" priority="4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602E-1F9C-4AF6-839F-974BADB3FE6F}">
  <sheetPr>
    <tabColor theme="4"/>
  </sheetPr>
  <dimension ref="A1:O86"/>
  <sheetViews>
    <sheetView zoomScale="70" zoomScaleNormal="70" workbookViewId="0">
      <selection activeCell="L8" sqref="L8"/>
    </sheetView>
    <sheetView workbookViewId="1"/>
  </sheetViews>
  <sheetFormatPr defaultColWidth="8.85546875" defaultRowHeight="12.75" x14ac:dyDescent="0.2"/>
  <cols>
    <col min="1" max="1" width="25.28515625" style="1" customWidth="1"/>
    <col min="2" max="2" width="47.42578125" style="1" customWidth="1"/>
    <col min="3" max="4" width="19.42578125" style="1" customWidth="1"/>
    <col min="5" max="5" width="10.7109375" style="1" bestFit="1" customWidth="1"/>
    <col min="6" max="6" width="14" style="26" customWidth="1"/>
    <col min="7" max="15" width="10" style="1" customWidth="1"/>
    <col min="16" max="16" width="9.140625" style="1" customWidth="1"/>
    <col min="17" max="18" width="8.85546875" style="1"/>
    <col min="19" max="19" width="9.5703125" style="1" bestFit="1" customWidth="1"/>
    <col min="20" max="16384" width="8.85546875" style="1"/>
  </cols>
  <sheetData>
    <row r="1" spans="1:15" ht="13.5" thickBot="1" x14ac:dyDescent="0.25">
      <c r="B1" s="25"/>
      <c r="C1" s="24"/>
      <c r="D1" s="24"/>
      <c r="E1" s="24"/>
      <c r="F1" s="23"/>
      <c r="G1" s="23"/>
      <c r="H1" s="23"/>
      <c r="I1" s="23"/>
      <c r="J1" s="23"/>
      <c r="K1" s="23"/>
      <c r="L1" s="23" t="s">
        <v>23</v>
      </c>
      <c r="M1" s="23" t="s">
        <v>23</v>
      </c>
      <c r="N1" s="23" t="s">
        <v>23</v>
      </c>
      <c r="O1" s="23" t="s">
        <v>23</v>
      </c>
    </row>
    <row r="2" spans="1:15" ht="18" x14ac:dyDescent="0.25">
      <c r="B2" s="21" t="s">
        <v>77</v>
      </c>
      <c r="C2" s="30"/>
      <c r="D2" s="108"/>
      <c r="E2" s="101"/>
      <c r="F2" s="87" t="s">
        <v>265</v>
      </c>
      <c r="G2" s="106" t="str">
        <f>CostProjections!M5</f>
        <v>NZE</v>
      </c>
      <c r="H2" s="91" t="s">
        <v>268</v>
      </c>
    </row>
    <row r="3" spans="1:15" x14ac:dyDescent="0.2">
      <c r="F3" s="88" t="s">
        <v>266</v>
      </c>
      <c r="G3" s="107" t="str">
        <f>CostProjections!M4</f>
        <v>NZE</v>
      </c>
    </row>
    <row r="4" spans="1:15" ht="18" thickBot="1" x14ac:dyDescent="0.35">
      <c r="C4" s="97" t="s">
        <v>346</v>
      </c>
      <c r="D4" s="97"/>
      <c r="E4" s="97"/>
      <c r="F4" s="89" t="s">
        <v>267</v>
      </c>
      <c r="G4" s="90">
        <f>CostProjections!M3</f>
        <v>2E-3</v>
      </c>
    </row>
    <row r="5" spans="1:15" ht="16.5" thickTop="1" thickBot="1" x14ac:dyDescent="0.3">
      <c r="B5" s="98" t="s">
        <v>74</v>
      </c>
      <c r="C5" s="98" t="s">
        <v>347</v>
      </c>
      <c r="D5" s="98" t="s">
        <v>348</v>
      </c>
      <c r="E5" s="98" t="s">
        <v>344</v>
      </c>
      <c r="F5" s="98" t="s">
        <v>344</v>
      </c>
      <c r="G5" s="98" t="s">
        <v>344</v>
      </c>
      <c r="H5" s="98" t="s">
        <v>344</v>
      </c>
      <c r="I5" s="98" t="s">
        <v>344</v>
      </c>
      <c r="J5" s="98" t="s">
        <v>344</v>
      </c>
      <c r="K5" s="98" t="s">
        <v>344</v>
      </c>
      <c r="L5" s="98">
        <v>2020</v>
      </c>
      <c r="M5" s="98">
        <v>2030</v>
      </c>
      <c r="N5" s="98">
        <v>2040</v>
      </c>
      <c r="O5" s="98">
        <v>2050</v>
      </c>
    </row>
    <row r="6" spans="1:15" s="17" customFormat="1" ht="16.5" thickBot="1" x14ac:dyDescent="0.3">
      <c r="A6" s="17" t="s">
        <v>351</v>
      </c>
      <c r="B6" s="20" t="s">
        <v>73</v>
      </c>
      <c r="C6" s="18" t="s">
        <v>72</v>
      </c>
      <c r="D6" s="18"/>
      <c r="E6" s="18" t="s">
        <v>4</v>
      </c>
      <c r="F6" s="19">
        <v>2020</v>
      </c>
      <c r="G6" s="19">
        <v>2025</v>
      </c>
      <c r="H6" s="19">
        <v>2030</v>
      </c>
      <c r="I6" s="19">
        <v>2035</v>
      </c>
      <c r="J6" s="19">
        <v>2040</v>
      </c>
      <c r="K6" s="19">
        <v>2050</v>
      </c>
      <c r="L6" s="19">
        <v>2020</v>
      </c>
      <c r="M6" s="19">
        <v>2030</v>
      </c>
      <c r="N6" s="19">
        <v>2040</v>
      </c>
      <c r="O6" s="19">
        <v>2050</v>
      </c>
    </row>
    <row r="7" spans="1:15" s="17" customFormat="1" x14ac:dyDescent="0.2">
      <c r="A7" s="17" t="s">
        <v>76</v>
      </c>
      <c r="B7" s="27" t="s">
        <v>71</v>
      </c>
      <c r="C7" s="29"/>
      <c r="D7" s="29"/>
      <c r="E7" s="29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x14ac:dyDescent="0.2">
      <c r="A8" s="1" t="s">
        <v>76</v>
      </c>
      <c r="B8" s="100" t="s">
        <v>78</v>
      </c>
      <c r="C8" s="100" t="s">
        <v>270</v>
      </c>
      <c r="D8" s="100" t="s">
        <v>350</v>
      </c>
      <c r="E8" s="100" t="s">
        <v>13</v>
      </c>
      <c r="F8" s="99"/>
      <c r="G8" s="99"/>
      <c r="H8" s="99"/>
      <c r="I8" s="99"/>
      <c r="J8" s="99"/>
      <c r="K8" s="99"/>
      <c r="L8" s="99">
        <f>IFERROR(INDEX(CostProjections!$N$11:$W$92,MATCH($C8,CostProjections!$L$11:$L$92,0),MATCH(L$6,CostProjections!$N$10:$W$10,0))*0.001,"")</f>
        <v>835.64408109927854</v>
      </c>
      <c r="M8" s="99">
        <f>IFERROR(INDEX(CostProjections!$N$11:$W$92,MATCH($C8,CostProjections!$L$11:$L$92,0),MATCH(M$6,CostProjections!$N$10:$W$10,0))*0.001,"")</f>
        <v>852.50818368869375</v>
      </c>
      <c r="N8" s="99">
        <f>IFERROR(INDEX(CostProjections!$N$11:$W$92,MATCH($C8,CostProjections!$L$11:$L$92,0),MATCH(N$6,CostProjections!$N$10:$W$10,0))*0.001,"")</f>
        <v>869.71262011470128</v>
      </c>
      <c r="O8" s="99">
        <f>IFERROR(INDEX(CostProjections!$N$11:$W$92,MATCH($C8,CostProjections!$L$11:$L$92,0),MATCH(O$6,CostProjections!$N$10:$W$10,0))*0.001,"")</f>
        <v>887.26425864199052</v>
      </c>
    </row>
    <row r="9" spans="1:15" x14ac:dyDescent="0.2">
      <c r="A9" s="1" t="s">
        <v>76</v>
      </c>
      <c r="B9" s="100" t="s">
        <v>79</v>
      </c>
      <c r="C9" s="100" t="s">
        <v>271</v>
      </c>
      <c r="D9" s="100" t="s">
        <v>350</v>
      </c>
      <c r="E9" s="100" t="s">
        <v>21</v>
      </c>
      <c r="F9" s="99"/>
      <c r="G9" s="99"/>
      <c r="H9" s="99"/>
      <c r="I9" s="99"/>
      <c r="J9" s="99"/>
      <c r="K9" s="99"/>
      <c r="L9" s="99">
        <f>IFERROR(INDEX(CostProjections!$N$11:$W$92,MATCH($C9,CostProjections!$L$11:$L$92,0),MATCH(L$6,CostProjections!$N$10:$W$10,0))*0.001,"")</f>
        <v>438.90146207526243</v>
      </c>
      <c r="M9" s="99">
        <f>IFERROR(INDEX(CostProjections!$N$11:$W$92,MATCH($C9,CostProjections!$L$11:$L$92,0),MATCH(M$6,CostProjections!$N$10:$W$10,0))*0.001,"")</f>
        <v>447.75891640359885</v>
      </c>
      <c r="N9" s="99">
        <f>IFERROR(INDEX(CostProjections!$N$11:$W$92,MATCH($C9,CostProjections!$L$11:$L$92,0),MATCH(N$6,CostProjections!$N$10:$W$10,0))*0.001,"")</f>
        <v>456.79512269326983</v>
      </c>
      <c r="O9" s="99">
        <f>IFERROR(INDEX(CostProjections!$N$11:$W$92,MATCH($C9,CostProjections!$L$11:$L$92,0),MATCH(O$6,CostProjections!$N$10:$W$10,0))*0.001,"")</f>
        <v>466.01368833105909</v>
      </c>
    </row>
    <row r="10" spans="1:15" x14ac:dyDescent="0.2">
      <c r="B10" s="100" t="s">
        <v>80</v>
      </c>
      <c r="C10" s="100" t="s">
        <v>272</v>
      </c>
      <c r="D10" s="100" t="s">
        <v>350</v>
      </c>
      <c r="E10" s="100" t="s">
        <v>13</v>
      </c>
      <c r="F10" s="99"/>
      <c r="G10" s="99"/>
      <c r="H10" s="99"/>
      <c r="I10" s="99"/>
      <c r="J10" s="99"/>
      <c r="K10" s="99"/>
      <c r="L10" s="99">
        <f>IFERROR(INDEX(CostProjections!$N$11:$W$92,MATCH($C10,CostProjections!$L$11:$L$92,0),MATCH(L$6,CostProjections!$N$10:$W$10,0))*0.001,"")</f>
        <v>1115.3529863163551</v>
      </c>
      <c r="M10" s="99">
        <f>IFERROR(INDEX(CostProjections!$N$11:$W$92,MATCH($C10,CostProjections!$L$11:$L$92,0),MATCH(M$6,CostProjections!$N$10:$W$10,0))*0.001,"")</f>
        <v>849.11877209576846</v>
      </c>
      <c r="N10" s="99">
        <f>IFERROR(INDEX(CostProjections!$N$11:$W$92,MATCH($C10,CostProjections!$L$11:$L$92,0),MATCH(N$6,CostProjections!$N$10:$W$10,0))*0.001,"")</f>
        <v>851.93042365899805</v>
      </c>
      <c r="O10" s="99">
        <f>IFERROR(INDEX(CostProjections!$N$11:$W$92,MATCH($C10,CostProjections!$L$11:$L$92,0),MATCH(O$6,CostProjections!$N$10:$W$10,0))*0.001,"")</f>
        <v>854.742075222229</v>
      </c>
    </row>
    <row r="11" spans="1:15" x14ac:dyDescent="0.2">
      <c r="B11" s="100" t="s">
        <v>81</v>
      </c>
      <c r="C11" s="100" t="s">
        <v>273</v>
      </c>
      <c r="D11" s="100" t="s">
        <v>350</v>
      </c>
      <c r="E11" s="100" t="s">
        <v>21</v>
      </c>
      <c r="F11" s="99"/>
      <c r="G11" s="99"/>
      <c r="H11" s="99"/>
      <c r="I11" s="99"/>
      <c r="J11" s="99"/>
      <c r="K11" s="99"/>
      <c r="L11" s="99">
        <f>IFERROR(INDEX(CostProjections!$N$11:$W$92,MATCH($C11,CostProjections!$L$11:$L$92,0),MATCH(L$6,CostProjections!$N$10:$W$10,0))*0.001,"")</f>
        <v>585.81167209404305</v>
      </c>
      <c r="M11" s="99">
        <f>IFERROR(INDEX(CostProjections!$N$11:$W$92,MATCH($C11,CostProjections!$L$11:$L$92,0),MATCH(M$6,CostProjections!$N$10:$W$10,0))*0.001,"")</f>
        <v>445.97871148459467</v>
      </c>
      <c r="N11" s="99">
        <f>IFERROR(INDEX(CostProjections!$N$11:$W$92,MATCH($C11,CostProjections!$L$11:$L$92,0),MATCH(N$6,CostProjections!$N$10:$W$10,0))*0.001,"")</f>
        <v>447.45546218487397</v>
      </c>
      <c r="O11" s="99">
        <f>IFERROR(INDEX(CostProjections!$N$11:$W$92,MATCH($C11,CostProjections!$L$11:$L$92,0),MATCH(O$6,CostProjections!$N$10:$W$10,0))*0.001,"")</f>
        <v>448.93221288515406</v>
      </c>
    </row>
    <row r="12" spans="1:15" x14ac:dyDescent="0.2">
      <c r="A12" s="1" t="s">
        <v>76</v>
      </c>
      <c r="B12" s="100" t="s">
        <v>82</v>
      </c>
      <c r="C12" s="100" t="s">
        <v>274</v>
      </c>
      <c r="D12" s="100" t="s">
        <v>350</v>
      </c>
      <c r="E12" s="100" t="s">
        <v>12</v>
      </c>
      <c r="F12" s="99"/>
      <c r="G12" s="99"/>
      <c r="H12" s="99"/>
      <c r="I12" s="99"/>
      <c r="J12" s="99"/>
      <c r="K12" s="99"/>
      <c r="L12" s="99">
        <f>IFERROR(INDEX(CostProjections!$N$11:$W$92,MATCH($C12,CostProjections!$L$11:$L$92,0),MATCH(L$6,CostProjections!$N$10:$W$10,0))*0.001,"")</f>
        <v>919.2084892092065</v>
      </c>
      <c r="M12" s="99">
        <f>IFERROR(INDEX(CostProjections!$N$11:$W$92,MATCH($C12,CostProjections!$L$11:$L$92,0),MATCH(M$6,CostProjections!$N$10:$W$10,0))*0.001,"")</f>
        <v>937.75900205756318</v>
      </c>
      <c r="N12" s="99">
        <f>IFERROR(INDEX(CostProjections!$N$11:$W$92,MATCH($C12,CostProjections!$L$11:$L$92,0),MATCH(N$6,CostProjections!$N$10:$W$10,0))*0.001,"")</f>
        <v>956.68388212617151</v>
      </c>
      <c r="O12" s="99">
        <f>IFERROR(INDEX(CostProjections!$N$11:$W$92,MATCH($C12,CostProjections!$L$11:$L$92,0),MATCH(O$6,CostProjections!$N$10:$W$10,0))*0.001,"")</f>
        <v>975.99068450618972</v>
      </c>
    </row>
    <row r="13" spans="1:15" x14ac:dyDescent="0.2">
      <c r="B13" s="100" t="s">
        <v>83</v>
      </c>
      <c r="C13" s="100" t="s">
        <v>275</v>
      </c>
      <c r="D13" s="100" t="s">
        <v>350</v>
      </c>
      <c r="E13" s="100" t="s">
        <v>10</v>
      </c>
      <c r="F13" s="99"/>
      <c r="G13" s="99"/>
      <c r="H13" s="99"/>
      <c r="I13" s="99"/>
      <c r="J13" s="99"/>
      <c r="K13" s="99"/>
      <c r="L13" s="99">
        <f>IFERROR(INDEX(CostProjections!$N$11:$W$92,MATCH($C13,CostProjections!$L$11:$L$92,0),MATCH(L$6,CostProjections!$N$10:$W$10,0))*0.001,"")</f>
        <v>3873.0540520727282</v>
      </c>
      <c r="M13" s="99">
        <f>IFERROR(INDEX(CostProjections!$N$11:$W$92,MATCH($C13,CostProjections!$L$11:$L$92,0),MATCH(M$6,CostProjections!$N$10:$W$10,0))*0.001,"")</f>
        <v>2065.5976014079038</v>
      </c>
      <c r="N13" s="99">
        <f>IFERROR(INDEX(CostProjections!$N$11:$W$92,MATCH($C13,CostProjections!$L$11:$L$92,0),MATCH(N$6,CostProjections!$N$10:$W$10,0))*0.001,"")</f>
        <v>1939.8080038862586</v>
      </c>
      <c r="O13" s="99">
        <f>IFERROR(INDEX(CostProjections!$N$11:$W$92,MATCH($C13,CostProjections!$L$11:$L$92,0),MATCH(O$6,CostProjections!$N$10:$W$10,0))*0.001,"")</f>
        <v>1814.0184063646227</v>
      </c>
    </row>
    <row r="14" spans="1:15" x14ac:dyDescent="0.2">
      <c r="A14" s="1" t="s">
        <v>76</v>
      </c>
      <c r="B14" s="100" t="s">
        <v>84</v>
      </c>
      <c r="C14" s="100" t="s">
        <v>276</v>
      </c>
      <c r="D14" s="100" t="s">
        <v>350</v>
      </c>
      <c r="E14" s="100" t="s">
        <v>11</v>
      </c>
      <c r="F14" s="99"/>
      <c r="G14" s="99"/>
      <c r="H14" s="99"/>
      <c r="I14" s="99"/>
      <c r="J14" s="99"/>
      <c r="K14" s="99"/>
      <c r="L14" s="99">
        <f>IFERROR(INDEX(CostProjections!$N$11:$W$92,MATCH($C14,CostProjections!$L$11:$L$92,0),MATCH(L$6,CostProjections!$N$10:$W$10,0))*0.001,"")</f>
        <v>438.90146207526243</v>
      </c>
      <c r="M14" s="99">
        <f>IFERROR(INDEX(CostProjections!$N$11:$W$92,MATCH($C14,CostProjections!$L$11:$L$92,0),MATCH(M$6,CostProjections!$N$10:$W$10,0))*0.001,"")</f>
        <v>447.75891640359885</v>
      </c>
      <c r="N14" s="99">
        <f>IFERROR(INDEX(CostProjections!$N$11:$W$92,MATCH($C14,CostProjections!$L$11:$L$92,0),MATCH(N$6,CostProjections!$N$10:$W$10,0))*0.001,"")</f>
        <v>456.79512269326983</v>
      </c>
      <c r="O14" s="99">
        <f>IFERROR(INDEX(CostProjections!$N$11:$W$92,MATCH($C14,CostProjections!$L$11:$L$92,0),MATCH(O$6,CostProjections!$N$10:$W$10,0))*0.001,"")</f>
        <v>466.01368833105909</v>
      </c>
    </row>
    <row r="15" spans="1:15" x14ac:dyDescent="0.2">
      <c r="B15" s="100" t="s">
        <v>85</v>
      </c>
      <c r="C15" s="100" t="s">
        <v>277</v>
      </c>
      <c r="D15" s="100" t="s">
        <v>350</v>
      </c>
      <c r="E15" s="100" t="s">
        <v>9</v>
      </c>
      <c r="F15" s="99"/>
      <c r="G15" s="99"/>
      <c r="H15" s="99"/>
      <c r="I15" s="99"/>
      <c r="J15" s="99"/>
      <c r="K15" s="99"/>
      <c r="L15" s="99">
        <f>IFERROR(INDEX(CostProjections!$N$11:$W$92,MATCH($C15,CostProjections!$L$11:$L$92,0),MATCH(L$6,CostProjections!$N$10:$W$10,0))*0.001,"")</f>
        <v>1516.7538557832556</v>
      </c>
      <c r="M15" s="99">
        <f>IFERROR(INDEX(CostProjections!$N$11:$W$92,MATCH($C15,CostProjections!$L$11:$L$92,0),MATCH(M$6,CostProjections!$N$10:$W$10,0))*0.001,"")</f>
        <v>808.92316097561422</v>
      </c>
      <c r="N15" s="99">
        <f>IFERROR(INDEX(CostProjections!$N$11:$W$92,MATCH($C15,CostProjections!$L$11:$L$92,0),MATCH(N$6,CostProjections!$N$10:$W$10,0))*0.001,"")</f>
        <v>759.66181463414648</v>
      </c>
      <c r="O15" s="99">
        <f>IFERROR(INDEX(CostProjections!$N$11:$W$92,MATCH($C15,CostProjections!$L$11:$L$92,0),MATCH(O$6,CostProjections!$N$10:$W$10,0))*0.001,"")</f>
        <v>710.40046829268272</v>
      </c>
    </row>
    <row r="16" spans="1:15" x14ac:dyDescent="0.2">
      <c r="A16" s="1" t="s">
        <v>76</v>
      </c>
      <c r="B16" s="100" t="s">
        <v>86</v>
      </c>
      <c r="C16" s="100" t="s">
        <v>278</v>
      </c>
      <c r="D16" s="100" t="s">
        <v>350</v>
      </c>
      <c r="E16" s="100" t="s">
        <v>13</v>
      </c>
      <c r="F16" s="99"/>
      <c r="G16" s="99"/>
      <c r="H16" s="99"/>
      <c r="I16" s="99"/>
      <c r="J16" s="99"/>
      <c r="K16" s="99"/>
      <c r="L16" s="99">
        <f>IFERROR(INDEX(CostProjections!$N$11:$W$92,MATCH($C16,CostProjections!$L$11:$L$92,0),MATCH(L$6,CostProjections!$N$10:$W$10,0))*0.001,"")</f>
        <v>656.10237784381934</v>
      </c>
      <c r="M16" s="99">
        <f>IFERROR(INDEX(CostProjections!$N$11:$W$92,MATCH($C16,CostProjections!$L$11:$L$92,0),MATCH(M$6,CostProjections!$N$10:$W$10,0))*0.001,"")</f>
        <v>669.34315589679386</v>
      </c>
      <c r="N16" s="99">
        <f>IFERROR(INDEX(CostProjections!$N$11:$W$92,MATCH($C16,CostProjections!$L$11:$L$92,0),MATCH(N$6,CostProjections!$N$10:$W$10,0))*0.001,"")</f>
        <v>682.85114560662009</v>
      </c>
      <c r="O16" s="99">
        <f>IFERROR(INDEX(CostProjections!$N$11:$W$92,MATCH($C16,CostProjections!$L$11:$L$92,0),MATCH(O$6,CostProjections!$N$10:$W$10,0))*0.001,"")</f>
        <v>696.63173956195692</v>
      </c>
    </row>
    <row r="17" spans="1:15" x14ac:dyDescent="0.2">
      <c r="A17" s="1" t="s">
        <v>76</v>
      </c>
      <c r="B17" s="100" t="s">
        <v>87</v>
      </c>
      <c r="C17" s="100" t="s">
        <v>279</v>
      </c>
      <c r="D17" s="100" t="s">
        <v>350</v>
      </c>
      <c r="E17" s="100" t="s">
        <v>21</v>
      </c>
      <c r="F17" s="99"/>
      <c r="G17" s="99"/>
      <c r="H17" s="99"/>
      <c r="I17" s="99"/>
      <c r="J17" s="99"/>
      <c r="K17" s="99"/>
      <c r="L17" s="99">
        <f>IFERROR(INDEX(CostProjections!$N$11:$W$92,MATCH($C17,CostProjections!$L$11:$L$92,0),MATCH(L$6,CostProjections!$N$10:$W$10,0))*0.001,"")</f>
        <v>262.38470575580084</v>
      </c>
      <c r="M17" s="99">
        <f>IFERROR(INDEX(CostProjections!$N$11:$W$92,MATCH($C17,CostProjections!$L$11:$L$92,0),MATCH(M$6,CostProjections!$N$10:$W$10,0))*0.001,"")</f>
        <v>267.67988189100242</v>
      </c>
      <c r="N17" s="99">
        <f>IFERROR(INDEX(CostProjections!$N$11:$W$92,MATCH($C17,CostProjections!$L$11:$L$92,0),MATCH(N$6,CostProjections!$N$10:$W$10,0))*0.001,"")</f>
        <v>273.08191978181594</v>
      </c>
      <c r="O17" s="99">
        <f>IFERROR(INDEX(CostProjections!$N$11:$W$92,MATCH($C17,CostProjections!$L$11:$L$92,0),MATCH(O$6,CostProjections!$N$10:$W$10,0))*0.001,"")</f>
        <v>278.59297600141696</v>
      </c>
    </row>
    <row r="18" spans="1:15" x14ac:dyDescent="0.2">
      <c r="B18" s="100" t="s">
        <v>88</v>
      </c>
      <c r="C18" s="100" t="s">
        <v>280</v>
      </c>
      <c r="D18" s="100" t="s">
        <v>350</v>
      </c>
      <c r="E18" s="100" t="s">
        <v>13</v>
      </c>
      <c r="F18" s="99"/>
      <c r="G18" s="99"/>
      <c r="H18" s="99"/>
      <c r="I18" s="99"/>
      <c r="J18" s="99"/>
      <c r="K18" s="99"/>
      <c r="L18" s="99">
        <f>IFERROR(INDEX(CostProjections!$N$11:$W$92,MATCH($C18,CostProjections!$L$11:$L$92,0),MATCH(L$6,CostProjections!$N$10:$W$10,0))*0.001,"")</f>
        <v>1413.7180946041472</v>
      </c>
      <c r="M18" s="99">
        <f>IFERROR(INDEX(CostProjections!$N$11:$W$92,MATCH($C18,CostProjections!$L$11:$L$92,0),MATCH(M$6,CostProjections!$N$10:$W$10,0))*0.001,"")</f>
        <v>1076.264274455765</v>
      </c>
      <c r="N18" s="99">
        <f>IFERROR(INDEX(CostProjections!$N$11:$W$92,MATCH($C18,CostProjections!$L$11:$L$92,0),MATCH(N$6,CostProjections!$N$10:$W$10,0))*0.001,"")</f>
        <v>1079.8280634440273</v>
      </c>
      <c r="O18" s="99">
        <f>IFERROR(INDEX(CostProjections!$N$11:$W$92,MATCH($C18,CostProjections!$L$11:$L$92,0),MATCH(O$6,CostProjections!$N$10:$W$10,0))*0.001,"")</f>
        <v>1083.3918524322912</v>
      </c>
    </row>
    <row r="19" spans="1:15" x14ac:dyDescent="0.2">
      <c r="B19" s="100" t="s">
        <v>89</v>
      </c>
      <c r="C19" s="100" t="s">
        <v>281</v>
      </c>
      <c r="D19" s="100" t="s">
        <v>350</v>
      </c>
      <c r="E19" s="100" t="s">
        <v>21</v>
      </c>
      <c r="F19" s="99"/>
      <c r="G19" s="99"/>
      <c r="H19" s="99"/>
      <c r="I19" s="99"/>
      <c r="J19" s="99"/>
      <c r="K19" s="99"/>
      <c r="L19" s="99">
        <f>IFERROR(INDEX(CostProjections!$N$11:$W$92,MATCH($C19,CostProjections!$L$11:$L$92,0),MATCH(L$6,CostProjections!$N$10:$W$10,0))*0.001,"")</f>
        <v>565.36604469167128</v>
      </c>
      <c r="M19" s="99">
        <f>IFERROR(INDEX(CostProjections!$N$11:$W$92,MATCH($C19,CostProjections!$L$11:$L$92,0),MATCH(M$6,CostProjections!$N$10:$W$10,0))*0.001,"")</f>
        <v>430.41344537815206</v>
      </c>
      <c r="N19" s="99">
        <f>IFERROR(INDEX(CostProjections!$N$11:$W$92,MATCH($C19,CostProjections!$L$11:$L$92,0),MATCH(N$6,CostProjections!$N$10:$W$10,0))*0.001,"")</f>
        <v>431.83865546218487</v>
      </c>
      <c r="O19" s="99">
        <f>IFERROR(INDEX(CostProjections!$N$11:$W$92,MATCH($C19,CostProjections!$L$11:$L$92,0),MATCH(O$6,CostProjections!$N$10:$W$10,0))*0.001,"")</f>
        <v>433.26386554621848</v>
      </c>
    </row>
    <row r="20" spans="1:15" x14ac:dyDescent="0.2">
      <c r="B20" s="100" t="s">
        <v>90</v>
      </c>
      <c r="C20" s="100" t="s">
        <v>282</v>
      </c>
      <c r="D20" s="100" t="s">
        <v>350</v>
      </c>
      <c r="E20" s="100" t="s">
        <v>9</v>
      </c>
      <c r="F20" s="99"/>
      <c r="G20" s="99"/>
      <c r="H20" s="99"/>
      <c r="I20" s="99"/>
      <c r="J20" s="99"/>
      <c r="K20" s="99"/>
      <c r="L20" s="99">
        <f>IFERROR(INDEX(CostProjections!$N$11:$W$92,MATCH($C20,CostProjections!$L$11:$L$92,0),MATCH(L$6,CostProjections!$N$10:$W$10,0))*0.001,"")</f>
        <v>996.58245713780525</v>
      </c>
      <c r="M20" s="99">
        <f>IFERROR(INDEX(CostProjections!$N$11:$W$92,MATCH($C20,CostProjections!$L$11:$L$92,0),MATCH(M$6,CostProjections!$N$10:$W$10,0))*0.001,"")</f>
        <v>531.50260889526839</v>
      </c>
      <c r="N20" s="99">
        <f>IFERROR(INDEX(CostProjections!$N$11:$W$92,MATCH($C20,CostProjections!$L$11:$L$92,0),MATCH(N$6,CostProjections!$N$10:$W$10,0))*0.001,"")</f>
        <v>499.13546284074624</v>
      </c>
      <c r="O20" s="99">
        <f>IFERROR(INDEX(CostProjections!$N$11:$W$92,MATCH($C20,CostProjections!$L$11:$L$92,0),MATCH(O$6,CostProjections!$N$10:$W$10,0))*0.001,"")</f>
        <v>466.76831678622648</v>
      </c>
    </row>
    <row r="21" spans="1:15" x14ac:dyDescent="0.2">
      <c r="A21" s="1" t="s">
        <v>76</v>
      </c>
      <c r="B21" s="100" t="s">
        <v>91</v>
      </c>
      <c r="C21" s="100" t="s">
        <v>283</v>
      </c>
      <c r="D21" s="100" t="s">
        <v>350</v>
      </c>
      <c r="E21" s="100" t="s">
        <v>12</v>
      </c>
      <c r="F21" s="99"/>
      <c r="G21" s="99"/>
      <c r="H21" s="99"/>
      <c r="I21" s="99"/>
      <c r="J21" s="99"/>
      <c r="K21" s="99"/>
      <c r="L21" s="99">
        <f>IFERROR(INDEX(CostProjections!$N$11:$W$92,MATCH($C21,CostProjections!$L$11:$L$92,0),MATCH(L$6,CostProjections!$N$10:$W$10,0))*0.001,"")</f>
        <v>721.71261562820132</v>
      </c>
      <c r="M21" s="99">
        <f>IFERROR(INDEX(CostProjections!$N$11:$W$92,MATCH($C21,CostProjections!$L$11:$L$92,0),MATCH(M$6,CostProjections!$N$10:$W$10,0))*0.001,"")</f>
        <v>736.27747148647325</v>
      </c>
      <c r="N21" s="99">
        <f>IFERROR(INDEX(CostProjections!$N$11:$W$92,MATCH($C21,CostProjections!$L$11:$L$92,0),MATCH(N$6,CostProjections!$N$10:$W$10,0))*0.001,"")</f>
        <v>751.13626016728222</v>
      </c>
      <c r="O21" s="99">
        <f>IFERROR(INDEX(CostProjections!$N$11:$W$92,MATCH($C21,CostProjections!$L$11:$L$92,0),MATCH(O$6,CostProjections!$N$10:$W$10,0))*0.001,"")</f>
        <v>766.29491351815273</v>
      </c>
    </row>
    <row r="22" spans="1:15" x14ac:dyDescent="0.2">
      <c r="B22" s="100" t="s">
        <v>92</v>
      </c>
      <c r="C22" s="100" t="s">
        <v>284</v>
      </c>
      <c r="D22" s="100" t="s">
        <v>350</v>
      </c>
      <c r="E22" s="100" t="s">
        <v>10</v>
      </c>
      <c r="F22" s="99"/>
      <c r="G22" s="99"/>
      <c r="H22" s="99"/>
      <c r="I22" s="99"/>
      <c r="J22" s="99"/>
      <c r="K22" s="99"/>
      <c r="L22" s="99">
        <f>IFERROR(INDEX(CostProjections!$N$11:$W$92,MATCH($C22,CostProjections!$L$11:$L$92,0),MATCH(L$6,CostProjections!$N$10:$W$10,0))*0.001,"")</f>
        <v>2544.7884698792823</v>
      </c>
      <c r="M22" s="99">
        <f>IFERROR(INDEX(CostProjections!$N$11:$W$92,MATCH($C22,CostProjections!$L$11:$L$92,0),MATCH(M$6,CostProjections!$N$10:$W$10,0))*0.001,"")</f>
        <v>1357.2000000000075</v>
      </c>
      <c r="N22" s="99">
        <f>IFERROR(INDEX(CostProjections!$N$11:$W$92,MATCH($C22,CostProjections!$L$11:$L$92,0),MATCH(N$6,CostProjections!$N$10:$W$10,0))*0.001,"")</f>
        <v>1274.5500000000002</v>
      </c>
      <c r="O22" s="99">
        <f>IFERROR(INDEX(CostProjections!$N$11:$W$92,MATCH($C22,CostProjections!$L$11:$L$92,0),MATCH(O$6,CostProjections!$N$10:$W$10,0))*0.001,"")</f>
        <v>1191.8999999999996</v>
      </c>
    </row>
    <row r="23" spans="1:15" x14ac:dyDescent="0.2">
      <c r="A23" s="1" t="s">
        <v>76</v>
      </c>
      <c r="B23" s="100" t="s">
        <v>93</v>
      </c>
      <c r="C23" s="100" t="s">
        <v>285</v>
      </c>
      <c r="D23" s="100" t="s">
        <v>350</v>
      </c>
      <c r="E23" s="100" t="s">
        <v>11</v>
      </c>
      <c r="F23" s="99"/>
      <c r="G23" s="99"/>
      <c r="H23" s="99"/>
      <c r="I23" s="99"/>
      <c r="J23" s="99"/>
      <c r="K23" s="99"/>
      <c r="L23" s="99">
        <f>IFERROR(INDEX(CostProjections!$N$11:$W$92,MATCH($C23,CostProjections!$L$11:$L$92,0),MATCH(L$6,CostProjections!$N$10:$W$10,0))*0.001,"")</f>
        <v>262.38470575580084</v>
      </c>
      <c r="M23" s="99">
        <f>IFERROR(INDEX(CostProjections!$N$11:$W$92,MATCH($C23,CostProjections!$L$11:$L$92,0),MATCH(M$6,CostProjections!$N$10:$W$10,0))*0.001,"")</f>
        <v>267.67988189100242</v>
      </c>
      <c r="N23" s="99">
        <f>IFERROR(INDEX(CostProjections!$N$11:$W$92,MATCH($C23,CostProjections!$L$11:$L$92,0),MATCH(N$6,CostProjections!$N$10:$W$10,0))*0.001,"")</f>
        <v>273.08191978181594</v>
      </c>
      <c r="O23" s="99">
        <f>IFERROR(INDEX(CostProjections!$N$11:$W$92,MATCH($C23,CostProjections!$L$11:$L$92,0),MATCH(O$6,CostProjections!$N$10:$W$10,0))*0.001,"")</f>
        <v>278.59297600141696</v>
      </c>
    </row>
    <row r="24" spans="1:15" x14ac:dyDescent="0.2">
      <c r="A24" s="1" t="s">
        <v>76</v>
      </c>
      <c r="B24" s="100" t="s">
        <v>94</v>
      </c>
      <c r="C24" s="100" t="s">
        <v>14</v>
      </c>
      <c r="D24" s="100" t="s">
        <v>350</v>
      </c>
      <c r="E24" s="100" t="s">
        <v>21</v>
      </c>
      <c r="F24" s="99"/>
      <c r="G24" s="99"/>
      <c r="H24" s="99"/>
      <c r="I24" s="99"/>
      <c r="J24" s="99"/>
      <c r="K24" s="99"/>
      <c r="L24" s="99">
        <f>IFERROR(INDEX(CostProjections!$N$11:$W$92,MATCH($C24,CostProjections!$L$11:$L$92,0),MATCH(L$6,CostProjections!$N$10:$W$10,0))*0.001,"")</f>
        <v>140.61345431714946</v>
      </c>
      <c r="M24" s="99">
        <f>IFERROR(INDEX(CostProjections!$N$11:$W$92,MATCH($C24,CostProjections!$L$11:$L$92,0),MATCH(M$6,CostProjections!$N$10:$W$10,0))*0.001,"")</f>
        <v>143.45116928778262</v>
      </c>
      <c r="N24" s="99">
        <f>IFERROR(INDEX(CostProjections!$N$11:$W$92,MATCH($C24,CostProjections!$L$11:$L$92,0),MATCH(N$6,CostProjections!$N$10:$W$10,0))*0.001,"")</f>
        <v>146.34615208028723</v>
      </c>
      <c r="O24" s="99">
        <f>IFERROR(INDEX(CostProjections!$N$11:$W$92,MATCH($C24,CostProjections!$L$11:$L$92,0),MATCH(O$6,CostProjections!$N$10:$W$10,0))*0.001,"")</f>
        <v>149.29955841447855</v>
      </c>
    </row>
    <row r="25" spans="1:15" x14ac:dyDescent="0.2">
      <c r="B25" s="100" t="s">
        <v>95</v>
      </c>
      <c r="C25" s="100" t="s">
        <v>286</v>
      </c>
      <c r="D25" s="100" t="s">
        <v>350</v>
      </c>
      <c r="E25" s="100" t="s">
        <v>9</v>
      </c>
      <c r="F25" s="99"/>
      <c r="G25" s="99"/>
      <c r="H25" s="99"/>
      <c r="I25" s="99"/>
      <c r="J25" s="99"/>
      <c r="K25" s="99"/>
      <c r="L25" s="99">
        <f>IFERROR(INDEX(CostProjections!$N$11:$W$92,MATCH($C25,CostProjections!$L$11:$L$92,0),MATCH(L$6,CostProjections!$N$10:$W$10,0))*0.001,"")</f>
        <v>201.43776538895028</v>
      </c>
      <c r="M25" s="99">
        <f>IFERROR(INDEX(CostProjections!$N$11:$W$92,MATCH($C25,CostProjections!$L$11:$L$92,0),MATCH(M$6,CostProjections!$N$10:$W$10,0))*0.001,"")</f>
        <v>107.43185078909673</v>
      </c>
      <c r="N25" s="99">
        <f>IFERROR(INDEX(CostProjections!$N$11:$W$92,MATCH($C25,CostProjections!$L$11:$L$92,0),MATCH(N$6,CostProjections!$N$10:$W$10,0))*0.001,"")</f>
        <v>100.88952654232429</v>
      </c>
      <c r="O25" s="99">
        <f>IFERROR(INDEX(CostProjections!$N$11:$W$92,MATCH($C25,CostProjections!$L$11:$L$92,0),MATCH(O$6,CostProjections!$N$10:$W$10,0))*0.001,"")</f>
        <v>94.347202295552336</v>
      </c>
    </row>
    <row r="26" spans="1:15" x14ac:dyDescent="0.2">
      <c r="A26" s="1" t="s">
        <v>76</v>
      </c>
      <c r="B26" s="100" t="s">
        <v>96</v>
      </c>
      <c r="C26" s="100" t="s">
        <v>287</v>
      </c>
      <c r="D26" s="100" t="s">
        <v>350</v>
      </c>
      <c r="E26" s="100" t="s">
        <v>13</v>
      </c>
      <c r="F26" s="99"/>
      <c r="G26" s="99"/>
      <c r="H26" s="99"/>
      <c r="I26" s="99"/>
      <c r="J26" s="99"/>
      <c r="K26" s="99"/>
      <c r="L26" s="99">
        <f>IFERROR(INDEX(CostProjections!$N$11:$W$92,MATCH($C26,CostProjections!$L$11:$L$92,0),MATCH(L$6,CostProjections!$N$10:$W$10,0))*0.001,"")</f>
        <v>1674.9173571001118</v>
      </c>
      <c r="M26" s="99">
        <f>IFERROR(INDEX(CostProjections!$N$11:$W$92,MATCH($C26,CostProjections!$L$11:$L$92,0),MATCH(M$6,CostProjections!$N$10:$W$10,0))*0.001,"")</f>
        <v>1708.7188029283056</v>
      </c>
      <c r="N26" s="99">
        <f>IFERROR(INDEX(CostProjections!$N$11:$W$92,MATCH($C26,CostProjections!$L$11:$L$92,0),MATCH(N$6,CostProjections!$N$10:$W$10,0))*0.001,"")</f>
        <v>1743.2023944965467</v>
      </c>
      <c r="O26" s="99">
        <f>IFERROR(INDEX(CostProjections!$N$11:$W$92,MATCH($C26,CostProjections!$L$11:$L$92,0),MATCH(O$6,CostProjections!$N$10:$W$10,0))*0.001,"")</f>
        <v>1778.3818981630261</v>
      </c>
    </row>
    <row r="27" spans="1:15" x14ac:dyDescent="0.2">
      <c r="A27" s="1" t="s">
        <v>76</v>
      </c>
      <c r="B27" s="100" t="s">
        <v>97</v>
      </c>
      <c r="C27" s="100" t="s">
        <v>288</v>
      </c>
      <c r="D27" s="100" t="s">
        <v>350</v>
      </c>
      <c r="E27" s="100" t="s">
        <v>12</v>
      </c>
      <c r="F27" s="99"/>
      <c r="G27" s="99"/>
      <c r="H27" s="99"/>
      <c r="I27" s="99"/>
      <c r="J27" s="99"/>
      <c r="K27" s="99"/>
      <c r="L27" s="99">
        <f>IFERROR(INDEX(CostProjections!$N$11:$W$92,MATCH($C27,CostProjections!$L$11:$L$92,0),MATCH(L$6,CostProjections!$N$10:$W$10,0))*0.001,"")</f>
        <v>1775.901197692195</v>
      </c>
      <c r="M27" s="99">
        <f>IFERROR(INDEX(CostProjections!$N$11:$W$92,MATCH($C27,CostProjections!$L$11:$L$92,0),MATCH(M$6,CostProjections!$N$10:$W$10,0))*0.001,"")</f>
        <v>1811.7405947081456</v>
      </c>
      <c r="N27" s="99">
        <f>IFERROR(INDEX(CostProjections!$N$11:$W$92,MATCH($C27,CostProjections!$L$11:$L$92,0),MATCH(N$6,CostProjections!$N$10:$W$10,0))*0.001,"")</f>
        <v>1848.303265282409</v>
      </c>
      <c r="O27" s="99">
        <f>IFERROR(INDEX(CostProjections!$N$11:$W$92,MATCH($C27,CostProjections!$L$11:$L$92,0),MATCH(O$6,CostProjections!$N$10:$W$10,0))*0.001,"")</f>
        <v>1885.603805772171</v>
      </c>
    </row>
    <row r="28" spans="1:15" x14ac:dyDescent="0.2">
      <c r="B28" s="100" t="s">
        <v>98</v>
      </c>
      <c r="C28" s="100" t="s">
        <v>289</v>
      </c>
      <c r="D28" s="100" t="s">
        <v>350</v>
      </c>
      <c r="E28" s="100" t="s">
        <v>10</v>
      </c>
      <c r="F28" s="99"/>
      <c r="G28" s="99"/>
      <c r="H28" s="99"/>
      <c r="I28" s="99"/>
      <c r="J28" s="99"/>
      <c r="K28" s="99"/>
      <c r="L28" s="99">
        <f>IFERROR(INDEX(CostProjections!$N$11:$W$92,MATCH($C28,CostProjections!$L$11:$L$92,0),MATCH(L$6,CostProjections!$N$10:$W$10,0))*0.001,"")</f>
        <v>3448.5361583131421</v>
      </c>
      <c r="M28" s="99">
        <f>IFERROR(INDEX(CostProjections!$N$11:$W$92,MATCH($C28,CostProjections!$L$11:$L$92,0),MATCH(M$6,CostProjections!$N$10:$W$10,0))*0.001,"")</f>
        <v>1839.1914807302808</v>
      </c>
      <c r="N28" s="99">
        <f>IFERROR(INDEX(CostProjections!$N$11:$W$92,MATCH($C28,CostProjections!$L$11:$L$92,0),MATCH(N$6,CostProjections!$N$10:$W$10,0))*0.001,"")</f>
        <v>1727.1894354293891</v>
      </c>
      <c r="O28" s="99">
        <f>IFERROR(INDEX(CostProjections!$N$11:$W$92,MATCH($C28,CostProjections!$L$11:$L$92,0),MATCH(O$6,CostProjections!$N$10:$W$10,0))*0.001,"")</f>
        <v>1615.1873901285062</v>
      </c>
    </row>
    <row r="29" spans="1:15" x14ac:dyDescent="0.2">
      <c r="A29" s="1" t="s">
        <v>76</v>
      </c>
      <c r="B29" s="100" t="s">
        <v>99</v>
      </c>
      <c r="C29" s="100" t="s">
        <v>290</v>
      </c>
      <c r="D29" s="100" t="s">
        <v>350</v>
      </c>
      <c r="E29" s="100" t="s">
        <v>11</v>
      </c>
      <c r="F29" s="99"/>
      <c r="G29" s="99"/>
      <c r="H29" s="99"/>
      <c r="I29" s="99"/>
      <c r="J29" s="99"/>
      <c r="K29" s="99"/>
      <c r="L29" s="99">
        <f>IFERROR(INDEX(CostProjections!$N$11:$W$92,MATCH($C29,CostProjections!$L$11:$L$92,0),MATCH(L$6,CostProjections!$N$10:$W$10,0))*0.001,"")</f>
        <v>1674.9173571001118</v>
      </c>
      <c r="M29" s="99">
        <f>IFERROR(INDEX(CostProjections!$N$11:$W$92,MATCH($C29,CostProjections!$L$11:$L$92,0),MATCH(M$6,CostProjections!$N$10:$W$10,0))*0.001,"")</f>
        <v>1708.7188029283056</v>
      </c>
      <c r="N29" s="99">
        <f>IFERROR(INDEX(CostProjections!$N$11:$W$92,MATCH($C29,CostProjections!$L$11:$L$92,0),MATCH(N$6,CostProjections!$N$10:$W$10,0))*0.001,"")</f>
        <v>1743.2023944965467</v>
      </c>
      <c r="O29" s="99">
        <f>IFERROR(INDEX(CostProjections!$N$11:$W$92,MATCH($C29,CostProjections!$L$11:$L$92,0),MATCH(O$6,CostProjections!$N$10:$W$10,0))*0.001,"")</f>
        <v>1778.3818981630261</v>
      </c>
    </row>
    <row r="30" spans="1:15" x14ac:dyDescent="0.2">
      <c r="B30" s="100" t="s">
        <v>100</v>
      </c>
      <c r="C30" s="100" t="s">
        <v>291</v>
      </c>
      <c r="D30" s="100" t="s">
        <v>350</v>
      </c>
      <c r="E30" s="100" t="s">
        <v>9</v>
      </c>
      <c r="F30" s="99"/>
      <c r="G30" s="99"/>
      <c r="H30" s="99"/>
      <c r="I30" s="99"/>
      <c r="J30" s="99"/>
      <c r="K30" s="99"/>
      <c r="L30" s="99">
        <f>IFERROR(INDEX(CostProjections!$N$11:$W$92,MATCH($C30,CostProjections!$L$11:$L$92,0),MATCH(L$6,CostProjections!$N$10:$W$10,0))*0.001,"")</f>
        <v>2885.1124291966107</v>
      </c>
      <c r="M30" s="99">
        <f>IFERROR(INDEX(CostProjections!$N$11:$W$92,MATCH($C30,CostProjections!$L$11:$L$92,0),MATCH(M$6,CostProjections!$N$10:$W$10,0))*0.001,"")</f>
        <v>1538.7033677857753</v>
      </c>
      <c r="N30" s="99">
        <f>IFERROR(INDEX(CostProjections!$N$11:$W$92,MATCH($C30,CostProjections!$L$11:$L$92,0),MATCH(N$6,CostProjections!$N$10:$W$10,0))*0.001,"")</f>
        <v>1445.0002780808647</v>
      </c>
      <c r="O30" s="99">
        <f>IFERROR(INDEX(CostProjections!$N$11:$W$92,MATCH($C30,CostProjections!$L$11:$L$92,0),MATCH(O$6,CostProjections!$N$10:$W$10,0))*0.001,"")</f>
        <v>1351.2971883759612</v>
      </c>
    </row>
    <row r="31" spans="1:15" x14ac:dyDescent="0.2">
      <c r="A31" s="1" t="s">
        <v>76</v>
      </c>
      <c r="B31" s="100" t="s">
        <v>101</v>
      </c>
      <c r="C31" s="100" t="s">
        <v>292</v>
      </c>
      <c r="D31" s="100" t="s">
        <v>350</v>
      </c>
      <c r="E31" s="100" t="s">
        <v>13</v>
      </c>
      <c r="F31" s="99"/>
      <c r="G31" s="99"/>
      <c r="H31" s="99"/>
      <c r="I31" s="99"/>
      <c r="J31" s="99"/>
      <c r="K31" s="99"/>
      <c r="L31" s="99">
        <f>IFERROR(INDEX(CostProjections!$N$11:$W$92,MATCH($C31,CostProjections!$L$11:$L$92,0),MATCH(L$6,CostProjections!$N$10:$W$10,0))*0.001,"")</f>
        <v>835.64408109927854</v>
      </c>
      <c r="M31" s="99">
        <f>IFERROR(INDEX(CostProjections!$N$11:$W$92,MATCH($C31,CostProjections!$L$11:$L$92,0),MATCH(M$6,CostProjections!$N$10:$W$10,0))*0.001,"")</f>
        <v>852.50818368869375</v>
      </c>
      <c r="N31" s="99">
        <f>IFERROR(INDEX(CostProjections!$N$11:$W$92,MATCH($C31,CostProjections!$L$11:$L$92,0),MATCH(N$6,CostProjections!$N$10:$W$10,0))*0.001,"")</f>
        <v>869.71262011470128</v>
      </c>
      <c r="O31" s="99">
        <f>IFERROR(INDEX(CostProjections!$N$11:$W$92,MATCH($C31,CostProjections!$L$11:$L$92,0),MATCH(O$6,CostProjections!$N$10:$W$10,0))*0.001,"")</f>
        <v>887.26425864199052</v>
      </c>
    </row>
    <row r="32" spans="1:15" x14ac:dyDescent="0.2">
      <c r="A32" s="1" t="s">
        <v>76</v>
      </c>
      <c r="B32" s="100" t="s">
        <v>102</v>
      </c>
      <c r="C32" s="100" t="s">
        <v>293</v>
      </c>
      <c r="D32" s="100" t="s">
        <v>350</v>
      </c>
      <c r="E32" s="100" t="s">
        <v>21</v>
      </c>
      <c r="F32" s="99"/>
      <c r="G32" s="99"/>
      <c r="H32" s="99"/>
      <c r="I32" s="99"/>
      <c r="J32" s="99"/>
      <c r="K32" s="99"/>
      <c r="L32" s="99">
        <f>IFERROR(INDEX(CostProjections!$N$11:$W$92,MATCH($C32,CostProjections!$L$11:$L$92,0),MATCH(L$6,CostProjections!$N$10:$W$10,0))*0.001,"")</f>
        <v>438.90146207526243</v>
      </c>
      <c r="M32" s="99">
        <f>IFERROR(INDEX(CostProjections!$N$11:$W$92,MATCH($C32,CostProjections!$L$11:$L$92,0),MATCH(M$6,CostProjections!$N$10:$W$10,0))*0.001,"")</f>
        <v>447.75891640359885</v>
      </c>
      <c r="N32" s="99">
        <f>IFERROR(INDEX(CostProjections!$N$11:$W$92,MATCH($C32,CostProjections!$L$11:$L$92,0),MATCH(N$6,CostProjections!$N$10:$W$10,0))*0.001,"")</f>
        <v>456.79512269326983</v>
      </c>
      <c r="O32" s="99">
        <f>IFERROR(INDEX(CostProjections!$N$11:$W$92,MATCH($C32,CostProjections!$L$11:$L$92,0),MATCH(O$6,CostProjections!$N$10:$W$10,0))*0.001,"")</f>
        <v>466.01368833105909</v>
      </c>
    </row>
    <row r="33" spans="1:15" x14ac:dyDescent="0.2">
      <c r="A33" s="1" t="s">
        <v>76</v>
      </c>
      <c r="B33" s="100" t="s">
        <v>103</v>
      </c>
      <c r="C33" s="100" t="s">
        <v>294</v>
      </c>
      <c r="D33" s="100" t="s">
        <v>350</v>
      </c>
      <c r="E33" s="100" t="s">
        <v>12</v>
      </c>
      <c r="F33" s="99"/>
      <c r="G33" s="99"/>
      <c r="H33" s="99"/>
      <c r="I33" s="99"/>
      <c r="J33" s="99"/>
      <c r="K33" s="99"/>
      <c r="L33" s="99">
        <f>IFERROR(INDEX(CostProjections!$N$11:$W$92,MATCH($C33,CostProjections!$L$11:$L$92,0),MATCH(L$6,CostProjections!$N$10:$W$10,0))*0.001,"")</f>
        <v>919.2084892092065</v>
      </c>
      <c r="M33" s="99">
        <f>IFERROR(INDEX(CostProjections!$N$11:$W$92,MATCH($C33,CostProjections!$L$11:$L$92,0),MATCH(M$6,CostProjections!$N$10:$W$10,0))*0.001,"")</f>
        <v>937.75900205756318</v>
      </c>
      <c r="N33" s="99">
        <f>IFERROR(INDEX(CostProjections!$N$11:$W$92,MATCH($C33,CostProjections!$L$11:$L$92,0),MATCH(N$6,CostProjections!$N$10:$W$10,0))*0.001,"")</f>
        <v>956.68388212617151</v>
      </c>
      <c r="O33" s="99">
        <f>IFERROR(INDEX(CostProjections!$N$11:$W$92,MATCH($C33,CostProjections!$L$11:$L$92,0),MATCH(O$6,CostProjections!$N$10:$W$10,0))*0.001,"")</f>
        <v>975.99068450618972</v>
      </c>
    </row>
    <row r="34" spans="1:15" x14ac:dyDescent="0.2">
      <c r="B34" s="100" t="s">
        <v>104</v>
      </c>
      <c r="C34" s="100" t="s">
        <v>295</v>
      </c>
      <c r="D34" s="100" t="s">
        <v>350</v>
      </c>
      <c r="E34" s="100" t="s">
        <v>10</v>
      </c>
      <c r="F34" s="99"/>
      <c r="G34" s="99"/>
      <c r="H34" s="99"/>
      <c r="I34" s="99"/>
      <c r="J34" s="99"/>
      <c r="K34" s="99"/>
      <c r="L34" s="99">
        <f>IFERROR(INDEX(CostProjections!$N$11:$W$92,MATCH($C34,CostProjections!$L$11:$L$92,0),MATCH(L$6,CostProjections!$N$10:$W$10,0))*0.001,"")</f>
        <v>3873.0540520727282</v>
      </c>
      <c r="M34" s="99">
        <f>IFERROR(INDEX(CostProjections!$N$11:$W$92,MATCH($C34,CostProjections!$L$11:$L$92,0),MATCH(M$6,CostProjections!$N$10:$W$10,0))*0.001,"")</f>
        <v>2065.5976014079038</v>
      </c>
      <c r="N34" s="99">
        <f>IFERROR(INDEX(CostProjections!$N$11:$W$92,MATCH($C34,CostProjections!$L$11:$L$92,0),MATCH(N$6,CostProjections!$N$10:$W$10,0))*0.001,"")</f>
        <v>1939.8080038862586</v>
      </c>
      <c r="O34" s="99">
        <f>IFERROR(INDEX(CostProjections!$N$11:$W$92,MATCH($C34,CostProjections!$L$11:$L$92,0),MATCH(O$6,CostProjections!$N$10:$W$10,0))*0.001,"")</f>
        <v>1814.0184063646227</v>
      </c>
    </row>
    <row r="35" spans="1:15" x14ac:dyDescent="0.2">
      <c r="A35" s="1" t="s">
        <v>76</v>
      </c>
      <c r="B35" s="100" t="s">
        <v>105</v>
      </c>
      <c r="C35" s="100" t="s">
        <v>296</v>
      </c>
      <c r="D35" s="100" t="s">
        <v>350</v>
      </c>
      <c r="E35" s="100" t="s">
        <v>11</v>
      </c>
      <c r="F35" s="99"/>
      <c r="G35" s="99"/>
      <c r="H35" s="99"/>
      <c r="I35" s="99"/>
      <c r="J35" s="99"/>
      <c r="K35" s="99"/>
      <c r="L35" s="99">
        <f>IFERROR(INDEX(CostProjections!$N$11:$W$92,MATCH($C35,CostProjections!$L$11:$L$92,0),MATCH(L$6,CostProjections!$N$10:$W$10,0))*0.001,"")</f>
        <v>438.90146207526243</v>
      </c>
      <c r="M35" s="99">
        <f>IFERROR(INDEX(CostProjections!$N$11:$W$92,MATCH($C35,CostProjections!$L$11:$L$92,0),MATCH(M$6,CostProjections!$N$10:$W$10,0))*0.001,"")</f>
        <v>447.75891640359885</v>
      </c>
      <c r="N35" s="99">
        <f>IFERROR(INDEX(CostProjections!$N$11:$W$92,MATCH($C35,CostProjections!$L$11:$L$92,0),MATCH(N$6,CostProjections!$N$10:$W$10,0))*0.001,"")</f>
        <v>456.79512269326983</v>
      </c>
      <c r="O35" s="99">
        <f>IFERROR(INDEX(CostProjections!$N$11:$W$92,MATCH($C35,CostProjections!$L$11:$L$92,0),MATCH(O$6,CostProjections!$N$10:$W$10,0))*0.001,"")</f>
        <v>466.01368833105909</v>
      </c>
    </row>
    <row r="36" spans="1:15" x14ac:dyDescent="0.2">
      <c r="B36" s="100" t="s">
        <v>106</v>
      </c>
      <c r="C36" s="100" t="s">
        <v>297</v>
      </c>
      <c r="D36" s="100" t="s">
        <v>350</v>
      </c>
      <c r="E36" s="100" t="s">
        <v>9</v>
      </c>
      <c r="F36" s="99"/>
      <c r="G36" s="99"/>
      <c r="H36" s="99"/>
      <c r="I36" s="99"/>
      <c r="J36" s="99"/>
      <c r="K36" s="99"/>
      <c r="L36" s="99">
        <f>IFERROR(INDEX(CostProjections!$N$11:$W$92,MATCH($C36,CostProjections!$L$11:$L$92,0),MATCH(L$6,CostProjections!$N$10:$W$10,0))*0.001,"")</f>
        <v>1516.7538557832556</v>
      </c>
      <c r="M36" s="99">
        <f>IFERROR(INDEX(CostProjections!$N$11:$W$92,MATCH($C36,CostProjections!$L$11:$L$92,0),MATCH(M$6,CostProjections!$N$10:$W$10,0))*0.001,"")</f>
        <v>808.92316097561422</v>
      </c>
      <c r="N36" s="99">
        <f>IFERROR(INDEX(CostProjections!$N$11:$W$92,MATCH($C36,CostProjections!$L$11:$L$92,0),MATCH(N$6,CostProjections!$N$10:$W$10,0))*0.001,"")</f>
        <v>759.66181463414648</v>
      </c>
      <c r="O36" s="99">
        <f>IFERROR(INDEX(CostProjections!$N$11:$W$92,MATCH($C36,CostProjections!$L$11:$L$92,0),MATCH(O$6,CostProjections!$N$10:$W$10,0))*0.001,"")</f>
        <v>710.40046829268272</v>
      </c>
    </row>
    <row r="37" spans="1:15" x14ac:dyDescent="0.2">
      <c r="A37" s="1" t="s">
        <v>76</v>
      </c>
      <c r="B37" s="100" t="s">
        <v>107</v>
      </c>
      <c r="C37" s="100" t="s">
        <v>26</v>
      </c>
      <c r="D37" s="100" t="s">
        <v>350</v>
      </c>
      <c r="E37" s="100" t="s">
        <v>13</v>
      </c>
      <c r="F37" s="99"/>
      <c r="G37" s="99"/>
      <c r="H37" s="99"/>
      <c r="I37" s="99"/>
      <c r="J37" s="99"/>
      <c r="K37" s="99"/>
      <c r="L37" s="99">
        <f>IFERROR(INDEX(CostProjections!$N$11:$W$92,MATCH($C37,CostProjections!$L$11:$L$92,0),MATCH(L$6,CostProjections!$N$10:$W$10,0))*0.001,"")</f>
        <v>1674.9173571001118</v>
      </c>
      <c r="M37" s="99">
        <f>IFERROR(INDEX(CostProjections!$N$11:$W$92,MATCH($C37,CostProjections!$L$11:$L$92,0),MATCH(M$6,CostProjections!$N$10:$W$10,0))*0.001,"")</f>
        <v>1708.7188029283056</v>
      </c>
      <c r="N37" s="99">
        <f>IFERROR(INDEX(CostProjections!$N$11:$W$92,MATCH($C37,CostProjections!$L$11:$L$92,0),MATCH(N$6,CostProjections!$N$10:$W$10,0))*0.001,"")</f>
        <v>1743.2023944965467</v>
      </c>
      <c r="O37" s="99">
        <f>IFERROR(INDEX(CostProjections!$N$11:$W$92,MATCH($C37,CostProjections!$L$11:$L$92,0),MATCH(O$6,CostProjections!$N$10:$W$10,0))*0.001,"")</f>
        <v>1778.3818981630261</v>
      </c>
    </row>
    <row r="38" spans="1:15" x14ac:dyDescent="0.2">
      <c r="A38" s="1" t="s">
        <v>76</v>
      </c>
      <c r="B38" s="100" t="s">
        <v>108</v>
      </c>
      <c r="C38" s="100" t="s">
        <v>298</v>
      </c>
      <c r="D38" s="100" t="s">
        <v>350</v>
      </c>
      <c r="E38" s="100" t="s">
        <v>12</v>
      </c>
      <c r="F38" s="99"/>
      <c r="G38" s="99"/>
      <c r="H38" s="99"/>
      <c r="I38" s="99"/>
      <c r="J38" s="99"/>
      <c r="K38" s="99"/>
      <c r="L38" s="99">
        <f>IFERROR(INDEX(CostProjections!$N$11:$W$92,MATCH($C38,CostProjections!$L$11:$L$92,0),MATCH(L$6,CostProjections!$N$10:$W$10,0))*0.001,"")</f>
        <v>1775.901197692195</v>
      </c>
      <c r="M38" s="99">
        <f>IFERROR(INDEX(CostProjections!$N$11:$W$92,MATCH($C38,CostProjections!$L$11:$L$92,0),MATCH(M$6,CostProjections!$N$10:$W$10,0))*0.001,"")</f>
        <v>1811.7405947081456</v>
      </c>
      <c r="N38" s="99">
        <f>IFERROR(INDEX(CostProjections!$N$11:$W$92,MATCH($C38,CostProjections!$L$11:$L$92,0),MATCH(N$6,CostProjections!$N$10:$W$10,0))*0.001,"")</f>
        <v>1848.303265282409</v>
      </c>
      <c r="O38" s="99">
        <f>IFERROR(INDEX(CostProjections!$N$11:$W$92,MATCH($C38,CostProjections!$L$11:$L$92,0),MATCH(O$6,CostProjections!$N$10:$W$10,0))*0.001,"")</f>
        <v>1885.603805772171</v>
      </c>
    </row>
    <row r="39" spans="1:15" x14ac:dyDescent="0.2">
      <c r="B39" s="100" t="s">
        <v>109</v>
      </c>
      <c r="C39" s="100" t="s">
        <v>299</v>
      </c>
      <c r="D39" s="100" t="s">
        <v>350</v>
      </c>
      <c r="E39" s="100" t="s">
        <v>9</v>
      </c>
      <c r="F39" s="99"/>
      <c r="G39" s="99"/>
      <c r="H39" s="99"/>
      <c r="I39" s="99"/>
      <c r="J39" s="99"/>
      <c r="K39" s="99"/>
      <c r="L39" s="99">
        <f>IFERROR(INDEX(CostProjections!$N$11:$W$92,MATCH($C39,CostProjections!$L$11:$L$92,0),MATCH(L$6,CostProjections!$N$10:$W$10,0))*0.001,"")</f>
        <v>2885.1124291966107</v>
      </c>
      <c r="M39" s="99">
        <f>IFERROR(INDEX(CostProjections!$N$11:$W$92,MATCH($C39,CostProjections!$L$11:$L$92,0),MATCH(M$6,CostProjections!$N$10:$W$10,0))*0.001,"")</f>
        <v>1538.7033677857753</v>
      </c>
      <c r="N39" s="99">
        <f>IFERROR(INDEX(CostProjections!$N$11:$W$92,MATCH($C39,CostProjections!$L$11:$L$92,0),MATCH(N$6,CostProjections!$N$10:$W$10,0))*0.001,"")</f>
        <v>1445.0002780808647</v>
      </c>
      <c r="O39" s="99">
        <f>IFERROR(INDEX(CostProjections!$N$11:$W$92,MATCH($C39,CostProjections!$L$11:$L$92,0),MATCH(O$6,CostProjections!$N$10:$W$10,0))*0.001,"")</f>
        <v>1351.2971883759612</v>
      </c>
    </row>
    <row r="40" spans="1:15" x14ac:dyDescent="0.2">
      <c r="B40" s="100" t="s">
        <v>110</v>
      </c>
      <c r="C40" s="100" t="s">
        <v>300</v>
      </c>
      <c r="D40" s="100" t="s">
        <v>350</v>
      </c>
      <c r="E40" s="100" t="s">
        <v>10</v>
      </c>
      <c r="F40" s="99"/>
      <c r="G40" s="99"/>
      <c r="H40" s="99"/>
      <c r="I40" s="99"/>
      <c r="J40" s="99"/>
      <c r="K40" s="99"/>
      <c r="L40" s="99">
        <f>IFERROR(INDEX(CostProjections!$N$11:$W$92,MATCH($C40,CostProjections!$L$11:$L$92,0),MATCH(L$6,CostProjections!$N$10:$W$10,0))*0.001,"")</f>
        <v>3448.5361583131421</v>
      </c>
      <c r="M40" s="99">
        <f>IFERROR(INDEX(CostProjections!$N$11:$W$92,MATCH($C40,CostProjections!$L$11:$L$92,0),MATCH(M$6,CostProjections!$N$10:$W$10,0))*0.001,"")</f>
        <v>1839.1914807302808</v>
      </c>
      <c r="N40" s="99">
        <f>IFERROR(INDEX(CostProjections!$N$11:$W$92,MATCH($C40,CostProjections!$L$11:$L$92,0),MATCH(N$6,CostProjections!$N$10:$W$10,0))*0.001,"")</f>
        <v>1727.1894354293891</v>
      </c>
      <c r="O40" s="99">
        <f>IFERROR(INDEX(CostProjections!$N$11:$W$92,MATCH($C40,CostProjections!$L$11:$L$92,0),MATCH(O$6,CostProjections!$N$10:$W$10,0))*0.001,"")</f>
        <v>1615.1873901285062</v>
      </c>
    </row>
    <row r="41" spans="1:15" x14ac:dyDescent="0.2">
      <c r="A41" s="1" t="s">
        <v>76</v>
      </c>
      <c r="B41" s="100" t="s">
        <v>111</v>
      </c>
      <c r="C41" s="100" t="s">
        <v>301</v>
      </c>
      <c r="D41" s="100" t="s">
        <v>350</v>
      </c>
      <c r="E41" s="100" t="s">
        <v>11</v>
      </c>
      <c r="F41" s="99"/>
      <c r="G41" s="99"/>
      <c r="H41" s="99"/>
      <c r="I41" s="99"/>
      <c r="J41" s="99"/>
      <c r="K41" s="99"/>
      <c r="L41" s="99">
        <f>IFERROR(INDEX(CostProjections!$N$11:$W$92,MATCH($C41,CostProjections!$L$11:$L$92,0),MATCH(L$6,CostProjections!$N$10:$W$10,0))*0.001,"")</f>
        <v>1674.9173571001118</v>
      </c>
      <c r="M41" s="99">
        <f>IFERROR(INDEX(CostProjections!$N$11:$W$92,MATCH($C41,CostProjections!$L$11:$L$92,0),MATCH(M$6,CostProjections!$N$10:$W$10,0))*0.001,"")</f>
        <v>1708.7188029283056</v>
      </c>
      <c r="N41" s="99">
        <f>IFERROR(INDEX(CostProjections!$N$11:$W$92,MATCH($C41,CostProjections!$L$11:$L$92,0),MATCH(N$6,CostProjections!$N$10:$W$10,0))*0.001,"")</f>
        <v>1743.2023944965467</v>
      </c>
      <c r="O41" s="99">
        <f>IFERROR(INDEX(CostProjections!$N$11:$W$92,MATCH($C41,CostProjections!$L$11:$L$92,0),MATCH(O$6,CostProjections!$N$10:$W$10,0))*0.001,"")</f>
        <v>1778.3818981630261</v>
      </c>
    </row>
    <row r="42" spans="1:15" x14ac:dyDescent="0.2">
      <c r="A42" s="1" t="s">
        <v>76</v>
      </c>
      <c r="B42" s="100" t="s">
        <v>112</v>
      </c>
      <c r="C42" s="100" t="s">
        <v>302</v>
      </c>
      <c r="D42" s="100" t="s">
        <v>350</v>
      </c>
      <c r="E42" s="100" t="s">
        <v>13</v>
      </c>
      <c r="F42" s="99"/>
      <c r="G42" s="99"/>
      <c r="H42" s="99"/>
      <c r="I42" s="99"/>
      <c r="J42" s="99"/>
      <c r="K42" s="99"/>
      <c r="L42" s="99">
        <f>IFERROR(INDEX(CostProjections!$N$11:$W$92,MATCH($C42,CostProjections!$L$11:$L$92,0),MATCH(L$6,CostProjections!$N$10:$W$10,0))*0.001,"")</f>
        <v>835.64408109927854</v>
      </c>
      <c r="M42" s="99">
        <f>IFERROR(INDEX(CostProjections!$N$11:$W$92,MATCH($C42,CostProjections!$L$11:$L$92,0),MATCH(M$6,CostProjections!$N$10:$W$10,0))*0.001,"")</f>
        <v>852.50818368869375</v>
      </c>
      <c r="N42" s="99">
        <f>IFERROR(INDEX(CostProjections!$N$11:$W$92,MATCH($C42,CostProjections!$L$11:$L$92,0),MATCH(N$6,CostProjections!$N$10:$W$10,0))*0.001,"")</f>
        <v>869.71262011470128</v>
      </c>
      <c r="O42" s="99">
        <f>IFERROR(INDEX(CostProjections!$N$11:$W$92,MATCH($C42,CostProjections!$L$11:$L$92,0),MATCH(O$6,CostProjections!$N$10:$W$10,0))*0.001,"")</f>
        <v>887.26425864199052</v>
      </c>
    </row>
    <row r="43" spans="1:15" x14ac:dyDescent="0.2">
      <c r="B43" s="100" t="s">
        <v>113</v>
      </c>
      <c r="C43" s="100" t="s">
        <v>303</v>
      </c>
      <c r="D43" s="100" t="s">
        <v>350</v>
      </c>
      <c r="E43" s="100" t="s">
        <v>13</v>
      </c>
      <c r="F43" s="99"/>
      <c r="G43" s="99"/>
      <c r="H43" s="99"/>
      <c r="I43" s="99"/>
      <c r="J43" s="99"/>
      <c r="K43" s="99"/>
      <c r="L43" s="99">
        <f>IFERROR(INDEX(CostProjections!$N$11:$W$92,MATCH($C43,CostProjections!$L$11:$L$92,0),MATCH(L$6,CostProjections!$N$10:$W$10,0))*0.001,"")</f>
        <v>1115.3529863163551</v>
      </c>
      <c r="M43" s="99">
        <f>IFERROR(INDEX(CostProjections!$N$11:$W$92,MATCH($C43,CostProjections!$L$11:$L$92,0),MATCH(M$6,CostProjections!$N$10:$W$10,0))*0.001,"")</f>
        <v>849.11877209576846</v>
      </c>
      <c r="N43" s="99">
        <f>IFERROR(INDEX(CostProjections!$N$11:$W$92,MATCH($C43,CostProjections!$L$11:$L$92,0),MATCH(N$6,CostProjections!$N$10:$W$10,0))*0.001,"")</f>
        <v>851.93042365899805</v>
      </c>
      <c r="O43" s="99">
        <f>IFERROR(INDEX(CostProjections!$N$11:$W$92,MATCH($C43,CostProjections!$L$11:$L$92,0),MATCH(O$6,CostProjections!$N$10:$W$10,0))*0.001,"")</f>
        <v>854.742075222229</v>
      </c>
    </row>
    <row r="44" spans="1:15" x14ac:dyDescent="0.2">
      <c r="A44" s="1" t="s">
        <v>76</v>
      </c>
      <c r="B44" s="100" t="s">
        <v>114</v>
      </c>
      <c r="C44" s="100" t="s">
        <v>304</v>
      </c>
      <c r="D44" s="100" t="s">
        <v>350</v>
      </c>
      <c r="E44" s="100" t="s">
        <v>21</v>
      </c>
      <c r="F44" s="99"/>
      <c r="G44" s="99"/>
      <c r="H44" s="99"/>
      <c r="I44" s="99"/>
      <c r="J44" s="99"/>
      <c r="K44" s="99"/>
      <c r="L44" s="99">
        <f>IFERROR(INDEX(CostProjections!$N$11:$W$92,MATCH($C44,CostProjections!$L$11:$L$92,0),MATCH(L$6,CostProjections!$N$10:$W$10,0))*0.001,"")</f>
        <v>438.90146207526243</v>
      </c>
      <c r="M44" s="99">
        <f>IFERROR(INDEX(CostProjections!$N$11:$W$92,MATCH($C44,CostProjections!$L$11:$L$92,0),MATCH(M$6,CostProjections!$N$10:$W$10,0))*0.001,"")</f>
        <v>447.75891640359885</v>
      </c>
      <c r="N44" s="99">
        <f>IFERROR(INDEX(CostProjections!$N$11:$W$92,MATCH($C44,CostProjections!$L$11:$L$92,0),MATCH(N$6,CostProjections!$N$10:$W$10,0))*0.001,"")</f>
        <v>456.79512269326983</v>
      </c>
      <c r="O44" s="99">
        <f>IFERROR(INDEX(CostProjections!$N$11:$W$92,MATCH($C44,CostProjections!$L$11:$L$92,0),MATCH(O$6,CostProjections!$N$10:$W$10,0))*0.001,"")</f>
        <v>466.01368833105909</v>
      </c>
    </row>
    <row r="45" spans="1:15" x14ac:dyDescent="0.2">
      <c r="B45" s="100" t="s">
        <v>115</v>
      </c>
      <c r="C45" s="100" t="s">
        <v>305</v>
      </c>
      <c r="D45" s="100" t="s">
        <v>350</v>
      </c>
      <c r="E45" s="100" t="s">
        <v>21</v>
      </c>
      <c r="F45" s="99"/>
      <c r="G45" s="99"/>
      <c r="H45" s="99"/>
      <c r="I45" s="99"/>
      <c r="J45" s="99"/>
      <c r="K45" s="99"/>
      <c r="L45" s="99">
        <f>IFERROR(INDEX(CostProjections!$N$11:$W$92,MATCH($C45,CostProjections!$L$11:$L$92,0),MATCH(L$6,CostProjections!$N$10:$W$10,0))*0.001,"")</f>
        <v>585.81167209404305</v>
      </c>
      <c r="M45" s="99">
        <f>IFERROR(INDEX(CostProjections!$N$11:$W$92,MATCH($C45,CostProjections!$L$11:$L$92,0),MATCH(M$6,CostProjections!$N$10:$W$10,0))*0.001,"")</f>
        <v>445.97871148459467</v>
      </c>
      <c r="N45" s="99">
        <f>IFERROR(INDEX(CostProjections!$N$11:$W$92,MATCH($C45,CostProjections!$L$11:$L$92,0),MATCH(N$6,CostProjections!$N$10:$W$10,0))*0.001,"")</f>
        <v>447.45546218487397</v>
      </c>
      <c r="O45" s="99">
        <f>IFERROR(INDEX(CostProjections!$N$11:$W$92,MATCH($C45,CostProjections!$L$11:$L$92,0),MATCH(O$6,CostProjections!$N$10:$W$10,0))*0.001,"")</f>
        <v>448.93221288515406</v>
      </c>
    </row>
    <row r="46" spans="1:15" x14ac:dyDescent="0.2">
      <c r="A46" s="1" t="s">
        <v>76</v>
      </c>
      <c r="B46" s="100" t="s">
        <v>116</v>
      </c>
      <c r="C46" s="100" t="s">
        <v>306</v>
      </c>
      <c r="D46" s="100" t="s">
        <v>350</v>
      </c>
      <c r="E46" s="100" t="s">
        <v>12</v>
      </c>
      <c r="F46" s="99"/>
      <c r="G46" s="99"/>
      <c r="H46" s="99"/>
      <c r="I46" s="99"/>
      <c r="J46" s="99"/>
      <c r="K46" s="99"/>
      <c r="L46" s="99">
        <f>IFERROR(INDEX(CostProjections!$N$11:$W$92,MATCH($C46,CostProjections!$L$11:$L$92,0),MATCH(L$6,CostProjections!$N$10:$W$10,0))*0.001,"")</f>
        <v>919.2084892092065</v>
      </c>
      <c r="M46" s="99">
        <f>IFERROR(INDEX(CostProjections!$N$11:$W$92,MATCH($C46,CostProjections!$L$11:$L$92,0),MATCH(M$6,CostProjections!$N$10:$W$10,0))*0.001,"")</f>
        <v>937.75900205756318</v>
      </c>
      <c r="N46" s="99">
        <f>IFERROR(INDEX(CostProjections!$N$11:$W$92,MATCH($C46,CostProjections!$L$11:$L$92,0),MATCH(N$6,CostProjections!$N$10:$W$10,0))*0.001,"")</f>
        <v>956.68388212617151</v>
      </c>
      <c r="O46" s="99">
        <f>IFERROR(INDEX(CostProjections!$N$11:$W$92,MATCH($C46,CostProjections!$L$11:$L$92,0),MATCH(O$6,CostProjections!$N$10:$W$10,0))*0.001,"")</f>
        <v>975.99068450618972</v>
      </c>
    </row>
    <row r="47" spans="1:15" x14ac:dyDescent="0.2">
      <c r="B47" s="100" t="s">
        <v>117</v>
      </c>
      <c r="C47" s="100" t="s">
        <v>307</v>
      </c>
      <c r="D47" s="100" t="s">
        <v>350</v>
      </c>
      <c r="E47" s="100" t="s">
        <v>9</v>
      </c>
      <c r="F47" s="99"/>
      <c r="G47" s="99"/>
      <c r="H47" s="99"/>
      <c r="I47" s="99"/>
      <c r="J47" s="99"/>
      <c r="K47" s="99"/>
      <c r="L47" s="99">
        <f>IFERROR(INDEX(CostProjections!$N$11:$W$92,MATCH($C47,CostProjections!$L$11:$L$92,0),MATCH(L$6,CostProjections!$N$10:$W$10,0))*0.001,"")</f>
        <v>1516.7538557832556</v>
      </c>
      <c r="M47" s="99">
        <f>IFERROR(INDEX(CostProjections!$N$11:$W$92,MATCH($C47,CostProjections!$L$11:$L$92,0),MATCH(M$6,CostProjections!$N$10:$W$10,0))*0.001,"")</f>
        <v>808.92316097561422</v>
      </c>
      <c r="N47" s="99">
        <f>IFERROR(INDEX(CostProjections!$N$11:$W$92,MATCH($C47,CostProjections!$L$11:$L$92,0),MATCH(N$6,CostProjections!$N$10:$W$10,0))*0.001,"")</f>
        <v>759.66181463414648</v>
      </c>
      <c r="O47" s="99">
        <f>IFERROR(INDEX(CostProjections!$N$11:$W$92,MATCH($C47,CostProjections!$L$11:$L$92,0),MATCH(O$6,CostProjections!$N$10:$W$10,0))*0.001,"")</f>
        <v>710.40046829268272</v>
      </c>
    </row>
    <row r="48" spans="1:15" x14ac:dyDescent="0.2">
      <c r="A48" s="1" t="s">
        <v>76</v>
      </c>
      <c r="B48" s="100" t="s">
        <v>118</v>
      </c>
      <c r="C48" s="100" t="s">
        <v>308</v>
      </c>
      <c r="D48" s="100" t="s">
        <v>350</v>
      </c>
      <c r="E48" s="100" t="s">
        <v>13</v>
      </c>
      <c r="F48" s="99"/>
      <c r="G48" s="99"/>
      <c r="H48" s="99"/>
      <c r="I48" s="99"/>
      <c r="J48" s="99"/>
      <c r="K48" s="99"/>
      <c r="L48" s="99">
        <f>IFERROR(INDEX(CostProjections!$N$11:$W$92,MATCH($C48,CostProjections!$L$11:$L$92,0),MATCH(L$6,CostProjections!$N$10:$W$10,0))*0.001,"")</f>
        <v>522.57584162425417</v>
      </c>
      <c r="M48" s="99">
        <f>IFERROR(INDEX(CostProjections!$N$11:$W$92,MATCH($C48,CostProjections!$L$11:$L$92,0),MATCH(M$6,CostProjections!$N$10:$W$10,0))*0.001,"")</f>
        <v>533.12192554111539</v>
      </c>
      <c r="N48" s="99">
        <f>IFERROR(INDEX(CostProjections!$N$11:$W$92,MATCH($C48,CostProjections!$L$11:$L$92,0),MATCH(N$6,CostProjections!$N$10:$W$10,0))*0.001,"")</f>
        <v>543.88083959117944</v>
      </c>
      <c r="O48" s="99">
        <f>IFERROR(INDEX(CostProjections!$N$11:$W$92,MATCH($C48,CostProjections!$L$11:$L$92,0),MATCH(O$6,CostProjections!$N$10:$W$10,0))*0.001,"")</f>
        <v>554.85687889156804</v>
      </c>
    </row>
    <row r="49" spans="1:15" x14ac:dyDescent="0.2">
      <c r="A49" s="1" t="s">
        <v>76</v>
      </c>
      <c r="B49" s="100" t="s">
        <v>119</v>
      </c>
      <c r="C49" s="100" t="s">
        <v>309</v>
      </c>
      <c r="D49" s="100" t="s">
        <v>350</v>
      </c>
      <c r="E49" s="100" t="s">
        <v>21</v>
      </c>
      <c r="F49" s="99"/>
      <c r="G49" s="99"/>
      <c r="H49" s="99"/>
      <c r="I49" s="99"/>
      <c r="J49" s="99"/>
      <c r="K49" s="99"/>
      <c r="L49" s="99">
        <f>IFERROR(INDEX(CostProjections!$N$11:$W$92,MATCH($C49,CostProjections!$L$11:$L$92,0),MATCH(L$6,CostProjections!$N$10:$W$10,0))*0.001,"")</f>
        <v>411.73058994760896</v>
      </c>
      <c r="M49" s="99">
        <f>IFERROR(INDEX(CostProjections!$N$11:$W$92,MATCH($C49,CostProjections!$L$11:$L$92,0),MATCH(M$6,CostProjections!$N$10:$W$10,0))*0.001,"")</f>
        <v>420.0397099008585</v>
      </c>
      <c r="N49" s="99">
        <f>IFERROR(INDEX(CostProjections!$N$11:$W$92,MATCH($C49,CostProjections!$L$11:$L$92,0),MATCH(N$6,CostProjections!$N$10:$W$10,0))*0.001,"")</f>
        <v>428.51651589950546</v>
      </c>
      <c r="O49" s="99">
        <f>IFERROR(INDEX(CostProjections!$N$11:$W$92,MATCH($C49,CostProjections!$L$11:$L$92,0),MATCH(O$6,CostProjections!$N$10:$W$10,0))*0.001,"")</f>
        <v>437.16439200948946</v>
      </c>
    </row>
    <row r="50" spans="1:15" x14ac:dyDescent="0.2">
      <c r="A50" s="1" t="s">
        <v>76</v>
      </c>
      <c r="B50" s="100" t="s">
        <v>120</v>
      </c>
      <c r="C50" s="100" t="s">
        <v>310</v>
      </c>
      <c r="D50" s="100" t="s">
        <v>350</v>
      </c>
      <c r="E50" s="100" t="s">
        <v>13</v>
      </c>
      <c r="F50" s="99"/>
      <c r="G50" s="99"/>
      <c r="H50" s="99"/>
      <c r="I50" s="99"/>
      <c r="J50" s="99"/>
      <c r="K50" s="99"/>
      <c r="L50" s="99">
        <f>IFERROR(INDEX(CostProjections!$N$11:$W$92,MATCH($C50,CostProjections!$L$11:$L$92,0),MATCH(L$6,CostProjections!$N$10:$W$10,0))*0.001,"")</f>
        <v>522.57584162425417</v>
      </c>
      <c r="M50" s="99">
        <f>IFERROR(INDEX(CostProjections!$N$11:$W$92,MATCH($C50,CostProjections!$L$11:$L$92,0),MATCH(M$6,CostProjections!$N$10:$W$10,0))*0.001,"")</f>
        <v>533.12192554111539</v>
      </c>
      <c r="N50" s="99">
        <f>IFERROR(INDEX(CostProjections!$N$11:$W$92,MATCH($C50,CostProjections!$L$11:$L$92,0),MATCH(N$6,CostProjections!$N$10:$W$10,0))*0.001,"")</f>
        <v>543.88083959117944</v>
      </c>
      <c r="O50" s="99">
        <f>IFERROR(INDEX(CostProjections!$N$11:$W$92,MATCH($C50,CostProjections!$L$11:$L$92,0),MATCH(O$6,CostProjections!$N$10:$W$10,0))*0.001,"")</f>
        <v>554.85687889156804</v>
      </c>
    </row>
    <row r="51" spans="1:15" x14ac:dyDescent="0.2">
      <c r="A51" s="1" t="s">
        <v>76</v>
      </c>
      <c r="B51" s="100" t="s">
        <v>121</v>
      </c>
      <c r="C51" s="100" t="s">
        <v>311</v>
      </c>
      <c r="D51" s="100" t="s">
        <v>350</v>
      </c>
      <c r="E51" s="100" t="s">
        <v>13</v>
      </c>
      <c r="F51" s="99"/>
      <c r="G51" s="99"/>
      <c r="H51" s="99"/>
      <c r="I51" s="99"/>
      <c r="J51" s="99"/>
      <c r="K51" s="99"/>
      <c r="L51" s="99">
        <f>IFERROR(INDEX(CostProjections!$N$11:$W$92,MATCH($C51,CostProjections!$L$11:$L$92,0),MATCH(L$6,CostProjections!$N$10:$W$10,0))*0.001,"")</f>
        <v>522.57584162425417</v>
      </c>
      <c r="M51" s="99">
        <f>IFERROR(INDEX(CostProjections!$N$11:$W$92,MATCH($C51,CostProjections!$L$11:$L$92,0),MATCH(M$6,CostProjections!$N$10:$W$10,0))*0.001,"")</f>
        <v>533.12192554111539</v>
      </c>
      <c r="N51" s="99">
        <f>IFERROR(INDEX(CostProjections!$N$11:$W$92,MATCH($C51,CostProjections!$L$11:$L$92,0),MATCH(N$6,CostProjections!$N$10:$W$10,0))*0.001,"")</f>
        <v>543.88083959117944</v>
      </c>
      <c r="O51" s="99">
        <f>IFERROR(INDEX(CostProjections!$N$11:$W$92,MATCH($C51,CostProjections!$L$11:$L$92,0),MATCH(O$6,CostProjections!$N$10:$W$10,0))*0.001,"")</f>
        <v>554.85687889156804</v>
      </c>
    </row>
    <row r="52" spans="1:15" x14ac:dyDescent="0.2">
      <c r="A52" s="1" t="s">
        <v>76</v>
      </c>
      <c r="B52" s="100" t="s">
        <v>122</v>
      </c>
      <c r="C52" s="100" t="s">
        <v>312</v>
      </c>
      <c r="D52" s="100" t="s">
        <v>350</v>
      </c>
      <c r="E52" s="100" t="s">
        <v>13</v>
      </c>
      <c r="F52" s="99"/>
      <c r="G52" s="99"/>
      <c r="H52" s="99"/>
      <c r="I52" s="99"/>
      <c r="J52" s="99"/>
      <c r="K52" s="99"/>
      <c r="L52" s="99">
        <f>IFERROR(INDEX(CostProjections!$N$11:$W$92,MATCH($C52,CostProjections!$L$11:$L$92,0),MATCH(L$6,CostProjections!$N$10:$W$10,0))*0.001,"")</f>
        <v>902.73536260054868</v>
      </c>
      <c r="M52" s="99">
        <f>IFERROR(INDEX(CostProjections!$N$11:$W$92,MATCH($C52,CostProjections!$L$11:$L$92,0),MATCH(M$6,CostProjections!$N$10:$W$10,0))*0.001,"")</f>
        <v>920.95343188425818</v>
      </c>
      <c r="N52" s="99">
        <f>IFERROR(INDEX(CostProjections!$N$11:$W$92,MATCH($C52,CostProjections!$L$11:$L$92,0),MATCH(N$6,CostProjections!$N$10:$W$10,0))*0.001,"")</f>
        <v>939.53915935681937</v>
      </c>
      <c r="O52" s="99">
        <f>IFERROR(INDEX(CostProjections!$N$11:$W$92,MATCH($C52,CostProjections!$L$11:$L$92,0),MATCH(O$6,CostProjections!$N$10:$W$10,0))*0.001,"")</f>
        <v>958.49996471467352</v>
      </c>
    </row>
    <row r="53" spans="1:15" x14ac:dyDescent="0.2">
      <c r="A53" s="1" t="s">
        <v>76</v>
      </c>
      <c r="B53" s="100" t="s">
        <v>123</v>
      </c>
      <c r="C53" s="100" t="s">
        <v>313</v>
      </c>
      <c r="D53" s="100" t="s">
        <v>350</v>
      </c>
      <c r="E53" s="100" t="s">
        <v>13</v>
      </c>
      <c r="F53" s="99"/>
      <c r="G53" s="99"/>
      <c r="H53" s="99"/>
      <c r="I53" s="99"/>
      <c r="J53" s="99"/>
      <c r="K53" s="99"/>
      <c r="L53" s="99">
        <f>IFERROR(INDEX(CostProjections!$N$11:$W$92,MATCH($C53,CostProjections!$L$11:$L$92,0),MATCH(L$6,CostProjections!$N$10:$W$10,0))*0.001,"")</f>
        <v>858.22359532891846</v>
      </c>
      <c r="M53" s="99">
        <f>IFERROR(INDEX(CostProjections!$N$11:$W$92,MATCH($C53,CostProjections!$L$11:$L$92,0),MATCH(M$6,CostProjections!$N$10:$W$10,0))*0.001,"")</f>
        <v>875.54337426787095</v>
      </c>
      <c r="N53" s="99">
        <f>IFERROR(INDEX(CostProjections!$N$11:$W$92,MATCH($C53,CostProjections!$L$11:$L$92,0),MATCH(N$6,CostProjections!$N$10:$W$10,0))*0.001,"")</f>
        <v>893.21268303113357</v>
      </c>
      <c r="O53" s="99">
        <f>IFERROR(INDEX(CostProjections!$N$11:$W$92,MATCH($C53,CostProjections!$L$11:$L$92,0),MATCH(O$6,CostProjections!$N$10:$W$10,0))*0.001,"")</f>
        <v>911.23857546728675</v>
      </c>
    </row>
    <row r="54" spans="1:15" x14ac:dyDescent="0.2">
      <c r="A54" s="1" t="s">
        <v>76</v>
      </c>
      <c r="B54" s="100" t="s">
        <v>124</v>
      </c>
      <c r="C54" s="100" t="s">
        <v>314</v>
      </c>
      <c r="D54" s="100" t="s">
        <v>350</v>
      </c>
      <c r="E54" s="100" t="s">
        <v>13</v>
      </c>
      <c r="F54" s="99"/>
      <c r="G54" s="99"/>
      <c r="H54" s="99"/>
      <c r="I54" s="99"/>
      <c r="J54" s="99"/>
      <c r="K54" s="99"/>
      <c r="L54" s="99">
        <f>IFERROR(INDEX(CostProjections!$N$11:$W$92,MATCH($C54,CostProjections!$L$11:$L$92,0),MATCH(L$6,CostProjections!$N$10:$W$10,0))*0.001,"")</f>
        <v>858.22359532891846</v>
      </c>
      <c r="M54" s="99">
        <f>IFERROR(INDEX(CostProjections!$N$11:$W$92,MATCH($C54,CostProjections!$L$11:$L$92,0),MATCH(M$6,CostProjections!$N$10:$W$10,0))*0.001,"")</f>
        <v>875.54337426787095</v>
      </c>
      <c r="N54" s="99">
        <f>IFERROR(INDEX(CostProjections!$N$11:$W$92,MATCH($C54,CostProjections!$L$11:$L$92,0),MATCH(N$6,CostProjections!$N$10:$W$10,0))*0.001,"")</f>
        <v>893.21268303113357</v>
      </c>
      <c r="O54" s="99">
        <f>IFERROR(INDEX(CostProjections!$N$11:$W$92,MATCH($C54,CostProjections!$L$11:$L$92,0),MATCH(O$6,CostProjections!$N$10:$W$10,0))*0.001,"")</f>
        <v>911.23857546728675</v>
      </c>
    </row>
    <row r="55" spans="1:15" x14ac:dyDescent="0.2">
      <c r="A55" s="1" t="s">
        <v>76</v>
      </c>
      <c r="B55" s="100" t="s">
        <v>125</v>
      </c>
      <c r="C55" s="100" t="s">
        <v>315</v>
      </c>
      <c r="D55" s="100" t="s">
        <v>350</v>
      </c>
      <c r="E55" s="100" t="s">
        <v>13</v>
      </c>
      <c r="F55" s="99"/>
      <c r="G55" s="99"/>
      <c r="H55" s="99"/>
      <c r="I55" s="99"/>
      <c r="J55" s="99"/>
      <c r="K55" s="99"/>
      <c r="L55" s="99">
        <f>IFERROR(INDEX(CostProjections!$N$11:$W$92,MATCH($C55,CostProjections!$L$11:$L$92,0),MATCH(L$6,CostProjections!$N$10:$W$10,0))*0.001,"")</f>
        <v>1128.5294733678718</v>
      </c>
      <c r="M55" s="99">
        <f>IFERROR(INDEX(CostProjections!$N$11:$W$92,MATCH($C55,CostProjections!$L$11:$L$92,0),MATCH(M$6,CostProjections!$N$10:$W$10,0))*0.001,"")</f>
        <v>1151.3042853297043</v>
      </c>
      <c r="N55" s="99">
        <f>IFERROR(INDEX(CostProjections!$N$11:$W$92,MATCH($C55,CostProjections!$L$11:$L$92,0),MATCH(N$6,CostProjections!$N$10:$W$10,0))*0.001,"")</f>
        <v>1174.5387149374535</v>
      </c>
      <c r="O55" s="99">
        <f>IFERROR(INDEX(CostProjections!$N$11:$W$92,MATCH($C55,CostProjections!$L$11:$L$92,0),MATCH(O$6,CostProjections!$N$10:$W$10,0))*0.001,"")</f>
        <v>1198.2420377179947</v>
      </c>
    </row>
    <row r="56" spans="1:15" x14ac:dyDescent="0.2">
      <c r="A56" s="1" t="s">
        <v>76</v>
      </c>
      <c r="B56" s="100" t="s">
        <v>126</v>
      </c>
      <c r="C56" s="100" t="s">
        <v>316</v>
      </c>
      <c r="D56" s="100" t="s">
        <v>350</v>
      </c>
      <c r="E56" s="100" t="s">
        <v>13</v>
      </c>
      <c r="F56" s="99"/>
      <c r="G56" s="99"/>
      <c r="H56" s="99"/>
      <c r="I56" s="99"/>
      <c r="J56" s="99"/>
      <c r="K56" s="99"/>
      <c r="L56" s="99">
        <f>IFERROR(INDEX(CostProjections!$N$11:$W$92,MATCH($C56,CostProjections!$L$11:$L$92,0),MATCH(L$6,CostProjections!$N$10:$W$10,0))*0.001,"")</f>
        <v>1128.5294733678718</v>
      </c>
      <c r="M56" s="99">
        <f>IFERROR(INDEX(CostProjections!$N$11:$W$92,MATCH($C56,CostProjections!$L$11:$L$92,0),MATCH(M$6,CostProjections!$N$10:$W$10,0))*0.001,"")</f>
        <v>1151.3042853297043</v>
      </c>
      <c r="N56" s="99">
        <f>IFERROR(INDEX(CostProjections!$N$11:$W$92,MATCH($C56,CostProjections!$L$11:$L$92,0),MATCH(N$6,CostProjections!$N$10:$W$10,0))*0.001,"")</f>
        <v>1174.5387149374535</v>
      </c>
      <c r="O56" s="99">
        <f>IFERROR(INDEX(CostProjections!$N$11:$W$92,MATCH($C56,CostProjections!$L$11:$L$92,0),MATCH(O$6,CostProjections!$N$10:$W$10,0))*0.001,"")</f>
        <v>1198.2420377179947</v>
      </c>
    </row>
    <row r="57" spans="1:15" x14ac:dyDescent="0.2">
      <c r="A57" s="1" t="s">
        <v>76</v>
      </c>
      <c r="B57" s="100" t="s">
        <v>127</v>
      </c>
      <c r="C57" s="100" t="s">
        <v>317</v>
      </c>
      <c r="D57" s="100" t="s">
        <v>350</v>
      </c>
      <c r="E57" s="100" t="s">
        <v>13</v>
      </c>
      <c r="F57" s="99"/>
      <c r="G57" s="99"/>
      <c r="H57" s="99"/>
      <c r="I57" s="99"/>
      <c r="J57" s="99"/>
      <c r="K57" s="99"/>
      <c r="L57" s="99">
        <f>IFERROR(INDEX(CostProjections!$N$11:$W$92,MATCH($C57,CostProjections!$L$11:$L$92,0),MATCH(L$6,CostProjections!$N$10:$W$10,0))*0.001,"")</f>
        <v>1128.5294733678718</v>
      </c>
      <c r="M57" s="99">
        <f>IFERROR(INDEX(CostProjections!$N$11:$W$92,MATCH($C57,CostProjections!$L$11:$L$92,0),MATCH(M$6,CostProjections!$N$10:$W$10,0))*0.001,"")</f>
        <v>1151.3042853297043</v>
      </c>
      <c r="N57" s="99">
        <f>IFERROR(INDEX(CostProjections!$N$11:$W$92,MATCH($C57,CostProjections!$L$11:$L$92,0),MATCH(N$6,CostProjections!$N$10:$W$10,0))*0.001,"")</f>
        <v>1174.5387149374535</v>
      </c>
      <c r="O57" s="99">
        <f>IFERROR(INDEX(CostProjections!$N$11:$W$92,MATCH($C57,CostProjections!$L$11:$L$92,0),MATCH(O$6,CostProjections!$N$10:$W$10,0))*0.001,"")</f>
        <v>1198.2420377179947</v>
      </c>
    </row>
    <row r="58" spans="1:15" x14ac:dyDescent="0.2">
      <c r="A58" s="1" t="s">
        <v>76</v>
      </c>
      <c r="B58" s="100" t="s">
        <v>128</v>
      </c>
      <c r="C58" s="100" t="s">
        <v>318</v>
      </c>
      <c r="D58" s="100" t="s">
        <v>350</v>
      </c>
      <c r="E58" s="100" t="s">
        <v>12</v>
      </c>
      <c r="F58" s="99"/>
      <c r="G58" s="99"/>
      <c r="H58" s="99"/>
      <c r="I58" s="99"/>
      <c r="J58" s="99"/>
      <c r="K58" s="99"/>
      <c r="L58" s="99">
        <f>IFERROR(INDEX(CostProjections!$N$11:$W$92,MATCH($C58,CostProjections!$L$11:$L$92,0),MATCH(L$6,CostProjections!$N$10:$W$10,0))*0.001,"")</f>
        <v>645.6084743842323</v>
      </c>
      <c r="M58" s="99">
        <f>IFERROR(INDEX(CostProjections!$N$11:$W$92,MATCH($C58,CostProjections!$L$11:$L$92,0),MATCH(M$6,CostProjections!$N$10:$W$10,0))*0.001,"")</f>
        <v>658.63747535590073</v>
      </c>
      <c r="N58" s="99">
        <f>IFERROR(INDEX(CostProjections!$N$11:$W$92,MATCH($C58,CostProjections!$L$11:$L$92,0),MATCH(N$6,CostProjections!$N$10:$W$10,0))*0.001,"")</f>
        <v>671.92941411890092</v>
      </c>
      <c r="O58" s="99">
        <f>IFERROR(INDEX(CostProjections!$N$11:$W$92,MATCH($C58,CostProjections!$L$11:$L$92,0),MATCH(O$6,CostProjections!$N$10:$W$10,0))*0.001,"")</f>
        <v>685.48959701116814</v>
      </c>
    </row>
    <row r="59" spans="1:15" x14ac:dyDescent="0.2">
      <c r="A59" s="1" t="s">
        <v>76</v>
      </c>
      <c r="B59" s="100" t="s">
        <v>129</v>
      </c>
      <c r="C59" s="100" t="s">
        <v>319</v>
      </c>
      <c r="D59" s="100" t="s">
        <v>350</v>
      </c>
      <c r="E59" s="100" t="s">
        <v>12</v>
      </c>
      <c r="F59" s="99"/>
      <c r="G59" s="99"/>
      <c r="H59" s="99"/>
      <c r="I59" s="99"/>
      <c r="J59" s="99"/>
      <c r="K59" s="99"/>
      <c r="L59" s="99">
        <f>IFERROR(INDEX(CostProjections!$N$11:$W$92,MATCH($C59,CostProjections!$L$11:$L$92,0),MATCH(L$6,CostProjections!$N$10:$W$10,0))*0.001,"")</f>
        <v>645.6084743842323</v>
      </c>
      <c r="M59" s="99">
        <f>IFERROR(INDEX(CostProjections!$N$11:$W$92,MATCH($C59,CostProjections!$L$11:$L$92,0),MATCH(M$6,CostProjections!$N$10:$W$10,0))*0.001,"")</f>
        <v>658.63747535590073</v>
      </c>
      <c r="N59" s="99">
        <f>IFERROR(INDEX(CostProjections!$N$11:$W$92,MATCH($C59,CostProjections!$L$11:$L$92,0),MATCH(N$6,CostProjections!$N$10:$W$10,0))*0.001,"")</f>
        <v>671.92941411890092</v>
      </c>
      <c r="O59" s="99">
        <f>IFERROR(INDEX(CostProjections!$N$11:$W$92,MATCH($C59,CostProjections!$L$11:$L$92,0),MATCH(O$6,CostProjections!$N$10:$W$10,0))*0.001,"")</f>
        <v>685.48959701116814</v>
      </c>
    </row>
    <row r="60" spans="1:15" x14ac:dyDescent="0.2">
      <c r="A60" s="1" t="s">
        <v>76</v>
      </c>
      <c r="B60" s="100" t="s">
        <v>130</v>
      </c>
      <c r="C60" s="100" t="s">
        <v>320</v>
      </c>
      <c r="D60" s="100" t="s">
        <v>350</v>
      </c>
      <c r="E60" s="100" t="s">
        <v>12</v>
      </c>
      <c r="F60" s="99"/>
      <c r="G60" s="99"/>
      <c r="H60" s="99"/>
      <c r="I60" s="99"/>
      <c r="J60" s="99"/>
      <c r="K60" s="99"/>
      <c r="L60" s="99">
        <f>IFERROR(INDEX(CostProjections!$N$11:$W$92,MATCH($C60,CostProjections!$L$11:$L$92,0),MATCH(L$6,CostProjections!$N$10:$W$10,0))*0.001,"")</f>
        <v>645.6084743842323</v>
      </c>
      <c r="M60" s="99">
        <f>IFERROR(INDEX(CostProjections!$N$11:$W$92,MATCH($C60,CostProjections!$L$11:$L$92,0),MATCH(M$6,CostProjections!$N$10:$W$10,0))*0.001,"")</f>
        <v>658.63747535590073</v>
      </c>
      <c r="N60" s="99">
        <f>IFERROR(INDEX(CostProjections!$N$11:$W$92,MATCH($C60,CostProjections!$L$11:$L$92,0),MATCH(N$6,CostProjections!$N$10:$W$10,0))*0.001,"")</f>
        <v>671.92941411890092</v>
      </c>
      <c r="O60" s="99">
        <f>IFERROR(INDEX(CostProjections!$N$11:$W$92,MATCH($C60,CostProjections!$L$11:$L$92,0),MATCH(O$6,CostProjections!$N$10:$W$10,0))*0.001,"")</f>
        <v>685.48959701116814</v>
      </c>
    </row>
    <row r="61" spans="1:15" x14ac:dyDescent="0.2">
      <c r="A61" s="1" t="s">
        <v>76</v>
      </c>
      <c r="B61" s="100" t="s">
        <v>131</v>
      </c>
      <c r="C61" s="100" t="s">
        <v>321</v>
      </c>
      <c r="D61" s="100" t="s">
        <v>350</v>
      </c>
      <c r="E61" s="100" t="s">
        <v>12</v>
      </c>
      <c r="F61" s="99"/>
      <c r="G61" s="99"/>
      <c r="H61" s="99"/>
      <c r="I61" s="99"/>
      <c r="J61" s="99"/>
      <c r="K61" s="99"/>
      <c r="L61" s="99">
        <f>IFERROR(INDEX(CostProjections!$N$11:$W$92,MATCH($C61,CostProjections!$L$11:$L$92,0),MATCH(L$6,CostProjections!$N$10:$W$10,0))*0.001,"")</f>
        <v>1086.2358398404897</v>
      </c>
      <c r="M61" s="99">
        <f>IFERROR(INDEX(CostProjections!$N$11:$W$92,MATCH($C61,CostProjections!$L$11:$L$92,0),MATCH(M$6,CostProjections!$N$10:$W$10,0))*0.001,"")</f>
        <v>1108.1571255334031</v>
      </c>
      <c r="N61" s="99">
        <f>IFERROR(INDEX(CostProjections!$N$11:$W$92,MATCH($C61,CostProjections!$L$11:$L$92,0),MATCH(N$6,CostProjections!$N$10:$W$10,0))*0.001,"")</f>
        <v>1130.5208038898666</v>
      </c>
      <c r="O61" s="99">
        <f>IFERROR(INDEX(CostProjections!$N$11:$W$92,MATCH($C61,CostProjections!$L$11:$L$92,0),MATCH(O$6,CostProjections!$N$10:$W$10,0))*0.001,"")</f>
        <v>1153.3358028200171</v>
      </c>
    </row>
    <row r="62" spans="1:15" x14ac:dyDescent="0.2">
      <c r="A62" s="1" t="s">
        <v>76</v>
      </c>
      <c r="B62" s="100" t="s">
        <v>132</v>
      </c>
      <c r="C62" s="100" t="s">
        <v>322</v>
      </c>
      <c r="D62" s="100" t="s">
        <v>350</v>
      </c>
      <c r="E62" s="100" t="s">
        <v>12</v>
      </c>
      <c r="F62" s="99"/>
      <c r="G62" s="99"/>
      <c r="H62" s="99"/>
      <c r="I62" s="99"/>
      <c r="J62" s="99"/>
      <c r="K62" s="99"/>
      <c r="L62" s="99">
        <f>IFERROR(INDEX(CostProjections!$N$11:$W$92,MATCH($C62,CostProjections!$L$11:$L$92,0),MATCH(L$6,CostProjections!$N$10:$W$10,0))*0.001,"")</f>
        <v>991.12866157757253</v>
      </c>
      <c r="M62" s="99">
        <f>IFERROR(INDEX(CostProjections!$N$11:$W$92,MATCH($C62,CostProjections!$L$11:$L$92,0),MATCH(M$6,CostProjections!$N$10:$W$10,0))*0.001,"")</f>
        <v>1011.130592789921</v>
      </c>
      <c r="N62" s="99">
        <f>IFERROR(INDEX(CostProjections!$N$11:$W$92,MATCH($C62,CostProjections!$L$11:$L$92,0),MATCH(N$6,CostProjections!$N$10:$W$10,0))*0.001,"")</f>
        <v>1031.5361822433565</v>
      </c>
      <c r="O62" s="99">
        <f>IFERROR(INDEX(CostProjections!$N$11:$W$92,MATCH($C62,CostProjections!$L$11:$L$92,0),MATCH(O$6,CostProjections!$N$10:$W$10,0))*0.001,"")</f>
        <v>1052.3535761500559</v>
      </c>
    </row>
    <row r="63" spans="1:15" x14ac:dyDescent="0.2">
      <c r="A63" s="1" t="s">
        <v>76</v>
      </c>
      <c r="B63" s="100" t="s">
        <v>133</v>
      </c>
      <c r="C63" s="100" t="s">
        <v>323</v>
      </c>
      <c r="D63" s="100" t="s">
        <v>350</v>
      </c>
      <c r="E63" s="100" t="s">
        <v>12</v>
      </c>
      <c r="F63" s="99"/>
      <c r="G63" s="99"/>
      <c r="H63" s="99"/>
      <c r="I63" s="99"/>
      <c r="J63" s="99"/>
      <c r="K63" s="99"/>
      <c r="L63" s="99">
        <f>IFERROR(INDEX(CostProjections!$N$11:$W$92,MATCH($C63,CostProjections!$L$11:$L$92,0),MATCH(L$6,CostProjections!$N$10:$W$10,0))*0.001,"")</f>
        <v>991.12866157757253</v>
      </c>
      <c r="M63" s="99">
        <f>IFERROR(INDEX(CostProjections!$N$11:$W$92,MATCH($C63,CostProjections!$L$11:$L$92,0),MATCH(M$6,CostProjections!$N$10:$W$10,0))*0.001,"")</f>
        <v>1011.130592789921</v>
      </c>
      <c r="N63" s="99">
        <f>IFERROR(INDEX(CostProjections!$N$11:$W$92,MATCH($C63,CostProjections!$L$11:$L$92,0),MATCH(N$6,CostProjections!$N$10:$W$10,0))*0.001,"")</f>
        <v>1031.5361822433565</v>
      </c>
      <c r="O63" s="99">
        <f>IFERROR(INDEX(CostProjections!$N$11:$W$92,MATCH($C63,CostProjections!$L$11:$L$92,0),MATCH(O$6,CostProjections!$N$10:$W$10,0))*0.001,"")</f>
        <v>1052.3535761500559</v>
      </c>
    </row>
    <row r="64" spans="1:15" x14ac:dyDescent="0.2">
      <c r="A64" s="1" t="s">
        <v>76</v>
      </c>
      <c r="B64" s="100" t="s">
        <v>134</v>
      </c>
      <c r="C64" s="100" t="s">
        <v>324</v>
      </c>
      <c r="D64" s="100" t="s">
        <v>350</v>
      </c>
      <c r="E64" s="100" t="s">
        <v>12</v>
      </c>
      <c r="F64" s="99"/>
      <c r="G64" s="99"/>
      <c r="H64" s="99"/>
      <c r="I64" s="99"/>
      <c r="J64" s="99"/>
      <c r="K64" s="99"/>
      <c r="L64" s="99">
        <f>IFERROR(INDEX(CostProjections!$N$11:$W$92,MATCH($C64,CostProjections!$L$11:$L$92,0),MATCH(L$6,CostProjections!$N$10:$W$10,0))*0.001,"")</f>
        <v>1308.7827191732849</v>
      </c>
      <c r="M64" s="99">
        <f>IFERROR(INDEX(CostProjections!$N$11:$W$92,MATCH($C64,CostProjections!$L$11:$L$92,0),MATCH(M$6,CostProjections!$N$10:$W$10,0))*0.001,"")</f>
        <v>1335.1952152856936</v>
      </c>
      <c r="N64" s="99">
        <f>IFERROR(INDEX(CostProjections!$N$11:$W$92,MATCH($C64,CostProjections!$L$11:$L$92,0),MATCH(N$6,CostProjections!$N$10:$W$10,0))*0.001,"")</f>
        <v>1362.1407410146062</v>
      </c>
      <c r="O64" s="99">
        <f>IFERROR(INDEX(CostProjections!$N$11:$W$92,MATCH($C64,CostProjections!$L$11:$L$92,0),MATCH(O$6,CostProjections!$N$10:$W$10,0))*0.001,"")</f>
        <v>1389.6300534111874</v>
      </c>
    </row>
    <row r="65" spans="1:15" x14ac:dyDescent="0.2">
      <c r="A65" s="1" t="s">
        <v>76</v>
      </c>
      <c r="B65" s="100" t="s">
        <v>135</v>
      </c>
      <c r="C65" s="100" t="s">
        <v>325</v>
      </c>
      <c r="D65" s="100" t="s">
        <v>350</v>
      </c>
      <c r="E65" s="100" t="s">
        <v>12</v>
      </c>
      <c r="F65" s="99"/>
      <c r="G65" s="99"/>
      <c r="H65" s="99"/>
      <c r="I65" s="99"/>
      <c r="J65" s="99"/>
      <c r="K65" s="99"/>
      <c r="L65" s="99">
        <f>IFERROR(INDEX(CostProjections!$N$11:$W$92,MATCH($C65,CostProjections!$L$11:$L$92,0),MATCH(L$6,CostProjections!$N$10:$W$10,0))*0.001,"")</f>
        <v>1308.7827191732849</v>
      </c>
      <c r="M65" s="99">
        <f>IFERROR(INDEX(CostProjections!$N$11:$W$92,MATCH($C65,CostProjections!$L$11:$L$92,0),MATCH(M$6,CostProjections!$N$10:$W$10,0))*0.001,"")</f>
        <v>1335.1952152856936</v>
      </c>
      <c r="N65" s="99">
        <f>IFERROR(INDEX(CostProjections!$N$11:$W$92,MATCH($C65,CostProjections!$L$11:$L$92,0),MATCH(N$6,CostProjections!$N$10:$W$10,0))*0.001,"")</f>
        <v>1362.1407410146062</v>
      </c>
      <c r="O65" s="99">
        <f>IFERROR(INDEX(CostProjections!$N$11:$W$92,MATCH($C65,CostProjections!$L$11:$L$92,0),MATCH(O$6,CostProjections!$N$10:$W$10,0))*0.001,"")</f>
        <v>1389.6300534111874</v>
      </c>
    </row>
    <row r="66" spans="1:15" x14ac:dyDescent="0.2">
      <c r="A66" s="1" t="s">
        <v>76</v>
      </c>
      <c r="B66" s="100" t="s">
        <v>136</v>
      </c>
      <c r="C66" s="100" t="s">
        <v>326</v>
      </c>
      <c r="D66" s="100" t="s">
        <v>350</v>
      </c>
      <c r="E66" s="100" t="s">
        <v>12</v>
      </c>
      <c r="F66" s="99"/>
      <c r="G66" s="99"/>
      <c r="H66" s="99"/>
      <c r="I66" s="99"/>
      <c r="J66" s="99"/>
      <c r="K66" s="99"/>
      <c r="L66" s="99">
        <f>IFERROR(INDEX(CostProjections!$N$11:$W$92,MATCH($C66,CostProjections!$L$11:$L$92,0),MATCH(L$6,CostProjections!$N$10:$W$10,0))*0.001,"")</f>
        <v>1308.7827191732849</v>
      </c>
      <c r="M66" s="99">
        <f>IFERROR(INDEX(CostProjections!$N$11:$W$92,MATCH($C66,CostProjections!$L$11:$L$92,0),MATCH(M$6,CostProjections!$N$10:$W$10,0))*0.001,"")</f>
        <v>1335.1952152856936</v>
      </c>
      <c r="N66" s="99">
        <f>IFERROR(INDEX(CostProjections!$N$11:$W$92,MATCH($C66,CostProjections!$L$11:$L$92,0),MATCH(N$6,CostProjections!$N$10:$W$10,0))*0.001,"")</f>
        <v>1362.1407410146062</v>
      </c>
      <c r="O66" s="99">
        <f>IFERROR(INDEX(CostProjections!$N$11:$W$92,MATCH($C66,CostProjections!$L$11:$L$92,0),MATCH(O$6,CostProjections!$N$10:$W$10,0))*0.001,"")</f>
        <v>1389.6300534111874</v>
      </c>
    </row>
    <row r="67" spans="1:15" x14ac:dyDescent="0.2">
      <c r="B67" s="100" t="s">
        <v>137</v>
      </c>
      <c r="C67" s="100" t="s">
        <v>327</v>
      </c>
      <c r="D67" s="100" t="s">
        <v>350</v>
      </c>
      <c r="E67" s="100" t="s">
        <v>9</v>
      </c>
      <c r="F67" s="99"/>
      <c r="G67" s="99"/>
      <c r="H67" s="99"/>
      <c r="I67" s="99"/>
      <c r="J67" s="99"/>
      <c r="K67" s="99"/>
      <c r="L67" s="99">
        <f>IFERROR(INDEX(CostProjections!$N$11:$W$92,MATCH($C67,CostProjections!$L$11:$L$92,0),MATCH(L$6,CostProjections!$N$10:$W$10,0))*0.001,"")</f>
        <v>1161.917203295312</v>
      </c>
      <c r="M67" s="99">
        <f>IFERROR(INDEX(CostProjections!$N$11:$W$92,MATCH($C67,CostProjections!$L$11:$L$92,0),MATCH(M$6,CostProjections!$N$10:$W$10,0))*0.001,"")</f>
        <v>619.67980717360467</v>
      </c>
      <c r="N67" s="99">
        <f>IFERROR(INDEX(CostProjections!$N$11:$W$92,MATCH($C67,CostProjections!$L$11:$L$92,0),MATCH(N$6,CostProjections!$N$10:$W$10,0))*0.001,"")</f>
        <v>581.94289583931152</v>
      </c>
      <c r="O67" s="99">
        <f>IFERROR(INDEX(CostProjections!$N$11:$W$92,MATCH($C67,CostProjections!$L$11:$L$92,0),MATCH(O$6,CostProjections!$N$10:$W$10,0))*0.001,"")</f>
        <v>544.20598450502132</v>
      </c>
    </row>
    <row r="68" spans="1:15" x14ac:dyDescent="0.2">
      <c r="B68" s="100" t="s">
        <v>138</v>
      </c>
      <c r="C68" s="100" t="s">
        <v>328</v>
      </c>
      <c r="D68" s="100" t="s">
        <v>350</v>
      </c>
      <c r="E68" s="100" t="s">
        <v>9</v>
      </c>
      <c r="F68" s="99"/>
      <c r="G68" s="99"/>
      <c r="H68" s="99"/>
      <c r="I68" s="99"/>
      <c r="J68" s="99"/>
      <c r="K68" s="99"/>
      <c r="L68" s="99">
        <f>IFERROR(INDEX(CostProjections!$N$11:$W$92,MATCH($C68,CostProjections!$L$11:$L$92,0),MATCH(L$6,CostProjections!$N$10:$W$10,0))*0.001,"")</f>
        <v>1161.917203295312</v>
      </c>
      <c r="M68" s="99">
        <f>IFERROR(INDEX(CostProjections!$N$11:$W$92,MATCH($C68,CostProjections!$L$11:$L$92,0),MATCH(M$6,CostProjections!$N$10:$W$10,0))*0.001,"")</f>
        <v>619.67980717360467</v>
      </c>
      <c r="N68" s="99">
        <f>IFERROR(INDEX(CostProjections!$N$11:$W$92,MATCH($C68,CostProjections!$L$11:$L$92,0),MATCH(N$6,CostProjections!$N$10:$W$10,0))*0.001,"")</f>
        <v>581.94289583931152</v>
      </c>
      <c r="O68" s="99">
        <f>IFERROR(INDEX(CostProjections!$N$11:$W$92,MATCH($C68,CostProjections!$L$11:$L$92,0),MATCH(O$6,CostProjections!$N$10:$W$10,0))*0.001,"")</f>
        <v>544.20598450502132</v>
      </c>
    </row>
    <row r="69" spans="1:15" x14ac:dyDescent="0.2">
      <c r="B69" s="100" t="s">
        <v>139</v>
      </c>
      <c r="C69" s="100" t="s">
        <v>329</v>
      </c>
      <c r="D69" s="100" t="s">
        <v>350</v>
      </c>
      <c r="E69" s="100" t="s">
        <v>9</v>
      </c>
      <c r="F69" s="99"/>
      <c r="G69" s="99"/>
      <c r="H69" s="99"/>
      <c r="I69" s="99"/>
      <c r="J69" s="99"/>
      <c r="K69" s="99"/>
      <c r="L69" s="99">
        <f>IFERROR(INDEX(CostProjections!$N$11:$W$92,MATCH($C69,CostProjections!$L$11:$L$92,0),MATCH(L$6,CostProjections!$N$10:$W$10,0))*0.001,"")</f>
        <v>1161.917203295312</v>
      </c>
      <c r="M69" s="99">
        <f>IFERROR(INDEX(CostProjections!$N$11:$W$92,MATCH($C69,CostProjections!$L$11:$L$92,0),MATCH(M$6,CostProjections!$N$10:$W$10,0))*0.001,"")</f>
        <v>619.67980717360467</v>
      </c>
      <c r="N69" s="99">
        <f>IFERROR(INDEX(CostProjections!$N$11:$W$92,MATCH($C69,CostProjections!$L$11:$L$92,0),MATCH(N$6,CostProjections!$N$10:$W$10,0))*0.001,"")</f>
        <v>581.94289583931152</v>
      </c>
      <c r="O69" s="99">
        <f>IFERROR(INDEX(CostProjections!$N$11:$W$92,MATCH($C69,CostProjections!$L$11:$L$92,0),MATCH(O$6,CostProjections!$N$10:$W$10,0))*0.001,"")</f>
        <v>544.20598450502132</v>
      </c>
    </row>
    <row r="70" spans="1:15" x14ac:dyDescent="0.2">
      <c r="B70" s="100" t="s">
        <v>185</v>
      </c>
      <c r="C70" s="100" t="s">
        <v>330</v>
      </c>
      <c r="D70" s="100" t="s">
        <v>350</v>
      </c>
      <c r="E70" s="100" t="s">
        <v>9</v>
      </c>
      <c r="F70" s="99"/>
      <c r="G70" s="99"/>
      <c r="H70" s="99"/>
      <c r="I70" s="99"/>
      <c r="J70" s="99"/>
      <c r="K70" s="99"/>
      <c r="L70" s="99">
        <f>IFERROR(INDEX(CostProjections!$N$11:$W$92,MATCH($C70,CostProjections!$L$11:$L$92,0),MATCH(L$6,CostProjections!$N$10:$W$10,0))*0.001,"")</f>
        <v>2007.179942663324</v>
      </c>
      <c r="M70" s="99">
        <f>IFERROR(INDEX(CostProjections!$N$11:$W$92,MATCH($C70,CostProjections!$L$11:$L$92,0),MATCH(M$6,CostProjections!$N$10:$W$10,0))*0.001,"")</f>
        <v>1070.4797866016361</v>
      </c>
      <c r="N70" s="99">
        <f>IFERROR(INDEX(CostProjections!$N$11:$W$92,MATCH($C70,CostProjections!$L$11:$L$92,0),MATCH(N$6,CostProjections!$N$10:$W$10,0))*0.001,"")</f>
        <v>1005.2903124175569</v>
      </c>
      <c r="O70" s="99">
        <f>IFERROR(INDEX(CostProjections!$N$11:$W$92,MATCH($C70,CostProjections!$L$11:$L$92,0),MATCH(O$6,CostProjections!$N$10:$W$10,0))*0.001,"")</f>
        <v>940.10083823348259</v>
      </c>
    </row>
    <row r="71" spans="1:15" x14ac:dyDescent="0.2">
      <c r="B71" s="100" t="s">
        <v>186</v>
      </c>
      <c r="C71" s="100" t="s">
        <v>331</v>
      </c>
      <c r="D71" s="100" t="s">
        <v>350</v>
      </c>
      <c r="E71" s="100" t="s">
        <v>9</v>
      </c>
      <c r="F71" s="99"/>
      <c r="G71" s="99"/>
      <c r="H71" s="99"/>
      <c r="I71" s="99"/>
      <c r="J71" s="99"/>
      <c r="K71" s="99"/>
      <c r="L71" s="99">
        <f>IFERROR(INDEX(CostProjections!$N$11:$W$92,MATCH($C71,CostProjections!$L$11:$L$92,0),MATCH(L$6,CostProjections!$N$10:$W$10,0))*0.001,"")</f>
        <v>1908.21059884285</v>
      </c>
      <c r="M71" s="99">
        <f>IFERROR(INDEX(CostProjections!$N$11:$W$92,MATCH($C71,CostProjections!$L$11:$L$92,0),MATCH(M$6,CostProjections!$N$10:$W$10,0))*0.001,"")</f>
        <v>1017.6969345009586</v>
      </c>
      <c r="N71" s="99">
        <f>IFERROR(INDEX(CostProjections!$N$11:$W$92,MATCH($C71,CostProjections!$L$11:$L$92,0),MATCH(N$6,CostProjections!$N$10:$W$10,0))*0.001,"")</f>
        <v>955.72180066916428</v>
      </c>
      <c r="O71" s="99">
        <f>IFERROR(INDEX(CostProjections!$N$11:$W$92,MATCH($C71,CostProjections!$L$11:$L$92,0),MATCH(O$6,CostProjections!$N$10:$W$10,0))*0.001,"")</f>
        <v>893.74666683737496</v>
      </c>
    </row>
    <row r="72" spans="1:15" x14ac:dyDescent="0.2">
      <c r="B72" s="100" t="s">
        <v>187</v>
      </c>
      <c r="C72" s="100" t="s">
        <v>332</v>
      </c>
      <c r="D72" s="100" t="s">
        <v>350</v>
      </c>
      <c r="E72" s="100" t="s">
        <v>9</v>
      </c>
      <c r="F72" s="99"/>
      <c r="G72" s="99"/>
      <c r="H72" s="99"/>
      <c r="I72" s="99"/>
      <c r="J72" s="99"/>
      <c r="K72" s="99"/>
      <c r="L72" s="99">
        <f>IFERROR(INDEX(CostProjections!$N$11:$W$92,MATCH($C72,CostProjections!$L$11:$L$92,0),MATCH(L$6,CostProjections!$N$10:$W$10,0))*0.001,"")</f>
        <v>1908.21059884285</v>
      </c>
      <c r="M72" s="99">
        <f>IFERROR(INDEX(CostProjections!$N$11:$W$92,MATCH($C72,CostProjections!$L$11:$L$92,0),MATCH(M$6,CostProjections!$N$10:$W$10,0))*0.001,"")</f>
        <v>1017.6969345009586</v>
      </c>
      <c r="N72" s="99">
        <f>IFERROR(INDEX(CostProjections!$N$11:$W$92,MATCH($C72,CostProjections!$L$11:$L$92,0),MATCH(N$6,CostProjections!$N$10:$W$10,0))*0.001,"")</f>
        <v>955.72180066916428</v>
      </c>
      <c r="O72" s="99">
        <f>IFERROR(INDEX(CostProjections!$N$11:$W$92,MATCH($C72,CostProjections!$L$11:$L$92,0),MATCH(O$6,CostProjections!$N$10:$W$10,0))*0.001,"")</f>
        <v>893.74666683737496</v>
      </c>
    </row>
    <row r="73" spans="1:15" x14ac:dyDescent="0.2">
      <c r="B73" s="100" t="s">
        <v>188</v>
      </c>
      <c r="C73" s="100" t="s">
        <v>333</v>
      </c>
      <c r="D73" s="100" t="s">
        <v>350</v>
      </c>
      <c r="E73" s="100" t="s">
        <v>9</v>
      </c>
      <c r="F73" s="99"/>
      <c r="G73" s="99"/>
      <c r="H73" s="99"/>
      <c r="I73" s="99"/>
      <c r="J73" s="99"/>
      <c r="K73" s="99"/>
      <c r="L73" s="99">
        <f>IFERROR(INDEX(CostProjections!$N$11:$W$92,MATCH($C73,CostProjections!$L$11:$L$92,0),MATCH(L$6,CostProjections!$N$10:$W$10,0))*0.001,"")</f>
        <v>2509.2201075662383</v>
      </c>
      <c r="M73" s="99">
        <f>IFERROR(INDEX(CostProjections!$N$11:$W$92,MATCH($C73,CostProjections!$L$11:$L$92,0),MATCH(M$6,CostProjections!$N$10:$W$10,0))*0.001,"")</f>
        <v>1338.2304935350739</v>
      </c>
      <c r="N73" s="99">
        <f>IFERROR(INDEX(CostProjections!$N$11:$W$92,MATCH($C73,CostProjections!$L$11:$L$92,0),MATCH(N$6,CostProjections!$N$10:$W$10,0))*0.001,"")</f>
        <v>1256.7356878390212</v>
      </c>
      <c r="O73" s="99">
        <f>IFERROR(INDEX(CostProjections!$N$11:$W$92,MATCH($C73,CostProjections!$L$11:$L$92,0),MATCH(O$6,CostProjections!$N$10:$W$10,0))*0.001,"")</f>
        <v>1175.2408821429744</v>
      </c>
    </row>
    <row r="74" spans="1:15" x14ac:dyDescent="0.2">
      <c r="B74" s="100" t="s">
        <v>189</v>
      </c>
      <c r="C74" s="100" t="s">
        <v>334</v>
      </c>
      <c r="D74" s="100" t="s">
        <v>350</v>
      </c>
      <c r="E74" s="100" t="s">
        <v>9</v>
      </c>
      <c r="F74" s="99"/>
      <c r="G74" s="99"/>
      <c r="H74" s="99"/>
      <c r="I74" s="99"/>
      <c r="J74" s="99"/>
      <c r="K74" s="99"/>
      <c r="L74" s="99">
        <f>IFERROR(INDEX(CostProjections!$N$11:$W$92,MATCH($C74,CostProjections!$L$11:$L$92,0),MATCH(L$6,CostProjections!$N$10:$W$10,0))*0.001,"")</f>
        <v>2509.2201075662383</v>
      </c>
      <c r="M74" s="99">
        <f>IFERROR(INDEX(CostProjections!$N$11:$W$92,MATCH($C74,CostProjections!$L$11:$L$92,0),MATCH(M$6,CostProjections!$N$10:$W$10,0))*0.001,"")</f>
        <v>1338.2304935350739</v>
      </c>
      <c r="N74" s="99">
        <f>IFERROR(INDEX(CostProjections!$N$11:$W$92,MATCH($C74,CostProjections!$L$11:$L$92,0),MATCH(N$6,CostProjections!$N$10:$W$10,0))*0.001,"")</f>
        <v>1256.7356878390212</v>
      </c>
      <c r="O74" s="99">
        <f>IFERROR(INDEX(CostProjections!$N$11:$W$92,MATCH($C74,CostProjections!$L$11:$L$92,0),MATCH(O$6,CostProjections!$N$10:$W$10,0))*0.001,"")</f>
        <v>1175.2408821429744</v>
      </c>
    </row>
    <row r="75" spans="1:15" x14ac:dyDescent="0.2">
      <c r="B75" s="100" t="s">
        <v>190</v>
      </c>
      <c r="C75" s="100" t="s">
        <v>335</v>
      </c>
      <c r="D75" s="100" t="s">
        <v>350</v>
      </c>
      <c r="E75" s="100" t="s">
        <v>9</v>
      </c>
      <c r="F75" s="99"/>
      <c r="G75" s="99"/>
      <c r="H75" s="99"/>
      <c r="I75" s="99"/>
      <c r="J75" s="99"/>
      <c r="K75" s="99"/>
      <c r="L75" s="99">
        <f>IFERROR(INDEX(CostProjections!$N$11:$W$92,MATCH($C75,CostProjections!$L$11:$L$92,0),MATCH(L$6,CostProjections!$N$10:$W$10,0))*0.001,"")</f>
        <v>2509.2201075662383</v>
      </c>
      <c r="M75" s="99">
        <f>IFERROR(INDEX(CostProjections!$N$11:$W$92,MATCH($C75,CostProjections!$L$11:$L$92,0),MATCH(M$6,CostProjections!$N$10:$W$10,0))*0.001,"")</f>
        <v>1338.2304935350739</v>
      </c>
      <c r="N75" s="99">
        <f>IFERROR(INDEX(CostProjections!$N$11:$W$92,MATCH($C75,CostProjections!$L$11:$L$92,0),MATCH(N$6,CostProjections!$N$10:$W$10,0))*0.001,"")</f>
        <v>1256.7356878390212</v>
      </c>
      <c r="O75" s="99">
        <f>IFERROR(INDEX(CostProjections!$N$11:$W$92,MATCH($C75,CostProjections!$L$11:$L$92,0),MATCH(O$6,CostProjections!$N$10:$W$10,0))*0.001,"")</f>
        <v>1175.2408821429744</v>
      </c>
    </row>
    <row r="76" spans="1:15" s="2" customFormat="1" ht="15" x14ac:dyDescent="0.25">
      <c r="B76" s="100" t="s">
        <v>140</v>
      </c>
      <c r="C76" s="100" t="s">
        <v>336</v>
      </c>
      <c r="D76" s="100" t="s">
        <v>350</v>
      </c>
      <c r="E76" s="100" t="s">
        <v>10</v>
      </c>
      <c r="F76" s="99"/>
      <c r="G76" s="99"/>
      <c r="H76" s="99"/>
      <c r="I76" s="99"/>
      <c r="J76" s="99"/>
      <c r="K76" s="99"/>
      <c r="L76" s="99">
        <f>IFERROR(INDEX(CostProjections!$N$11:$W$92,MATCH($C76,CostProjections!$L$11:$L$92,0),MATCH(L$6,CostProjections!$N$10:$W$10,0))*0.001,"")</f>
        <v>1697.4360739182023</v>
      </c>
      <c r="M76" s="99">
        <f>IFERROR(INDEX(CostProjections!$N$11:$W$92,MATCH($C76,CostProjections!$L$11:$L$92,0),MATCH(M$6,CostProjections!$N$10:$W$10,0))*0.001,"")</f>
        <v>905.28555390345696</v>
      </c>
      <c r="N76" s="99">
        <f>IFERROR(INDEX(CostProjections!$N$11:$W$92,MATCH($C76,CostProjections!$L$11:$L$92,0),MATCH(N$6,CostProjections!$N$10:$W$10,0))*0.001,"")</f>
        <v>850.15598491574201</v>
      </c>
      <c r="O76" s="99">
        <f>IFERROR(INDEX(CostProjections!$N$11:$W$92,MATCH($C76,CostProjections!$L$11:$L$92,0),MATCH(O$6,CostProjections!$N$10:$W$10,0))*0.001,"")</f>
        <v>795.02641592803116</v>
      </c>
    </row>
    <row r="77" spans="1:15" s="2" customFormat="1" ht="15" x14ac:dyDescent="0.25">
      <c r="B77" s="100" t="s">
        <v>141</v>
      </c>
      <c r="C77" s="100" t="s">
        <v>337</v>
      </c>
      <c r="D77" s="100" t="s">
        <v>350</v>
      </c>
      <c r="E77" s="100" t="s">
        <v>10</v>
      </c>
      <c r="F77" s="99"/>
      <c r="G77" s="99"/>
      <c r="H77" s="99"/>
      <c r="I77" s="99"/>
      <c r="J77" s="99"/>
      <c r="K77" s="99"/>
      <c r="L77" s="99">
        <f>IFERROR(INDEX(CostProjections!$N$11:$W$92,MATCH($C77,CostProjections!$L$11:$L$92,0),MATCH(L$6,CostProjections!$N$10:$W$10,0))*0.001,"")</f>
        <v>1697.4360739182023</v>
      </c>
      <c r="M77" s="99">
        <f>IFERROR(INDEX(CostProjections!$N$11:$W$92,MATCH($C77,CostProjections!$L$11:$L$92,0),MATCH(M$6,CostProjections!$N$10:$W$10,0))*0.001,"")</f>
        <v>905.28555390345696</v>
      </c>
      <c r="N77" s="99">
        <f>IFERROR(INDEX(CostProjections!$N$11:$W$92,MATCH($C77,CostProjections!$L$11:$L$92,0),MATCH(N$6,CostProjections!$N$10:$W$10,0))*0.001,"")</f>
        <v>850.15598491574201</v>
      </c>
      <c r="O77" s="99">
        <f>IFERROR(INDEX(CostProjections!$N$11:$W$92,MATCH($C77,CostProjections!$L$11:$L$92,0),MATCH(O$6,CostProjections!$N$10:$W$10,0))*0.001,"")</f>
        <v>795.02641592803116</v>
      </c>
    </row>
    <row r="78" spans="1:15" s="2" customFormat="1" ht="15" x14ac:dyDescent="0.25">
      <c r="B78" s="100" t="s">
        <v>142</v>
      </c>
      <c r="C78" s="100" t="s">
        <v>338</v>
      </c>
      <c r="D78" s="100" t="s">
        <v>350</v>
      </c>
      <c r="E78" s="100" t="s">
        <v>10</v>
      </c>
      <c r="F78" s="99"/>
      <c r="G78" s="99"/>
      <c r="H78" s="99"/>
      <c r="I78" s="99"/>
      <c r="J78" s="99"/>
      <c r="K78" s="99"/>
      <c r="L78" s="99">
        <f>IFERROR(INDEX(CostProjections!$N$11:$W$92,MATCH($C78,CostProjections!$L$11:$L$92,0),MATCH(L$6,CostProjections!$N$10:$W$10,0))*0.001,"")</f>
        <v>2645.9522057126255</v>
      </c>
      <c r="M78" s="99">
        <f>IFERROR(INDEX(CostProjections!$N$11:$W$92,MATCH($C78,CostProjections!$L$11:$L$92,0),MATCH(M$6,CostProjections!$N$10:$W$10,0))*0.001,"")</f>
        <v>1411.1531768153391</v>
      </c>
      <c r="N78" s="99">
        <f>IFERROR(INDEX(CostProjections!$N$11:$W$92,MATCH($C78,CostProjections!$L$11:$L$92,0),MATCH(N$6,CostProjections!$N$10:$W$10,0))*0.001,"")</f>
        <v>1325.217566688757</v>
      </c>
      <c r="O78" s="99">
        <f>IFERROR(INDEX(CostProjections!$N$11:$W$92,MATCH($C78,CostProjections!$L$11:$L$92,0),MATCH(O$6,CostProjections!$N$10:$W$10,0))*0.001,"")</f>
        <v>1239.2819565621814</v>
      </c>
    </row>
    <row r="79" spans="1:15" s="2" customFormat="1" ht="15" x14ac:dyDescent="0.25">
      <c r="B79" s="100" t="s">
        <v>143</v>
      </c>
      <c r="C79" s="100" t="s">
        <v>339</v>
      </c>
      <c r="D79" s="100" t="s">
        <v>350</v>
      </c>
      <c r="E79" s="100" t="s">
        <v>10</v>
      </c>
      <c r="F79" s="99"/>
      <c r="G79" s="99"/>
      <c r="H79" s="99"/>
      <c r="I79" s="99"/>
      <c r="J79" s="99"/>
      <c r="K79" s="99"/>
      <c r="L79" s="99">
        <f>IFERROR(INDEX(CostProjections!$N$11:$W$92,MATCH($C79,CostProjections!$L$11:$L$92,0),MATCH(L$6,CostProjections!$N$10:$W$10,0))*0.001,"")</f>
        <v>2693.0881275829665</v>
      </c>
      <c r="M79" s="99">
        <f>IFERROR(INDEX(CostProjections!$N$11:$W$92,MATCH($C79,CostProjections!$L$11:$L$92,0),MATCH(M$6,CostProjections!$N$10:$W$10,0))*0.001,"")</f>
        <v>1436.2919551144494</v>
      </c>
      <c r="N79" s="99">
        <f>IFERROR(INDEX(CostProjections!$N$11:$W$92,MATCH($C79,CostProjections!$L$11:$L$92,0),MATCH(N$6,CostProjections!$N$10:$W$10,0))*0.001,"")</f>
        <v>1348.8254578478573</v>
      </c>
      <c r="O79" s="99">
        <f>IFERROR(INDEX(CostProjections!$N$11:$W$92,MATCH($C79,CostProjections!$L$11:$L$92,0),MATCH(O$6,CostProjections!$N$10:$W$10,0))*0.001,"")</f>
        <v>1261.3589605812717</v>
      </c>
    </row>
    <row r="80" spans="1:15" s="2" customFormat="1" ht="15" x14ac:dyDescent="0.25">
      <c r="B80" s="100" t="s">
        <v>144</v>
      </c>
      <c r="C80" s="100" t="s">
        <v>340</v>
      </c>
      <c r="D80" s="100" t="s">
        <v>350</v>
      </c>
      <c r="E80" s="100" t="s">
        <v>10</v>
      </c>
      <c r="F80" s="99"/>
      <c r="G80" s="99"/>
      <c r="H80" s="99"/>
      <c r="I80" s="99"/>
      <c r="J80" s="99"/>
      <c r="K80" s="99"/>
      <c r="L80" s="99">
        <f>IFERROR(INDEX(CostProjections!$N$11:$W$92,MATCH($C80,CostProjections!$L$11:$L$92,0),MATCH(L$6,CostProjections!$N$10:$W$10,0))*0.001,"")</f>
        <v>2693.0881275829665</v>
      </c>
      <c r="M80" s="99">
        <f>IFERROR(INDEX(CostProjections!$N$11:$W$92,MATCH($C80,CostProjections!$L$11:$L$92,0),MATCH(M$6,CostProjections!$N$10:$W$10,0))*0.001,"")</f>
        <v>1436.2919551144494</v>
      </c>
      <c r="N80" s="99">
        <f>IFERROR(INDEX(CostProjections!$N$11:$W$92,MATCH($C80,CostProjections!$L$11:$L$92,0),MATCH(N$6,CostProjections!$N$10:$W$10,0))*0.001,"")</f>
        <v>1348.8254578478573</v>
      </c>
      <c r="O80" s="99">
        <f>IFERROR(INDEX(CostProjections!$N$11:$W$92,MATCH($C80,CostProjections!$L$11:$L$92,0),MATCH(O$6,CostProjections!$N$10:$W$10,0))*0.001,"")</f>
        <v>1261.3589605812717</v>
      </c>
    </row>
    <row r="81" spans="2:15" s="2" customFormat="1" ht="15" x14ac:dyDescent="0.25">
      <c r="B81" s="100" t="s">
        <v>145</v>
      </c>
      <c r="C81" s="100" t="s">
        <v>341</v>
      </c>
      <c r="D81" s="100" t="s">
        <v>350</v>
      </c>
      <c r="E81" s="100" t="s">
        <v>10</v>
      </c>
      <c r="F81" s="99"/>
      <c r="G81" s="99"/>
      <c r="H81" s="99"/>
      <c r="I81" s="99"/>
      <c r="J81" s="99"/>
      <c r="K81" s="99"/>
      <c r="L81" s="99">
        <f>IFERROR(INDEX(CostProjections!$N$11:$W$92,MATCH($C81,CostProjections!$L$11:$L$92,0),MATCH(L$6,CostProjections!$N$10:$W$10,0))*0.001,"")</f>
        <v>3660.6104342648114</v>
      </c>
      <c r="M81" s="99">
        <f>IFERROR(INDEX(CostProjections!$N$11:$W$92,MATCH($C81,CostProjections!$L$11:$L$92,0),MATCH(M$6,CostProjections!$N$10:$W$10,0))*0.001,"")</f>
        <v>1952.2960513963292</v>
      </c>
      <c r="N81" s="99">
        <f>IFERROR(INDEX(CostProjections!$N$11:$W$92,MATCH($C81,CostProjections!$L$11:$L$92,0),MATCH(N$6,CostProjections!$N$10:$W$10,0))*0.001,"")</f>
        <v>1833.4062277535943</v>
      </c>
      <c r="O81" s="99">
        <f>IFERROR(INDEX(CostProjections!$N$11:$W$92,MATCH($C81,CostProjections!$L$11:$L$92,0),MATCH(O$6,CostProjections!$N$10:$W$10,0))*0.001,"")</f>
        <v>1714.5164041108685</v>
      </c>
    </row>
    <row r="82" spans="2:15" s="2" customFormat="1" ht="15" x14ac:dyDescent="0.25">
      <c r="B82" s="100" t="s">
        <v>146</v>
      </c>
      <c r="C82" s="100" t="s">
        <v>342</v>
      </c>
      <c r="D82" s="100" t="s">
        <v>350</v>
      </c>
      <c r="E82" s="100" t="s">
        <v>10</v>
      </c>
      <c r="F82" s="99"/>
      <c r="G82" s="99"/>
      <c r="H82" s="99"/>
      <c r="I82" s="99"/>
      <c r="J82" s="99"/>
      <c r="K82" s="99"/>
      <c r="L82" s="99">
        <f>IFERROR(INDEX(CostProjections!$N$11:$W$92,MATCH($C82,CostProjections!$L$11:$L$92,0),MATCH(L$6,CostProjections!$N$10:$W$10,0))*0.001,"")</f>
        <v>3660.6104342648114</v>
      </c>
      <c r="M82" s="99">
        <f>IFERROR(INDEX(CostProjections!$N$11:$W$92,MATCH($C82,CostProjections!$L$11:$L$92,0),MATCH(M$6,CostProjections!$N$10:$W$10,0))*0.001,"")</f>
        <v>1952.2960513963292</v>
      </c>
      <c r="N82" s="99">
        <f>IFERROR(INDEX(CostProjections!$N$11:$W$92,MATCH($C82,CostProjections!$L$11:$L$92,0),MATCH(N$6,CostProjections!$N$10:$W$10,0))*0.001,"")</f>
        <v>1833.4062277535943</v>
      </c>
      <c r="O82" s="99">
        <f>IFERROR(INDEX(CostProjections!$N$11:$W$92,MATCH($C82,CostProjections!$L$11:$L$92,0),MATCH(O$6,CostProjections!$N$10:$W$10,0))*0.001,"")</f>
        <v>1714.5164041108685</v>
      </c>
    </row>
    <row r="83" spans="2:15" s="2" customFormat="1" ht="15" x14ac:dyDescent="0.25">
      <c r="B83" s="100" t="s">
        <v>147</v>
      </c>
      <c r="C83" s="100" t="s">
        <v>343</v>
      </c>
      <c r="D83" s="100" t="s">
        <v>350</v>
      </c>
      <c r="E83" s="100" t="s">
        <v>10</v>
      </c>
      <c r="F83" s="99"/>
      <c r="G83" s="99"/>
      <c r="H83" s="99"/>
      <c r="I83" s="99"/>
      <c r="J83" s="99"/>
      <c r="K83" s="99"/>
      <c r="L83" s="99">
        <f>IFERROR(INDEX(CostProjections!$N$11:$W$92,MATCH($C83,CostProjections!$L$11:$L$92,0),MATCH(L$6,CostProjections!$N$10:$W$10,0))*0.001,"")</f>
        <v>3660.6104342648114</v>
      </c>
      <c r="M83" s="99">
        <f>IFERROR(INDEX(CostProjections!$N$11:$W$92,MATCH($C83,CostProjections!$L$11:$L$92,0),MATCH(M$6,CostProjections!$N$10:$W$10,0))*0.001,"")</f>
        <v>1952.2960513963292</v>
      </c>
      <c r="N83" s="99">
        <f>IFERROR(INDEX(CostProjections!$N$11:$W$92,MATCH($C83,CostProjections!$L$11:$L$92,0),MATCH(N$6,CostProjections!$N$10:$W$10,0))*0.001,"")</f>
        <v>1833.4062277535943</v>
      </c>
      <c r="O83" s="99">
        <f>IFERROR(INDEX(CostProjections!$N$11:$W$92,MATCH($C83,CostProjections!$L$11:$L$92,0),MATCH(O$6,CostProjections!$N$10:$W$10,0))*0.001,"")</f>
        <v>1714.5164041108685</v>
      </c>
    </row>
    <row r="84" spans="2:15" x14ac:dyDescent="0.2">
      <c r="B84" s="16"/>
      <c r="C84" s="6"/>
      <c r="D84" s="6"/>
      <c r="E84" s="6"/>
      <c r="F84" s="28"/>
      <c r="G84" s="28"/>
      <c r="H84" s="28"/>
      <c r="I84" s="28"/>
      <c r="J84" s="28"/>
      <c r="K84" s="28"/>
      <c r="L84" s="28"/>
      <c r="M84" s="28"/>
      <c r="N84" s="28"/>
      <c r="O84" s="28"/>
    </row>
    <row r="85" spans="2:15" x14ac:dyDescent="0.2">
      <c r="F85" s="1"/>
    </row>
    <row r="86" spans="2:15" x14ac:dyDescent="0.2">
      <c r="F86" s="1"/>
    </row>
  </sheetData>
  <conditionalFormatting sqref="L8:O83">
    <cfRule type="cellIs" dxfId="5" priority="1" operator="equal">
      <formula>0</formula>
    </cfRule>
    <cfRule type="expression" dxfId="4" priority="2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63D-5EDE-454A-A2B0-BB26FFBE1563}">
  <sheetPr>
    <tabColor rgb="FFFF0000"/>
  </sheetPr>
  <dimension ref="A1:AH92"/>
  <sheetViews>
    <sheetView workbookViewId="0">
      <selection activeCell="B10" sqref="B10"/>
    </sheetView>
    <sheetView tabSelected="1" topLeftCell="Q35" workbookViewId="1">
      <selection activeCell="X35" sqref="X35"/>
    </sheetView>
  </sheetViews>
  <sheetFormatPr defaultRowHeight="15" x14ac:dyDescent="0.25"/>
  <cols>
    <col min="1" max="1" width="11.7109375" bestFit="1" customWidth="1"/>
    <col min="2" max="2" width="7.7109375" bestFit="1" customWidth="1"/>
    <col min="3" max="3" width="18.5703125" bestFit="1" customWidth="1"/>
    <col min="4" max="4" width="20.85546875" bestFit="1" customWidth="1"/>
    <col min="5" max="5" width="20.140625" bestFit="1" customWidth="1"/>
    <col min="6" max="6" width="20" bestFit="1" customWidth="1"/>
    <col min="7" max="7" width="14" bestFit="1" customWidth="1"/>
    <col min="12" max="12" width="36.42578125" bestFit="1" customWidth="1"/>
    <col min="13" max="13" width="17" customWidth="1"/>
    <col min="14" max="14" width="13.140625" customWidth="1"/>
    <col min="15" max="24" width="14.7109375" customWidth="1"/>
    <col min="25" max="25" width="9.28515625" bestFit="1" customWidth="1"/>
    <col min="26" max="28" width="10.28515625" bestFit="1" customWidth="1"/>
    <col min="29" max="34" width="9.28515625" bestFit="1" customWidth="1"/>
  </cols>
  <sheetData>
    <row r="1" spans="1:34" x14ac:dyDescent="0.25">
      <c r="K1" t="s">
        <v>258</v>
      </c>
    </row>
    <row r="2" spans="1:34" x14ac:dyDescent="0.25">
      <c r="K2" s="71" t="s">
        <v>256</v>
      </c>
      <c r="L2" s="71" t="s">
        <v>257</v>
      </c>
      <c r="M2" s="71"/>
      <c r="N2" s="81">
        <f>N10</f>
        <v>2022</v>
      </c>
      <c r="O2" s="84">
        <f t="shared" ref="O2:W2" si="0">O10</f>
        <v>2010</v>
      </c>
      <c r="P2" s="84">
        <f t="shared" si="0"/>
        <v>2015</v>
      </c>
      <c r="Q2" s="84">
        <f t="shared" si="0"/>
        <v>2020</v>
      </c>
      <c r="R2" s="84">
        <f t="shared" si="0"/>
        <v>2025</v>
      </c>
      <c r="S2" s="84">
        <f t="shared" si="0"/>
        <v>2030</v>
      </c>
      <c r="T2" s="84">
        <f t="shared" si="0"/>
        <v>2035</v>
      </c>
      <c r="U2" s="84">
        <f t="shared" si="0"/>
        <v>2040</v>
      </c>
      <c r="V2" s="84">
        <f t="shared" si="0"/>
        <v>2045</v>
      </c>
      <c r="W2" s="84">
        <f t="shared" si="0"/>
        <v>2050</v>
      </c>
    </row>
    <row r="3" spans="1:34" x14ac:dyDescent="0.25">
      <c r="K3" s="71" t="s">
        <v>22</v>
      </c>
      <c r="L3" s="86" t="s">
        <v>263</v>
      </c>
      <c r="M3" s="76">
        <v>2E-3</v>
      </c>
      <c r="N3" s="81">
        <v>1</v>
      </c>
      <c r="O3" s="85">
        <f>$N3*(1+$M3)^(O$2-$N$2)</f>
        <v>0.97630910970101226</v>
      </c>
      <c r="P3" s="85">
        <f t="shared" ref="P3:W3" si="1">$N3*(1+$M3)^(P$2-$N$2)</f>
        <v>0.98611133134527518</v>
      </c>
      <c r="Q3" s="85">
        <f t="shared" si="1"/>
        <v>0.99601196807980852</v>
      </c>
      <c r="R3" s="85">
        <f t="shared" si="1"/>
        <v>1.0060120079999999</v>
      </c>
      <c r="S3" s="85">
        <f t="shared" si="1"/>
        <v>1.0161124491217937</v>
      </c>
      <c r="T3" s="85">
        <f t="shared" si="1"/>
        <v>1.0263142994812939</v>
      </c>
      <c r="U3" s="85">
        <f t="shared" si="1"/>
        <v>1.0366185772353678</v>
      </c>
      <c r="V3" s="85">
        <f t="shared" si="1"/>
        <v>1.0470263107632596</v>
      </c>
      <c r="W3" s="85">
        <f t="shared" si="1"/>
        <v>1.0575385387692231</v>
      </c>
    </row>
    <row r="4" spans="1:34" x14ac:dyDescent="0.25">
      <c r="K4" s="71" t="s">
        <v>249</v>
      </c>
      <c r="L4" s="86" t="s">
        <v>259</v>
      </c>
      <c r="M4" s="102" t="s">
        <v>198</v>
      </c>
      <c r="N4" s="81">
        <v>1</v>
      </c>
      <c r="O4" s="85" cm="1">
        <f t="array" ref="O4">INDEX('IEAWEO2023 cost data'!$J$8:$AX$19,MATCH(1,('IEAWEO2023 cost data'!$A$8:$A$19=$K4)*('IEAWEO2023 cost data'!$B$8:$B$19=$M4),0),MATCH(O$2,'IEAWEO2023 cost data'!$J$7:$AX$7,0))</f>
        <v>2.0837431896804901</v>
      </c>
      <c r="P4" s="85" cm="1">
        <f t="array" ref="P4">INDEX('IEAWEO2023 cost data'!$J$8:$AX$19,MATCH(1,('IEAWEO2023 cost data'!$A$8:$A$19=$K4)*('IEAWEO2023 cost data'!$B$8:$B$19=$M4),0),MATCH(P$2,'IEAWEO2023 cost data'!$J$7:$AX$7,0))</f>
        <v>1.6321835273136287</v>
      </c>
      <c r="Q4" s="85" cm="1">
        <f t="array" ref="Q4">INDEX('IEAWEO2023 cost data'!$J$8:$AX$19,MATCH(1,('IEAWEO2023 cost data'!$A$8:$A$19=$K4)*('IEAWEO2023 cost data'!$B$8:$B$19=$M4),0),MATCH(Q$2,'IEAWEO2023 cost data'!$J$7:$AX$7,0))</f>
        <v>1.1806238649467389</v>
      </c>
      <c r="R4" s="85" cm="1">
        <f t="array" ref="R4">INDEX('IEAWEO2023 cost data'!$J$8:$AX$19,MATCH(1,('IEAWEO2023 cost data'!$A$8:$A$19=$K4)*('IEAWEO2023 cost data'!$B$8:$B$19=$M4),0),MATCH(R$2,'IEAWEO2023 cost data'!$J$7:$AX$7,0))</f>
        <v>0.96205357142857295</v>
      </c>
      <c r="S4" s="85" cm="1">
        <f t="array" ref="S4">INDEX('IEAWEO2023 cost data'!$J$8:$AX$19,MATCH(1,('IEAWEO2023 cost data'!$A$8:$A$19=$K4)*('IEAWEO2023 cost data'!$B$8:$B$19=$M4),0),MATCH(S$2,'IEAWEO2023 cost data'!$J$7:$AX$7,0))</f>
        <v>0.8988095238095255</v>
      </c>
      <c r="T4" s="85" cm="1">
        <f t="array" ref="T4">INDEX('IEAWEO2023 cost data'!$J$8:$AX$19,MATCH(1,('IEAWEO2023 cost data'!$A$8:$A$19=$K4)*('IEAWEO2023 cost data'!$B$8:$B$19=$M4),0),MATCH(T$2,'IEAWEO2023 cost data'!$J$7:$AX$7,0))</f>
        <v>0.90029761904761907</v>
      </c>
      <c r="U4" s="85" cm="1">
        <f t="array" ref="U4">INDEX('IEAWEO2023 cost data'!$J$8:$AX$19,MATCH(1,('IEAWEO2023 cost data'!$A$8:$A$19=$K4)*('IEAWEO2023 cost data'!$B$8:$B$19=$M4),0),MATCH(U$2,'IEAWEO2023 cost data'!$J$7:$AX$7,0))</f>
        <v>0.9017857142857143</v>
      </c>
      <c r="V4" s="85" cm="1">
        <f t="array" ref="V4">INDEX('IEAWEO2023 cost data'!$J$8:$AX$19,MATCH(1,('IEAWEO2023 cost data'!$A$8:$A$19=$K4)*('IEAWEO2023 cost data'!$B$8:$B$19=$M4),0),MATCH(V$2,'IEAWEO2023 cost data'!$J$7:$AX$7,0))</f>
        <v>0.90327380952380953</v>
      </c>
      <c r="W4" s="85" cm="1">
        <f t="array" ref="W4">INDEX('IEAWEO2023 cost data'!$J$8:$AX$19,MATCH(1,('IEAWEO2023 cost data'!$A$8:$A$19=$K4)*('IEAWEO2023 cost data'!$B$8:$B$19=$M4),0),MATCH(W$2,'IEAWEO2023 cost data'!$J$7:$AX$7,0))</f>
        <v>0.90476190476190477</v>
      </c>
    </row>
    <row r="5" spans="1:34" x14ac:dyDescent="0.25">
      <c r="K5" s="71" t="s">
        <v>41</v>
      </c>
      <c r="L5" s="86" t="s">
        <v>259</v>
      </c>
      <c r="M5" s="102" t="s">
        <v>198</v>
      </c>
      <c r="N5" s="81">
        <v>1</v>
      </c>
      <c r="O5" s="85" cm="1">
        <f t="array" ref="O5">INDEX('IEAWEO2023 cost data'!$J$8:$AX$19,MATCH(1,('IEAWEO2023 cost data'!$A$8:$A$19=$K5)*('IEAWEO2023 cost data'!$B$8:$B$19=$M5),0),MATCH(O$2,'IEAWEO2023 cost data'!$J$7:$AX$7,0))</f>
        <v>3.5611050290305002</v>
      </c>
      <c r="P5" s="85" cm="1">
        <f t="array" ref="P5">INDEX('IEAWEO2023 cost data'!$J$8:$AX$19,MATCH(1,('IEAWEO2023 cost data'!$A$8:$A$19=$K5)*('IEAWEO2023 cost data'!$B$8:$B$19=$M5),0),MATCH(P$2,'IEAWEO2023 cost data'!$J$7:$AX$7,0))</f>
        <v>2.4939779336011156</v>
      </c>
      <c r="Q5" s="85" cm="1">
        <f t="array" ref="Q5">INDEX('IEAWEO2023 cost data'!$J$8:$AX$19,MATCH(1,('IEAWEO2023 cost data'!$A$8:$A$19=$K5)*('IEAWEO2023 cost data'!$B$8:$B$19=$M5),0),MATCH(Q$2,'IEAWEO2023 cost data'!$J$7:$AX$7,0))</f>
        <v>1.4268508381717311</v>
      </c>
      <c r="R5" s="85" cm="1">
        <f t="array" ref="R5">INDEX('IEAWEO2023 cost data'!$J$8:$AX$19,MATCH(1,('IEAWEO2023 cost data'!$A$8:$A$19=$K5)*('IEAWEO2023 cost data'!$B$8:$B$19=$M5),0),MATCH(R$2,'IEAWEO2023 cost data'!$J$7:$AX$7,0))</f>
        <v>0.91036585365853995</v>
      </c>
      <c r="S5" s="85" cm="1">
        <f t="array" ref="S5">INDEX('IEAWEO2023 cost data'!$J$8:$AX$19,MATCH(1,('IEAWEO2023 cost data'!$A$8:$A$19=$K5)*('IEAWEO2023 cost data'!$B$8:$B$19=$M5),0),MATCH(S$2,'IEAWEO2023 cost data'!$J$7:$AX$7,0))</f>
        <v>0.76097560975610179</v>
      </c>
      <c r="T5" s="85" cm="1">
        <f t="array" ref="T5">INDEX('IEAWEO2023 cost data'!$J$8:$AX$19,MATCH(1,('IEAWEO2023 cost data'!$A$8:$A$19=$K5)*('IEAWEO2023 cost data'!$B$8:$B$19=$M5),0),MATCH(T$2,'IEAWEO2023 cost data'!$J$7:$AX$7,0))</f>
        <v>0.73780487804878092</v>
      </c>
      <c r="U5" s="85" cm="1">
        <f t="array" ref="U5">INDEX('IEAWEO2023 cost data'!$J$8:$AX$19,MATCH(1,('IEAWEO2023 cost data'!$A$8:$A$19=$K5)*('IEAWEO2023 cost data'!$B$8:$B$19=$M5),0),MATCH(U$2,'IEAWEO2023 cost data'!$J$7:$AX$7,0))</f>
        <v>0.71463414634146361</v>
      </c>
      <c r="V5" s="85" cm="1">
        <f t="array" ref="V5">INDEX('IEAWEO2023 cost data'!$J$8:$AX$19,MATCH(1,('IEAWEO2023 cost data'!$A$8:$A$19=$K5)*('IEAWEO2023 cost data'!$B$8:$B$19=$M5),0),MATCH(V$2,'IEAWEO2023 cost data'!$J$7:$AX$7,0))</f>
        <v>0.69146341463414629</v>
      </c>
      <c r="W5" s="85" cm="1">
        <f t="array" ref="W5">INDEX('IEAWEO2023 cost data'!$J$8:$AX$19,MATCH(1,('IEAWEO2023 cost data'!$A$8:$A$19=$K5)*('IEAWEO2023 cost data'!$B$8:$B$19=$M5),0),MATCH(W$2,'IEAWEO2023 cost data'!$J$7:$AX$7,0))</f>
        <v>0.66829268292682897</v>
      </c>
    </row>
    <row r="6" spans="1:34" x14ac:dyDescent="0.25">
      <c r="K6" s="71" t="s">
        <v>264</v>
      </c>
      <c r="L6" s="86" t="s">
        <v>260</v>
      </c>
      <c r="M6" s="77"/>
      <c r="N6" s="81">
        <v>1</v>
      </c>
      <c r="O6" s="85">
        <f>O5</f>
        <v>3.5611050290305002</v>
      </c>
      <c r="P6" s="85">
        <f t="shared" ref="P6:W6" si="2">P5</f>
        <v>2.4939779336011156</v>
      </c>
      <c r="Q6" s="85">
        <f t="shared" si="2"/>
        <v>1.4268508381717311</v>
      </c>
      <c r="R6" s="85">
        <f t="shared" si="2"/>
        <v>0.91036585365853995</v>
      </c>
      <c r="S6" s="85">
        <f t="shared" si="2"/>
        <v>0.76097560975610179</v>
      </c>
      <c r="T6" s="85">
        <f t="shared" si="2"/>
        <v>0.73780487804878092</v>
      </c>
      <c r="U6" s="85">
        <f t="shared" si="2"/>
        <v>0.71463414634146361</v>
      </c>
      <c r="V6" s="85">
        <f t="shared" si="2"/>
        <v>0.69146341463414629</v>
      </c>
      <c r="W6" s="85">
        <f t="shared" si="2"/>
        <v>0.66829268292682897</v>
      </c>
    </row>
    <row r="8" spans="1:34" ht="15.75" thickBot="1" x14ac:dyDescent="0.3">
      <c r="N8" t="s">
        <v>261</v>
      </c>
    </row>
    <row r="9" spans="1:34" x14ac:dyDescent="0.25">
      <c r="N9" s="80" t="s">
        <v>262</v>
      </c>
      <c r="O9" s="23" t="s">
        <v>24</v>
      </c>
      <c r="P9" s="23" t="s">
        <v>24</v>
      </c>
      <c r="Q9" s="23" t="s">
        <v>24</v>
      </c>
      <c r="R9" s="23" t="s">
        <v>24</v>
      </c>
      <c r="S9" s="23" t="s">
        <v>24</v>
      </c>
      <c r="T9" s="23" t="s">
        <v>24</v>
      </c>
      <c r="U9" s="23" t="s">
        <v>24</v>
      </c>
      <c r="V9" s="23" t="s">
        <v>24</v>
      </c>
      <c r="W9" s="23" t="s">
        <v>24</v>
      </c>
      <c r="X9" t="s">
        <v>269</v>
      </c>
      <c r="Y9" s="23" t="s">
        <v>23</v>
      </c>
      <c r="Z9" s="23" t="s">
        <v>23</v>
      </c>
      <c r="AA9" s="23" t="s">
        <v>23</v>
      </c>
      <c r="AB9" s="23" t="s">
        <v>23</v>
      </c>
      <c r="AC9" s="23" t="s">
        <v>23</v>
      </c>
      <c r="AD9" s="23" t="s">
        <v>23</v>
      </c>
      <c r="AE9" s="23" t="s">
        <v>23</v>
      </c>
      <c r="AF9" s="23" t="s">
        <v>23</v>
      </c>
      <c r="AG9" s="23" t="s">
        <v>23</v>
      </c>
      <c r="AH9" s="23" t="s">
        <v>23</v>
      </c>
    </row>
    <row r="10" spans="1:34" ht="15.75" thickBot="1" x14ac:dyDescent="0.3">
      <c r="A10" s="69" t="s">
        <v>28</v>
      </c>
      <c r="B10" s="69" t="s">
        <v>29</v>
      </c>
      <c r="C10" s="69" t="s">
        <v>30</v>
      </c>
      <c r="D10" s="69" t="s">
        <v>31</v>
      </c>
      <c r="E10" s="69" t="s">
        <v>32</v>
      </c>
      <c r="F10" s="69" t="s">
        <v>33</v>
      </c>
      <c r="G10" s="69" t="s">
        <v>256</v>
      </c>
      <c r="H10" s="69" t="s">
        <v>252</v>
      </c>
      <c r="I10" s="69" t="s">
        <v>253</v>
      </c>
      <c r="J10" s="69" t="s">
        <v>254</v>
      </c>
      <c r="K10" s="69" t="s">
        <v>255</v>
      </c>
      <c r="L10" s="70" t="s">
        <v>250</v>
      </c>
      <c r="M10" s="78" t="s">
        <v>251</v>
      </c>
      <c r="N10" s="82">
        <v>2022</v>
      </c>
      <c r="O10" s="83">
        <v>2010</v>
      </c>
      <c r="P10" s="83">
        <v>2015</v>
      </c>
      <c r="Q10" s="83">
        <v>2020</v>
      </c>
      <c r="R10" s="83">
        <v>2025</v>
      </c>
      <c r="S10" s="83">
        <v>2030</v>
      </c>
      <c r="T10" s="83">
        <v>2035</v>
      </c>
      <c r="U10" s="83">
        <v>2040</v>
      </c>
      <c r="V10" s="83">
        <v>2045</v>
      </c>
      <c r="W10" s="83">
        <v>2050</v>
      </c>
      <c r="X10" s="93" t="s">
        <v>236</v>
      </c>
      <c r="Y10" s="81">
        <f>N10</f>
        <v>2022</v>
      </c>
      <c r="Z10" s="81">
        <f>O10</f>
        <v>2010</v>
      </c>
      <c r="AA10" s="81">
        <f t="shared" ref="AA10:AF10" si="3">P10</f>
        <v>2015</v>
      </c>
      <c r="AB10" s="81">
        <f t="shared" si="3"/>
        <v>2020</v>
      </c>
      <c r="AC10" s="81">
        <f t="shared" si="3"/>
        <v>2025</v>
      </c>
      <c r="AD10" s="81">
        <f t="shared" si="3"/>
        <v>2030</v>
      </c>
      <c r="AE10" s="81">
        <f t="shared" si="3"/>
        <v>2035</v>
      </c>
      <c r="AF10" s="81">
        <f t="shared" si="3"/>
        <v>2040</v>
      </c>
      <c r="AG10" s="81">
        <f>V10</f>
        <v>2045</v>
      </c>
      <c r="AH10" s="81">
        <f>W10</f>
        <v>2050</v>
      </c>
    </row>
    <row r="11" spans="1:34" x14ac:dyDescent="0.25">
      <c r="A11" s="71" t="s">
        <v>21</v>
      </c>
      <c r="B11" s="71" t="s">
        <v>25</v>
      </c>
      <c r="C11" s="71" t="s">
        <v>18</v>
      </c>
      <c r="D11" s="71" t="s">
        <v>34</v>
      </c>
      <c r="E11" s="71" t="s">
        <v>35</v>
      </c>
      <c r="F11" s="71" t="s">
        <v>34</v>
      </c>
      <c r="G11" s="74" t="str">
        <f>IF(A11="HGN",A11,RIGHT(F11,3))</f>
        <v>ICE</v>
      </c>
      <c r="H11" s="72" t="s">
        <v>75</v>
      </c>
      <c r="I11" s="71" t="str">
        <f t="shared" ref="I11:I42" si="4">IF(B11="PAS","P","F")</f>
        <v>P</v>
      </c>
      <c r="J11" s="71" t="str">
        <f t="shared" ref="J11:J42" si="5">IF(I11="P",IF(OR(C11="CAR",C11="SUV",C11="MOT"),"PR","PU"),C11)</f>
        <v>PR</v>
      </c>
      <c r="K11" s="71" t="str">
        <f t="shared" ref="K11:K42" si="6">IF(I11="P",C11,"")</f>
        <v>CAR</v>
      </c>
      <c r="L11" s="74" t="str">
        <f t="shared" ref="L11:L42" si="7">H11&amp;I11&amp;J11&amp;K11&amp;A11&amp;"-N"</f>
        <v>TPPRCAROGS-N</v>
      </c>
      <c r="M11" s="74" t="str">
        <f t="shared" ref="M11:M42" si="8">H11&amp;I11&amp;J11&amp;K11&amp;A11&amp;"-E"</f>
        <v>TPPRCAROGS-E</v>
      </c>
      <c r="N11" s="79" cm="1">
        <f t="array" ref="N11">INDEX(VehicleCostData2022!$T$16:$T$86,MATCH(1,(VehicleCostData2022!$R$16:$R$86=$E11)*(VehicleCostData2022!$S$16:$S$86=$F11),0))</f>
        <v>263435.29411764705</v>
      </c>
      <c r="O11" s="73">
        <f>$N11*INDEX($O$3:$W$6,MATCH($G11,$K$3:$K$6,0),MATCH(O$10,$O$2:$W$2,0))</f>
        <v>257194.27746382431</v>
      </c>
      <c r="P11" s="73">
        <f t="shared" ref="P11:W26" si="9">$N11*INDEX($O$3:$W$6,MATCH($G11,$K$3:$K$6,0),MATCH(P$10,$O$2:$W$2,0))</f>
        <v>259776.52860568708</v>
      </c>
      <c r="Q11" s="73">
        <f t="shared" si="9"/>
        <v>262384.70575580082</v>
      </c>
      <c r="R11" s="73">
        <f t="shared" si="9"/>
        <v>265019.06921336468</v>
      </c>
      <c r="S11" s="73">
        <f t="shared" si="9"/>
        <v>267679.88189100241</v>
      </c>
      <c r="T11" s="73">
        <f t="shared" si="9"/>
        <v>270367.40934100159</v>
      </c>
      <c r="U11" s="73">
        <f t="shared" si="9"/>
        <v>273081.91978181596</v>
      </c>
      <c r="V11" s="73">
        <f t="shared" si="9"/>
        <v>275823.6841248342</v>
      </c>
      <c r="W11" s="73">
        <f t="shared" si="9"/>
        <v>278592.97600141697</v>
      </c>
      <c r="X11" s="92">
        <v>2.7E-2</v>
      </c>
      <c r="Y11" s="94">
        <f>N11*$X11</f>
        <v>7112.7529411764699</v>
      </c>
      <c r="Z11" s="94">
        <f t="shared" ref="Z11:Z74" si="10">O11*$X11</f>
        <v>6944.2454915232565</v>
      </c>
      <c r="AA11" s="94">
        <f t="shared" ref="AA11:AA74" si="11">P11*$X11</f>
        <v>7013.9662723535512</v>
      </c>
      <c r="AB11" s="94">
        <f t="shared" ref="AB11:AB74" si="12">Q11*$X11</f>
        <v>7084.3870554066225</v>
      </c>
      <c r="AC11" s="94">
        <f t="shared" ref="AC11:AC74" si="13">R11*$X11</f>
        <v>7155.5148687608462</v>
      </c>
      <c r="AD11" s="94">
        <f t="shared" ref="AD11:AD74" si="14">S11*$X11</f>
        <v>7227.356811057065</v>
      </c>
      <c r="AE11" s="94">
        <f t="shared" ref="AE11:AE74" si="15">T11*$X11</f>
        <v>7299.9200522070432</v>
      </c>
      <c r="AF11" s="94">
        <f t="shared" ref="AF11:AF74" si="16">U11*$X11</f>
        <v>7373.2118341090309</v>
      </c>
      <c r="AG11" s="94">
        <f t="shared" ref="AG11:AG74" si="17">V11*$X11</f>
        <v>7447.2394713705235</v>
      </c>
      <c r="AH11" s="94">
        <f t="shared" ref="AH11:AH74" si="18">W11*$X11</f>
        <v>7522.0103520382581</v>
      </c>
    </row>
    <row r="12" spans="1:34" x14ac:dyDescent="0.25">
      <c r="A12" s="71" t="s">
        <v>11</v>
      </c>
      <c r="B12" s="71" t="s">
        <v>25</v>
      </c>
      <c r="C12" s="71" t="s">
        <v>18</v>
      </c>
      <c r="D12" s="71" t="s">
        <v>34</v>
      </c>
      <c r="E12" s="71" t="s">
        <v>35</v>
      </c>
      <c r="F12" s="71" t="s">
        <v>34</v>
      </c>
      <c r="G12" s="74" t="str">
        <f t="shared" ref="G12:G74" si="19">IF(A12="HGN",A12,RIGHT(F12,3))</f>
        <v>ICE</v>
      </c>
      <c r="H12" s="72" t="s">
        <v>75</v>
      </c>
      <c r="I12" s="71" t="str">
        <f t="shared" si="4"/>
        <v>P</v>
      </c>
      <c r="J12" s="71" t="str">
        <f t="shared" si="5"/>
        <v>PR</v>
      </c>
      <c r="K12" s="71" t="str">
        <f t="shared" si="6"/>
        <v>CAR</v>
      </c>
      <c r="L12" s="74" t="str">
        <f t="shared" si="7"/>
        <v>TPPRCARBGS-N</v>
      </c>
      <c r="M12" s="74" t="str">
        <f t="shared" si="8"/>
        <v>TPPRCARBGS-E</v>
      </c>
      <c r="N12" s="75" cm="1">
        <f t="array" ref="N12">INDEX(VehicleCostData2022!$T$16:$T$86,MATCH(1,(VehicleCostData2022!$R$16:$R$86=$E12)*(VehicleCostData2022!$S$16:$S$86=$F12),0))</f>
        <v>263435.29411764705</v>
      </c>
      <c r="O12" s="73">
        <f t="shared" ref="O12:W27" si="20">$N12*INDEX($O$3:$W$6,MATCH($G12,$K$3:$K$6,0),MATCH(O$10,$O$2:$W$2,0))</f>
        <v>257194.27746382431</v>
      </c>
      <c r="P12" s="73">
        <f t="shared" si="9"/>
        <v>259776.52860568708</v>
      </c>
      <c r="Q12" s="73">
        <f t="shared" si="9"/>
        <v>262384.70575580082</v>
      </c>
      <c r="R12" s="73">
        <f t="shared" si="9"/>
        <v>265019.06921336468</v>
      </c>
      <c r="S12" s="73">
        <f t="shared" si="9"/>
        <v>267679.88189100241</v>
      </c>
      <c r="T12" s="73">
        <f t="shared" si="9"/>
        <v>270367.40934100159</v>
      </c>
      <c r="U12" s="73">
        <f t="shared" si="9"/>
        <v>273081.91978181596</v>
      </c>
      <c r="V12" s="73">
        <f t="shared" si="9"/>
        <v>275823.6841248342</v>
      </c>
      <c r="W12" s="73">
        <f t="shared" si="9"/>
        <v>278592.97600141697</v>
      </c>
      <c r="X12" s="92">
        <v>2.7E-2</v>
      </c>
      <c r="Y12" s="94">
        <f t="shared" ref="Y12:Y75" si="21">N12*$X12</f>
        <v>7112.7529411764699</v>
      </c>
      <c r="Z12" s="94">
        <f t="shared" si="10"/>
        <v>6944.2454915232565</v>
      </c>
      <c r="AA12" s="94">
        <f t="shared" si="11"/>
        <v>7013.9662723535512</v>
      </c>
      <c r="AB12" s="94">
        <f t="shared" si="12"/>
        <v>7084.3870554066225</v>
      </c>
      <c r="AC12" s="94">
        <f t="shared" si="13"/>
        <v>7155.5148687608462</v>
      </c>
      <c r="AD12" s="94">
        <f t="shared" si="14"/>
        <v>7227.356811057065</v>
      </c>
      <c r="AE12" s="94">
        <f t="shared" si="15"/>
        <v>7299.9200522070432</v>
      </c>
      <c r="AF12" s="94">
        <f t="shared" si="16"/>
        <v>7373.2118341090309</v>
      </c>
      <c r="AG12" s="94">
        <f t="shared" si="17"/>
        <v>7447.2394713705235</v>
      </c>
      <c r="AH12" s="94">
        <f t="shared" si="18"/>
        <v>7522.0103520382581</v>
      </c>
    </row>
    <row r="13" spans="1:34" x14ac:dyDescent="0.25">
      <c r="A13" s="71" t="s">
        <v>13</v>
      </c>
      <c r="B13" s="71" t="s">
        <v>25</v>
      </c>
      <c r="C13" s="71" t="s">
        <v>18</v>
      </c>
      <c r="D13" s="71" t="s">
        <v>34</v>
      </c>
      <c r="E13" s="71" t="s">
        <v>35</v>
      </c>
      <c r="F13" s="71" t="s">
        <v>36</v>
      </c>
      <c r="G13" s="74" t="str">
        <f t="shared" si="19"/>
        <v>ICE</v>
      </c>
      <c r="H13" s="72" t="s">
        <v>75</v>
      </c>
      <c r="I13" s="71" t="str">
        <f t="shared" si="4"/>
        <v>P</v>
      </c>
      <c r="J13" s="71" t="str">
        <f t="shared" si="5"/>
        <v>PR</v>
      </c>
      <c r="K13" s="71" t="str">
        <f t="shared" si="6"/>
        <v>CAR</v>
      </c>
      <c r="L13" s="74" t="str">
        <f t="shared" si="7"/>
        <v>TPPRCARODS-N</v>
      </c>
      <c r="M13" s="74" t="str">
        <f t="shared" si="8"/>
        <v>TPPRCARODS-E</v>
      </c>
      <c r="N13" s="75" cm="1">
        <f t="array" ref="N13">INDEX(VehicleCostData2022!$T$16:$T$86,MATCH(1,(VehicleCostData2022!$R$16:$R$86=$E13)*(VehicleCostData2022!$S$16:$S$86=$F13),0))</f>
        <v>658729.4117647059</v>
      </c>
      <c r="O13" s="73">
        <f t="shared" si="20"/>
        <v>643123.52553387149</v>
      </c>
      <c r="P13" s="73">
        <f t="shared" si="9"/>
        <v>649580.53723158408</v>
      </c>
      <c r="Q13" s="73">
        <f t="shared" si="9"/>
        <v>656102.37784381933</v>
      </c>
      <c r="R13" s="73">
        <f t="shared" si="9"/>
        <v>662689.69825807051</v>
      </c>
      <c r="S13" s="73">
        <f t="shared" si="9"/>
        <v>669343.15589679382</v>
      </c>
      <c r="T13" s="73">
        <f t="shared" si="9"/>
        <v>676063.41478301899</v>
      </c>
      <c r="U13" s="73">
        <f t="shared" si="9"/>
        <v>682851.14560662012</v>
      </c>
      <c r="V13" s="73">
        <f t="shared" si="9"/>
        <v>689707.02579125215</v>
      </c>
      <c r="W13" s="73">
        <f t="shared" si="9"/>
        <v>696631.73956195696</v>
      </c>
      <c r="X13" s="92">
        <v>2.7E-2</v>
      </c>
      <c r="Y13" s="94">
        <f t="shared" si="21"/>
        <v>17785.694117647061</v>
      </c>
      <c r="Z13" s="94">
        <f t="shared" si="10"/>
        <v>17364.335189414531</v>
      </c>
      <c r="AA13" s="94">
        <f t="shared" si="11"/>
        <v>17538.674505252769</v>
      </c>
      <c r="AB13" s="94">
        <f t="shared" si="12"/>
        <v>17714.76420178312</v>
      </c>
      <c r="AC13" s="94">
        <f t="shared" si="13"/>
        <v>17892.621852967903</v>
      </c>
      <c r="AD13" s="94">
        <f t="shared" si="14"/>
        <v>18072.265209213434</v>
      </c>
      <c r="AE13" s="94">
        <f t="shared" si="15"/>
        <v>18253.712199141512</v>
      </c>
      <c r="AF13" s="94">
        <f t="shared" si="16"/>
        <v>18436.980931378745</v>
      </c>
      <c r="AG13" s="94">
        <f t="shared" si="17"/>
        <v>18622.089696363808</v>
      </c>
      <c r="AH13" s="94">
        <f t="shared" si="18"/>
        <v>18809.056968172838</v>
      </c>
    </row>
    <row r="14" spans="1:34" x14ac:dyDescent="0.25">
      <c r="A14" s="71" t="s">
        <v>15</v>
      </c>
      <c r="B14" s="71" t="s">
        <v>25</v>
      </c>
      <c r="C14" s="71" t="s">
        <v>18</v>
      </c>
      <c r="D14" s="71" t="s">
        <v>34</v>
      </c>
      <c r="E14" s="71" t="s">
        <v>35</v>
      </c>
      <c r="F14" s="71" t="s">
        <v>37</v>
      </c>
      <c r="G14" s="74" t="str">
        <f t="shared" si="19"/>
        <v>HEV</v>
      </c>
      <c r="H14" s="72" t="s">
        <v>75</v>
      </c>
      <c r="I14" s="71" t="str">
        <f t="shared" si="4"/>
        <v>P</v>
      </c>
      <c r="J14" s="71" t="str">
        <f t="shared" si="5"/>
        <v>PR</v>
      </c>
      <c r="K14" s="71" t="str">
        <f t="shared" si="6"/>
        <v>CAR</v>
      </c>
      <c r="L14" s="74" t="str">
        <f t="shared" si="7"/>
        <v>TPPRCAROGSH-N</v>
      </c>
      <c r="M14" s="74" t="str">
        <f t="shared" si="8"/>
        <v>TPPRCAROGSH-E</v>
      </c>
      <c r="N14" s="75" cm="1">
        <f t="array" ref="N14">INDEX(VehicleCostData2022!$T$16:$T$86,MATCH(1,(VehicleCostData2022!$R$16:$R$86=$E14)*(VehicleCostData2022!$S$16:$S$86=$F14),0))</f>
        <v>478870.5882352941</v>
      </c>
      <c r="O14" s="73">
        <f t="shared" si="20"/>
        <v>997843.32697358425</v>
      </c>
      <c r="P14" s="73">
        <f t="shared" si="9"/>
        <v>781604.68583263457</v>
      </c>
      <c r="Q14" s="73">
        <f t="shared" si="9"/>
        <v>565366.04469167127</v>
      </c>
      <c r="R14" s="73">
        <f t="shared" si="9"/>
        <v>460699.15966386627</v>
      </c>
      <c r="S14" s="73">
        <f t="shared" si="9"/>
        <v>430413.44537815207</v>
      </c>
      <c r="T14" s="73">
        <f t="shared" si="9"/>
        <v>431126.05042016803</v>
      </c>
      <c r="U14" s="73">
        <f t="shared" si="9"/>
        <v>431838.65546218486</v>
      </c>
      <c r="V14" s="73">
        <f t="shared" si="9"/>
        <v>432551.26050420169</v>
      </c>
      <c r="W14" s="73">
        <f t="shared" si="9"/>
        <v>433263.86554621847</v>
      </c>
      <c r="X14" s="92">
        <v>2.7E-2</v>
      </c>
      <c r="Y14" s="94">
        <f t="shared" si="21"/>
        <v>12929.50588235294</v>
      </c>
      <c r="Z14" s="94">
        <f t="shared" si="10"/>
        <v>26941.769828286775</v>
      </c>
      <c r="AA14" s="94">
        <f t="shared" si="11"/>
        <v>21103.326517481131</v>
      </c>
      <c r="AB14" s="94">
        <f t="shared" si="12"/>
        <v>15264.883206675124</v>
      </c>
      <c r="AC14" s="94">
        <f t="shared" si="13"/>
        <v>12438.877310924388</v>
      </c>
      <c r="AD14" s="94">
        <f t="shared" si="14"/>
        <v>11621.163025210106</v>
      </c>
      <c r="AE14" s="94">
        <f t="shared" si="15"/>
        <v>11640.403361344537</v>
      </c>
      <c r="AF14" s="94">
        <f t="shared" si="16"/>
        <v>11659.64369747899</v>
      </c>
      <c r="AG14" s="94">
        <f t="shared" si="17"/>
        <v>11678.884033613445</v>
      </c>
      <c r="AH14" s="94">
        <f t="shared" si="18"/>
        <v>11698.124369747899</v>
      </c>
    </row>
    <row r="15" spans="1:34" x14ac:dyDescent="0.25">
      <c r="A15" s="71" t="s">
        <v>16</v>
      </c>
      <c r="B15" s="71" t="s">
        <v>25</v>
      </c>
      <c r="C15" s="71" t="s">
        <v>18</v>
      </c>
      <c r="D15" s="71" t="s">
        <v>34</v>
      </c>
      <c r="E15" s="71" t="s">
        <v>35</v>
      </c>
      <c r="F15" s="71" t="s">
        <v>38</v>
      </c>
      <c r="G15" s="74" t="str">
        <f t="shared" si="19"/>
        <v>HEV</v>
      </c>
      <c r="H15" s="72" t="s">
        <v>75</v>
      </c>
      <c r="I15" s="71" t="str">
        <f t="shared" si="4"/>
        <v>P</v>
      </c>
      <c r="J15" s="71" t="str">
        <f t="shared" si="5"/>
        <v>PR</v>
      </c>
      <c r="K15" s="71" t="str">
        <f t="shared" si="6"/>
        <v>CAR</v>
      </c>
      <c r="L15" s="74" t="str">
        <f t="shared" si="7"/>
        <v>TPPRCARODSH-N</v>
      </c>
      <c r="M15" s="74" t="str">
        <f t="shared" si="8"/>
        <v>TPPRCARODSH-E</v>
      </c>
      <c r="N15" s="75" cm="1">
        <f t="array" ref="N15">INDEX(VehicleCostData2022!$T$16:$T$86,MATCH(1,(VehicleCostData2022!$R$16:$R$86=$E15)*(VehicleCostData2022!$S$16:$S$86=$F15),0))</f>
        <v>1197433.100056743</v>
      </c>
      <c r="O15" s="73">
        <f t="shared" si="20"/>
        <v>2495143.067341235</v>
      </c>
      <c r="P15" s="73">
        <f t="shared" si="9"/>
        <v>1954430.5809727081</v>
      </c>
      <c r="Q15" s="73">
        <f t="shared" si="9"/>
        <v>1413718.0946041471</v>
      </c>
      <c r="R15" s="73">
        <f t="shared" si="9"/>
        <v>1151994.7904563774</v>
      </c>
      <c r="S15" s="73">
        <f t="shared" si="9"/>
        <v>1076264.274455765</v>
      </c>
      <c r="T15" s="73">
        <f t="shared" si="9"/>
        <v>1078046.1689498951</v>
      </c>
      <c r="U15" s="73">
        <f t="shared" si="9"/>
        <v>1079828.0634440272</v>
      </c>
      <c r="V15" s="73">
        <f t="shared" si="9"/>
        <v>1081609.9579381594</v>
      </c>
      <c r="W15" s="73">
        <f t="shared" si="9"/>
        <v>1083391.8524322913</v>
      </c>
      <c r="X15" s="92">
        <v>2.7E-2</v>
      </c>
      <c r="Y15" s="94">
        <f t="shared" si="21"/>
        <v>32330.693701532062</v>
      </c>
      <c r="Z15" s="94">
        <f t="shared" si="10"/>
        <v>67368.86281821334</v>
      </c>
      <c r="AA15" s="94">
        <f t="shared" si="11"/>
        <v>52769.62568626312</v>
      </c>
      <c r="AB15" s="94">
        <f t="shared" si="12"/>
        <v>38170.388554311969</v>
      </c>
      <c r="AC15" s="94">
        <f t="shared" si="13"/>
        <v>31103.85934232219</v>
      </c>
      <c r="AD15" s="94">
        <f t="shared" si="14"/>
        <v>29059.135410305655</v>
      </c>
      <c r="AE15" s="94">
        <f t="shared" si="15"/>
        <v>29107.246561647167</v>
      </c>
      <c r="AF15" s="94">
        <f t="shared" si="16"/>
        <v>29155.357712988734</v>
      </c>
      <c r="AG15" s="94">
        <f t="shared" si="17"/>
        <v>29203.468864330302</v>
      </c>
      <c r="AH15" s="94">
        <f t="shared" si="18"/>
        <v>29251.580015671865</v>
      </c>
    </row>
    <row r="16" spans="1:34" x14ac:dyDescent="0.25">
      <c r="A16" s="71" t="s">
        <v>39</v>
      </c>
      <c r="B16" s="71" t="s">
        <v>25</v>
      </c>
      <c r="C16" s="71" t="s">
        <v>18</v>
      </c>
      <c r="D16" s="71" t="s">
        <v>34</v>
      </c>
      <c r="E16" s="71" t="s">
        <v>35</v>
      </c>
      <c r="F16" s="71" t="s">
        <v>40</v>
      </c>
      <c r="G16" s="74" t="str">
        <f t="shared" si="19"/>
        <v>HEV</v>
      </c>
      <c r="H16" s="72" t="s">
        <v>75</v>
      </c>
      <c r="I16" s="71" t="str">
        <f t="shared" si="4"/>
        <v>P</v>
      </c>
      <c r="J16" s="71" t="str">
        <f t="shared" si="5"/>
        <v>PR</v>
      </c>
      <c r="K16" s="71" t="str">
        <f t="shared" si="6"/>
        <v>CAR</v>
      </c>
      <c r="L16" s="74" t="str">
        <f t="shared" si="7"/>
        <v>TPPRCAROGSP-N</v>
      </c>
      <c r="M16" s="74" t="str">
        <f t="shared" si="8"/>
        <v>TPPRCAROGSP-E</v>
      </c>
      <c r="N16" s="75" cm="1">
        <f t="array" ref="N16">INDEX(VehicleCostData2022!$T$16:$T$86,MATCH(1,(VehicleCostData2022!$R$16:$R$86=$E16)*(VehicleCostData2022!$S$16:$S$86=$F16),0))</f>
        <v>0</v>
      </c>
      <c r="O16" s="73">
        <f t="shared" si="20"/>
        <v>0</v>
      </c>
      <c r="P16" s="73">
        <f t="shared" si="9"/>
        <v>0</v>
      </c>
      <c r="Q16" s="73">
        <f t="shared" si="9"/>
        <v>0</v>
      </c>
      <c r="R16" s="73">
        <f t="shared" si="9"/>
        <v>0</v>
      </c>
      <c r="S16" s="73">
        <f t="shared" si="9"/>
        <v>0</v>
      </c>
      <c r="T16" s="73">
        <f t="shared" si="9"/>
        <v>0</v>
      </c>
      <c r="U16" s="73">
        <f t="shared" si="9"/>
        <v>0</v>
      </c>
      <c r="V16" s="73">
        <f t="shared" si="9"/>
        <v>0</v>
      </c>
      <c r="W16" s="73">
        <f t="shared" si="9"/>
        <v>0</v>
      </c>
      <c r="X16" s="92"/>
      <c r="Y16" s="94">
        <f t="shared" si="21"/>
        <v>0</v>
      </c>
      <c r="Z16" s="94">
        <f t="shared" si="10"/>
        <v>0</v>
      </c>
      <c r="AA16" s="94">
        <f t="shared" si="11"/>
        <v>0</v>
      </c>
      <c r="AB16" s="94">
        <f t="shared" si="12"/>
        <v>0</v>
      </c>
      <c r="AC16" s="94">
        <f t="shared" si="13"/>
        <v>0</v>
      </c>
      <c r="AD16" s="94">
        <f t="shared" si="14"/>
        <v>0</v>
      </c>
      <c r="AE16" s="94">
        <f t="shared" si="15"/>
        <v>0</v>
      </c>
      <c r="AF16" s="94">
        <f t="shared" si="16"/>
        <v>0</v>
      </c>
      <c r="AG16" s="94">
        <f t="shared" si="17"/>
        <v>0</v>
      </c>
      <c r="AH16" s="94">
        <f t="shared" si="18"/>
        <v>0</v>
      </c>
    </row>
    <row r="17" spans="1:34" x14ac:dyDescent="0.25">
      <c r="A17" s="71" t="s">
        <v>42</v>
      </c>
      <c r="B17" s="71" t="s">
        <v>25</v>
      </c>
      <c r="C17" s="71" t="s">
        <v>18</v>
      </c>
      <c r="D17" s="71" t="s">
        <v>34</v>
      </c>
      <c r="E17" s="71" t="s">
        <v>35</v>
      </c>
      <c r="F17" s="71" t="s">
        <v>43</v>
      </c>
      <c r="G17" s="74" t="str">
        <f t="shared" si="19"/>
        <v>HEV</v>
      </c>
      <c r="H17" s="72" t="s">
        <v>75</v>
      </c>
      <c r="I17" s="71" t="str">
        <f t="shared" si="4"/>
        <v>P</v>
      </c>
      <c r="J17" s="71" t="str">
        <f t="shared" si="5"/>
        <v>PR</v>
      </c>
      <c r="K17" s="71" t="str">
        <f t="shared" si="6"/>
        <v>CAR</v>
      </c>
      <c r="L17" s="74" t="str">
        <f t="shared" si="7"/>
        <v>TPPRCARODSP-N</v>
      </c>
      <c r="M17" s="74" t="str">
        <f t="shared" si="8"/>
        <v>TPPRCARODSP-E</v>
      </c>
      <c r="N17" s="75" cm="1">
        <f t="array" ref="N17">INDEX(VehicleCostData2022!$T$16:$T$86,MATCH(1,(VehicleCostData2022!$R$16:$R$86=$E17)*(VehicleCostData2022!$S$16:$S$86=$F17),0))</f>
        <v>0</v>
      </c>
      <c r="O17" s="73">
        <f t="shared" si="20"/>
        <v>0</v>
      </c>
      <c r="P17" s="73">
        <f t="shared" si="9"/>
        <v>0</v>
      </c>
      <c r="Q17" s="73">
        <f t="shared" si="9"/>
        <v>0</v>
      </c>
      <c r="R17" s="73">
        <f t="shared" si="9"/>
        <v>0</v>
      </c>
      <c r="S17" s="73">
        <f t="shared" si="9"/>
        <v>0</v>
      </c>
      <c r="T17" s="73">
        <f t="shared" si="9"/>
        <v>0</v>
      </c>
      <c r="U17" s="73">
        <f t="shared" si="9"/>
        <v>0</v>
      </c>
      <c r="V17" s="73">
        <f t="shared" si="9"/>
        <v>0</v>
      </c>
      <c r="W17" s="73">
        <f t="shared" si="9"/>
        <v>0</v>
      </c>
      <c r="X17" s="92"/>
      <c r="Y17" s="94">
        <f t="shared" si="21"/>
        <v>0</v>
      </c>
      <c r="Z17" s="94">
        <f t="shared" si="10"/>
        <v>0</v>
      </c>
      <c r="AA17" s="94">
        <f t="shared" si="11"/>
        <v>0</v>
      </c>
      <c r="AB17" s="94">
        <f t="shared" si="12"/>
        <v>0</v>
      </c>
      <c r="AC17" s="94">
        <f t="shared" si="13"/>
        <v>0</v>
      </c>
      <c r="AD17" s="94">
        <f t="shared" si="14"/>
        <v>0</v>
      </c>
      <c r="AE17" s="94">
        <f t="shared" si="15"/>
        <v>0</v>
      </c>
      <c r="AF17" s="94">
        <f t="shared" si="16"/>
        <v>0</v>
      </c>
      <c r="AG17" s="94">
        <f t="shared" si="17"/>
        <v>0</v>
      </c>
      <c r="AH17" s="94">
        <f t="shared" si="18"/>
        <v>0</v>
      </c>
    </row>
    <row r="18" spans="1:34" x14ac:dyDescent="0.25">
      <c r="A18" s="71" t="s">
        <v>9</v>
      </c>
      <c r="B18" s="71" t="s">
        <v>25</v>
      </c>
      <c r="C18" s="71" t="s">
        <v>18</v>
      </c>
      <c r="D18" s="71" t="s">
        <v>34</v>
      </c>
      <c r="E18" s="71" t="s">
        <v>35</v>
      </c>
      <c r="F18" s="71" t="s">
        <v>41</v>
      </c>
      <c r="G18" s="74" t="str">
        <f t="shared" si="19"/>
        <v>BEV</v>
      </c>
      <c r="H18" s="72" t="s">
        <v>75</v>
      </c>
      <c r="I18" s="71" t="str">
        <f t="shared" si="4"/>
        <v>P</v>
      </c>
      <c r="J18" s="71" t="str">
        <f t="shared" si="5"/>
        <v>PR</v>
      </c>
      <c r="K18" s="71" t="str">
        <f t="shared" si="6"/>
        <v>CAR</v>
      </c>
      <c r="L18" s="74" t="str">
        <f t="shared" si="7"/>
        <v>TPPRCARELC-N</v>
      </c>
      <c r="M18" s="74" t="str">
        <f t="shared" si="8"/>
        <v>TPPRCARELC-E</v>
      </c>
      <c r="N18" s="75" cm="1">
        <f t="array" ref="N18">INDEX(VehicleCostData2022!$T$16:$T$86,MATCH(1,(VehicleCostData2022!$R$16:$R$86=$E18)*(VehicleCostData2022!$S$16:$S$86=$F18),0))</f>
        <v>698448.9411764706</v>
      </c>
      <c r="O18" s="73">
        <f t="shared" si="20"/>
        <v>2487250.0369445574</v>
      </c>
      <c r="P18" s="73">
        <f t="shared" si="9"/>
        <v>1741916.2470411814</v>
      </c>
      <c r="Q18" s="73">
        <f t="shared" si="9"/>
        <v>996582.45713780518</v>
      </c>
      <c r="R18" s="73">
        <f t="shared" si="9"/>
        <v>635844.06657102099</v>
      </c>
      <c r="S18" s="73">
        <f t="shared" si="9"/>
        <v>531502.60889526841</v>
      </c>
      <c r="T18" s="73">
        <f t="shared" si="9"/>
        <v>515319.03586800606</v>
      </c>
      <c r="U18" s="73">
        <f t="shared" si="9"/>
        <v>499135.46284074622</v>
      </c>
      <c r="V18" s="73">
        <f t="shared" si="9"/>
        <v>482951.88981348637</v>
      </c>
      <c r="W18" s="73">
        <f t="shared" si="9"/>
        <v>466768.31678622647</v>
      </c>
      <c r="X18" s="92">
        <v>2.0250000000000001E-2</v>
      </c>
      <c r="Y18" s="94">
        <f t="shared" si="21"/>
        <v>14143.591058823529</v>
      </c>
      <c r="Z18" s="94">
        <f t="shared" si="10"/>
        <v>50366.813248127291</v>
      </c>
      <c r="AA18" s="94">
        <f t="shared" si="11"/>
        <v>35273.804002583922</v>
      </c>
      <c r="AB18" s="94">
        <f t="shared" si="12"/>
        <v>20180.794757040556</v>
      </c>
      <c r="AC18" s="94">
        <f t="shared" si="13"/>
        <v>12875.842348063175</v>
      </c>
      <c r="AD18" s="94">
        <f t="shared" si="14"/>
        <v>10762.927830129185</v>
      </c>
      <c r="AE18" s="94">
        <f t="shared" si="15"/>
        <v>10435.210476327124</v>
      </c>
      <c r="AF18" s="94">
        <f t="shared" si="16"/>
        <v>10107.493122525111</v>
      </c>
      <c r="AG18" s="94">
        <f t="shared" si="17"/>
        <v>9779.7757687230987</v>
      </c>
      <c r="AH18" s="94">
        <f t="shared" si="18"/>
        <v>9452.0584149210863</v>
      </c>
    </row>
    <row r="19" spans="1:34" x14ac:dyDescent="0.25">
      <c r="A19" s="71" t="s">
        <v>264</v>
      </c>
      <c r="B19" s="71" t="s">
        <v>25</v>
      </c>
      <c r="C19" s="71" t="s">
        <v>18</v>
      </c>
      <c r="D19" s="71" t="s">
        <v>34</v>
      </c>
      <c r="E19" s="71" t="s">
        <v>35</v>
      </c>
      <c r="F19" s="71" t="s">
        <v>44</v>
      </c>
      <c r="G19" s="74" t="str">
        <f>IF(A19="HGNF",A19,RIGHT(F19,3))</f>
        <v>HGNF</v>
      </c>
      <c r="H19" s="72" t="s">
        <v>75</v>
      </c>
      <c r="I19" s="71" t="str">
        <f t="shared" si="4"/>
        <v>P</v>
      </c>
      <c r="J19" s="71" t="str">
        <f t="shared" si="5"/>
        <v>PR</v>
      </c>
      <c r="K19" s="71" t="str">
        <f t="shared" si="6"/>
        <v>CAR</v>
      </c>
      <c r="L19" s="74" t="str">
        <f t="shared" si="7"/>
        <v>TPPRCARHGNF-N</v>
      </c>
      <c r="M19" s="74" t="str">
        <f t="shared" si="8"/>
        <v>TPPRCARHGNF-E</v>
      </c>
      <c r="N19" s="75" cm="1">
        <f t="array" ref="N19">INDEX(VehicleCostData2022!$T$16:$T$86,MATCH(1,(VehicleCostData2022!$R$16:$R$86=$E19)*(VehicleCostData2022!$S$16:$S$86=$F19),0))</f>
        <v>1783500</v>
      </c>
      <c r="O19" s="73">
        <f t="shared" si="20"/>
        <v>6351230.819275897</v>
      </c>
      <c r="P19" s="73">
        <f t="shared" si="9"/>
        <v>4448009.6445775898</v>
      </c>
      <c r="Q19" s="73">
        <f t="shared" si="9"/>
        <v>2544788.4698792822</v>
      </c>
      <c r="R19" s="73">
        <f t="shared" si="9"/>
        <v>1623637.5000000061</v>
      </c>
      <c r="S19" s="73">
        <f t="shared" si="9"/>
        <v>1357200.0000000075</v>
      </c>
      <c r="T19" s="73">
        <f t="shared" si="9"/>
        <v>1315875.0000000007</v>
      </c>
      <c r="U19" s="73">
        <f t="shared" si="9"/>
        <v>1274550.0000000002</v>
      </c>
      <c r="V19" s="73">
        <f t="shared" si="9"/>
        <v>1233225</v>
      </c>
      <c r="W19" s="73">
        <f t="shared" si="9"/>
        <v>1191899.9999999995</v>
      </c>
      <c r="X19" s="92">
        <v>2.7E-2</v>
      </c>
      <c r="Y19" s="94">
        <f t="shared" si="21"/>
        <v>48154.5</v>
      </c>
      <c r="Z19" s="94">
        <f t="shared" si="10"/>
        <v>171483.23212044922</v>
      </c>
      <c r="AA19" s="94">
        <f t="shared" si="11"/>
        <v>120096.26040359492</v>
      </c>
      <c r="AB19" s="94">
        <f t="shared" si="12"/>
        <v>68709.28868674062</v>
      </c>
      <c r="AC19" s="94">
        <f t="shared" si="13"/>
        <v>43838.212500000162</v>
      </c>
      <c r="AD19" s="94">
        <f t="shared" si="14"/>
        <v>36644.400000000198</v>
      </c>
      <c r="AE19" s="94">
        <f t="shared" si="15"/>
        <v>35528.625000000022</v>
      </c>
      <c r="AF19" s="94">
        <f t="shared" si="16"/>
        <v>34412.850000000006</v>
      </c>
      <c r="AG19" s="94">
        <f t="shared" si="17"/>
        <v>33297.074999999997</v>
      </c>
      <c r="AH19" s="94">
        <f t="shared" si="18"/>
        <v>32181.299999999988</v>
      </c>
    </row>
    <row r="20" spans="1:34" x14ac:dyDescent="0.25">
      <c r="A20" s="71" t="s">
        <v>12</v>
      </c>
      <c r="B20" s="71" t="s">
        <v>25</v>
      </c>
      <c r="C20" s="71" t="s">
        <v>18</v>
      </c>
      <c r="D20" s="71" t="s">
        <v>34</v>
      </c>
      <c r="E20" s="71" t="s">
        <v>35</v>
      </c>
      <c r="F20" s="71" t="s">
        <v>45</v>
      </c>
      <c r="G20" s="74" t="str">
        <f t="shared" si="19"/>
        <v>ICE</v>
      </c>
      <c r="H20" s="72" t="s">
        <v>75</v>
      </c>
      <c r="I20" s="71" t="str">
        <f t="shared" si="4"/>
        <v>P</v>
      </c>
      <c r="J20" s="71" t="str">
        <f t="shared" si="5"/>
        <v>PR</v>
      </c>
      <c r="K20" s="71" t="str">
        <f t="shared" si="6"/>
        <v>CAR</v>
      </c>
      <c r="L20" s="74" t="str">
        <f t="shared" si="7"/>
        <v>TPPRCARGAS-N</v>
      </c>
      <c r="M20" s="74" t="str">
        <f t="shared" si="8"/>
        <v>TPPRCARGAS-E</v>
      </c>
      <c r="N20" s="75" cm="1">
        <f t="array" ref="N20">INDEX(VehicleCostData2022!$T$16:$T$86,MATCH(1,(VehicleCostData2022!$R$16:$R$86=$E20)*(VehicleCostData2022!$S$16:$S$86=$F20),0))</f>
        <v>724602.3529411765</v>
      </c>
      <c r="O20" s="73">
        <f t="shared" si="20"/>
        <v>707435.87808725866</v>
      </c>
      <c r="P20" s="73">
        <f t="shared" si="9"/>
        <v>714538.59095474251</v>
      </c>
      <c r="Q20" s="73">
        <f t="shared" si="9"/>
        <v>721712.61562820128</v>
      </c>
      <c r="R20" s="73">
        <f t="shared" si="9"/>
        <v>728958.66808387765</v>
      </c>
      <c r="S20" s="73">
        <f t="shared" si="9"/>
        <v>736277.47148647322</v>
      </c>
      <c r="T20" s="73">
        <f t="shared" si="9"/>
        <v>743669.7562613209</v>
      </c>
      <c r="U20" s="73">
        <f t="shared" si="9"/>
        <v>751136.26016728219</v>
      </c>
      <c r="V20" s="73">
        <f t="shared" si="9"/>
        <v>758677.72837037733</v>
      </c>
      <c r="W20" s="73">
        <f t="shared" si="9"/>
        <v>766294.91351815267</v>
      </c>
      <c r="X20" s="92">
        <v>2.7E-2</v>
      </c>
      <c r="Y20" s="94">
        <f t="shared" si="21"/>
        <v>19564.263529411764</v>
      </c>
      <c r="Z20" s="94">
        <f t="shared" si="10"/>
        <v>19100.768708355983</v>
      </c>
      <c r="AA20" s="94">
        <f t="shared" si="11"/>
        <v>19292.541955778048</v>
      </c>
      <c r="AB20" s="94">
        <f t="shared" si="12"/>
        <v>19486.240621961435</v>
      </c>
      <c r="AC20" s="94">
        <f t="shared" si="13"/>
        <v>19681.884038264696</v>
      </c>
      <c r="AD20" s="94">
        <f t="shared" si="14"/>
        <v>19879.491730134778</v>
      </c>
      <c r="AE20" s="94">
        <f t="shared" si="15"/>
        <v>20079.083419055663</v>
      </c>
      <c r="AF20" s="94">
        <f t="shared" si="16"/>
        <v>20280.679024516619</v>
      </c>
      <c r="AG20" s="94">
        <f t="shared" si="17"/>
        <v>20484.298666000188</v>
      </c>
      <c r="AH20" s="94">
        <f t="shared" si="18"/>
        <v>20689.962664990122</v>
      </c>
    </row>
    <row r="21" spans="1:34" x14ac:dyDescent="0.25">
      <c r="A21" s="71" t="s">
        <v>21</v>
      </c>
      <c r="B21" s="71" t="s">
        <v>25</v>
      </c>
      <c r="C21" s="71" t="s">
        <v>8</v>
      </c>
      <c r="D21" s="71" t="s">
        <v>34</v>
      </c>
      <c r="E21" s="71" t="s">
        <v>46</v>
      </c>
      <c r="F21" s="71" t="s">
        <v>34</v>
      </c>
      <c r="G21" s="74" t="str">
        <f t="shared" si="19"/>
        <v>ICE</v>
      </c>
      <c r="H21" s="72" t="s">
        <v>75</v>
      </c>
      <c r="I21" s="71" t="str">
        <f t="shared" si="4"/>
        <v>P</v>
      </c>
      <c r="J21" s="71" t="str">
        <f t="shared" si="5"/>
        <v>PR</v>
      </c>
      <c r="K21" s="71" t="str">
        <f t="shared" si="6"/>
        <v>SUV</v>
      </c>
      <c r="L21" s="74" t="str">
        <f t="shared" si="7"/>
        <v>TPPRSUVOGS-N</v>
      </c>
      <c r="M21" s="74" t="str">
        <f t="shared" si="8"/>
        <v>TPPRSUVOGS-E</v>
      </c>
      <c r="N21" s="75" cm="1">
        <f t="array" ref="N21">INDEX(VehicleCostData2022!$T$16:$T$86,MATCH(1,(VehicleCostData2022!$R$16:$R$86=$E21)*(VehicleCostData2022!$S$16:$S$86=$F21),0))</f>
        <v>440658.82352941175</v>
      </c>
      <c r="O21" s="73">
        <f t="shared" si="20"/>
        <v>430219.22368189547</v>
      </c>
      <c r="P21" s="73">
        <f t="shared" si="9"/>
        <v>434538.65913963091</v>
      </c>
      <c r="Q21" s="73">
        <f t="shared" si="9"/>
        <v>438901.46207526245</v>
      </c>
      <c r="R21" s="73">
        <f t="shared" si="9"/>
        <v>443308.06790174113</v>
      </c>
      <c r="S21" s="73">
        <f t="shared" si="9"/>
        <v>447758.91640359885</v>
      </c>
      <c r="T21" s="73">
        <f t="shared" si="9"/>
        <v>452254.45178083936</v>
      </c>
      <c r="U21" s="73">
        <f t="shared" si="9"/>
        <v>456795.1226932698</v>
      </c>
      <c r="V21" s="73">
        <f t="shared" si="9"/>
        <v>461381.38230527821</v>
      </c>
      <c r="W21" s="73">
        <f t="shared" si="9"/>
        <v>466013.68833105906</v>
      </c>
      <c r="X21" s="92">
        <v>2.7E-2</v>
      </c>
      <c r="Y21" s="94">
        <f t="shared" si="21"/>
        <v>11897.788235294118</v>
      </c>
      <c r="Z21" s="94">
        <f t="shared" si="10"/>
        <v>11615.919039411177</v>
      </c>
      <c r="AA21" s="94">
        <f t="shared" si="11"/>
        <v>11732.543796770035</v>
      </c>
      <c r="AB21" s="94">
        <f t="shared" si="12"/>
        <v>11850.339476032086</v>
      </c>
      <c r="AC21" s="94">
        <f t="shared" si="13"/>
        <v>11969.31783334701</v>
      </c>
      <c r="AD21" s="94">
        <f t="shared" si="14"/>
        <v>12089.490742897169</v>
      </c>
      <c r="AE21" s="94">
        <f t="shared" si="15"/>
        <v>12210.870198082663</v>
      </c>
      <c r="AF21" s="94">
        <f t="shared" si="16"/>
        <v>12333.468312718285</v>
      </c>
      <c r="AG21" s="94">
        <f t="shared" si="17"/>
        <v>12457.297322242512</v>
      </c>
      <c r="AH21" s="94">
        <f t="shared" si="18"/>
        <v>12582.369584938595</v>
      </c>
    </row>
    <row r="22" spans="1:34" x14ac:dyDescent="0.25">
      <c r="A22" s="71" t="s">
        <v>15</v>
      </c>
      <c r="B22" s="71" t="s">
        <v>25</v>
      </c>
      <c r="C22" s="71" t="s">
        <v>8</v>
      </c>
      <c r="D22" s="71" t="s">
        <v>34</v>
      </c>
      <c r="E22" s="71" t="s">
        <v>46</v>
      </c>
      <c r="F22" s="71" t="s">
        <v>37</v>
      </c>
      <c r="G22" s="74" t="str">
        <f t="shared" si="19"/>
        <v>HEV</v>
      </c>
      <c r="H22" s="72" t="s">
        <v>75</v>
      </c>
      <c r="I22" s="71" t="str">
        <f t="shared" si="4"/>
        <v>P</v>
      </c>
      <c r="J22" s="71" t="str">
        <f t="shared" si="5"/>
        <v>PR</v>
      </c>
      <c r="K22" s="71" t="str">
        <f t="shared" si="6"/>
        <v>SUV</v>
      </c>
      <c r="L22" s="74" t="str">
        <f t="shared" si="7"/>
        <v>TPPRSUVOGSH-N</v>
      </c>
      <c r="M22" s="74" t="str">
        <f t="shared" si="8"/>
        <v>TPPRSUVOGSH-E</v>
      </c>
      <c r="N22" s="75" cm="1">
        <f t="array" ref="N22">INDEX(VehicleCostData2022!$T$16:$T$86,MATCH(1,(VehicleCostData2022!$R$16:$R$86=$E22)*(VehicleCostData2022!$S$16:$S$86=$F22),0))</f>
        <v>496188.23529411765</v>
      </c>
      <c r="O22" s="73">
        <f t="shared" si="20"/>
        <v>1033928.8560936983</v>
      </c>
      <c r="P22" s="73">
        <f t="shared" si="9"/>
        <v>809870.26409387775</v>
      </c>
      <c r="Q22" s="73">
        <f t="shared" si="9"/>
        <v>585811.672094043</v>
      </c>
      <c r="R22" s="73">
        <f t="shared" si="9"/>
        <v>477359.66386554699</v>
      </c>
      <c r="S22" s="73">
        <f t="shared" si="9"/>
        <v>445978.71148459468</v>
      </c>
      <c r="T22" s="73">
        <f t="shared" si="9"/>
        <v>446717.0868347339</v>
      </c>
      <c r="U22" s="73">
        <f t="shared" si="9"/>
        <v>447455.46218487393</v>
      </c>
      <c r="V22" s="73">
        <f t="shared" si="9"/>
        <v>448193.83753501403</v>
      </c>
      <c r="W22" s="73">
        <f t="shared" si="9"/>
        <v>448932.21288515406</v>
      </c>
      <c r="X22" s="92">
        <v>2.7E-2</v>
      </c>
      <c r="Y22" s="94">
        <f t="shared" si="21"/>
        <v>13397.082352941177</v>
      </c>
      <c r="Z22" s="94">
        <f t="shared" si="10"/>
        <v>27916.079114529854</v>
      </c>
      <c r="AA22" s="94">
        <f t="shared" si="11"/>
        <v>21866.497130534699</v>
      </c>
      <c r="AB22" s="94">
        <f t="shared" si="12"/>
        <v>15816.915146539161</v>
      </c>
      <c r="AC22" s="94">
        <f t="shared" si="13"/>
        <v>12888.710924369769</v>
      </c>
      <c r="AD22" s="94">
        <f t="shared" si="14"/>
        <v>12041.425210084057</v>
      </c>
      <c r="AE22" s="94">
        <f t="shared" si="15"/>
        <v>12061.361344537816</v>
      </c>
      <c r="AF22" s="94">
        <f t="shared" si="16"/>
        <v>12081.297478991595</v>
      </c>
      <c r="AG22" s="94">
        <f t="shared" si="17"/>
        <v>12101.233613445378</v>
      </c>
      <c r="AH22" s="94">
        <f t="shared" si="18"/>
        <v>12121.169747899159</v>
      </c>
    </row>
    <row r="23" spans="1:34" x14ac:dyDescent="0.25">
      <c r="A23" s="71" t="s">
        <v>11</v>
      </c>
      <c r="B23" s="71" t="s">
        <v>25</v>
      </c>
      <c r="C23" s="71" t="s">
        <v>8</v>
      </c>
      <c r="D23" s="71" t="s">
        <v>34</v>
      </c>
      <c r="E23" s="71" t="s">
        <v>46</v>
      </c>
      <c r="F23" s="71" t="s">
        <v>34</v>
      </c>
      <c r="G23" s="74" t="str">
        <f t="shared" si="19"/>
        <v>ICE</v>
      </c>
      <c r="H23" s="72" t="s">
        <v>75</v>
      </c>
      <c r="I23" s="71" t="str">
        <f t="shared" si="4"/>
        <v>P</v>
      </c>
      <c r="J23" s="71" t="str">
        <f t="shared" si="5"/>
        <v>PR</v>
      </c>
      <c r="K23" s="71" t="str">
        <f t="shared" si="6"/>
        <v>SUV</v>
      </c>
      <c r="L23" s="74" t="str">
        <f t="shared" si="7"/>
        <v>TPPRSUVBGS-N</v>
      </c>
      <c r="M23" s="74" t="str">
        <f t="shared" si="8"/>
        <v>TPPRSUVBGS-E</v>
      </c>
      <c r="N23" s="75" cm="1">
        <f t="array" ref="N23">INDEX(VehicleCostData2022!$T$16:$T$86,MATCH(1,(VehicleCostData2022!$R$16:$R$86=$E23)*(VehicleCostData2022!$S$16:$S$86=$F23),0))</f>
        <v>440658.82352941175</v>
      </c>
      <c r="O23" s="73">
        <f t="shared" si="20"/>
        <v>430219.22368189547</v>
      </c>
      <c r="P23" s="73">
        <f t="shared" si="9"/>
        <v>434538.65913963091</v>
      </c>
      <c r="Q23" s="73">
        <f t="shared" si="9"/>
        <v>438901.46207526245</v>
      </c>
      <c r="R23" s="73">
        <f t="shared" si="9"/>
        <v>443308.06790174113</v>
      </c>
      <c r="S23" s="73">
        <f t="shared" si="9"/>
        <v>447758.91640359885</v>
      </c>
      <c r="T23" s="73">
        <f t="shared" si="9"/>
        <v>452254.45178083936</v>
      </c>
      <c r="U23" s="73">
        <f t="shared" si="9"/>
        <v>456795.1226932698</v>
      </c>
      <c r="V23" s="73">
        <f t="shared" si="9"/>
        <v>461381.38230527821</v>
      </c>
      <c r="W23" s="73">
        <f t="shared" si="9"/>
        <v>466013.68833105906</v>
      </c>
      <c r="X23" s="92">
        <v>2.7E-2</v>
      </c>
      <c r="Y23" s="94">
        <f t="shared" si="21"/>
        <v>11897.788235294118</v>
      </c>
      <c r="Z23" s="94">
        <f t="shared" si="10"/>
        <v>11615.919039411177</v>
      </c>
      <c r="AA23" s="94">
        <f t="shared" si="11"/>
        <v>11732.543796770035</v>
      </c>
      <c r="AB23" s="94">
        <f t="shared" si="12"/>
        <v>11850.339476032086</v>
      </c>
      <c r="AC23" s="94">
        <f t="shared" si="13"/>
        <v>11969.31783334701</v>
      </c>
      <c r="AD23" s="94">
        <f t="shared" si="14"/>
        <v>12089.490742897169</v>
      </c>
      <c r="AE23" s="94">
        <f t="shared" si="15"/>
        <v>12210.870198082663</v>
      </c>
      <c r="AF23" s="94">
        <f t="shared" si="16"/>
        <v>12333.468312718285</v>
      </c>
      <c r="AG23" s="94">
        <f t="shared" si="17"/>
        <v>12457.297322242512</v>
      </c>
      <c r="AH23" s="94">
        <f t="shared" si="18"/>
        <v>12582.369584938595</v>
      </c>
    </row>
    <row r="24" spans="1:34" x14ac:dyDescent="0.25">
      <c r="A24" s="71" t="s">
        <v>13</v>
      </c>
      <c r="B24" s="71" t="s">
        <v>25</v>
      </c>
      <c r="C24" s="71" t="s">
        <v>8</v>
      </c>
      <c r="D24" s="71" t="s">
        <v>34</v>
      </c>
      <c r="E24" s="71" t="s">
        <v>46</v>
      </c>
      <c r="F24" s="71" t="s">
        <v>36</v>
      </c>
      <c r="G24" s="74" t="str">
        <f t="shared" si="19"/>
        <v>ICE</v>
      </c>
      <c r="H24" s="72" t="s">
        <v>75</v>
      </c>
      <c r="I24" s="71" t="str">
        <f t="shared" si="4"/>
        <v>P</v>
      </c>
      <c r="J24" s="71" t="str">
        <f t="shared" si="5"/>
        <v>PR</v>
      </c>
      <c r="K24" s="71" t="str">
        <f t="shared" si="6"/>
        <v>SUV</v>
      </c>
      <c r="L24" s="74" t="str">
        <f t="shared" si="7"/>
        <v>TPPRSUVODS-N</v>
      </c>
      <c r="M24" s="74" t="str">
        <f t="shared" si="8"/>
        <v>TPPRSUVODS-E</v>
      </c>
      <c r="N24" s="75" cm="1">
        <f t="array" ref="N24">INDEX(VehicleCostData2022!$T$16:$T$86,MATCH(1,(VehicleCostData2022!$R$16:$R$86=$E24)*(VehicleCostData2022!$S$16:$S$86=$F24),0))</f>
        <v>838990</v>
      </c>
      <c r="O24" s="73">
        <f t="shared" si="20"/>
        <v>819113.5799480523</v>
      </c>
      <c r="P24" s="73">
        <f t="shared" si="9"/>
        <v>827337.54588537244</v>
      </c>
      <c r="Q24" s="73">
        <f t="shared" si="9"/>
        <v>835644.08109927853</v>
      </c>
      <c r="R24" s="73">
        <f t="shared" si="9"/>
        <v>844034.01459191996</v>
      </c>
      <c r="S24" s="73">
        <f t="shared" si="9"/>
        <v>852508.18368869368</v>
      </c>
      <c r="T24" s="73">
        <f t="shared" si="9"/>
        <v>861067.43412181083</v>
      </c>
      <c r="U24" s="73">
        <f t="shared" si="9"/>
        <v>869712.62011470122</v>
      </c>
      <c r="V24" s="73">
        <f t="shared" si="9"/>
        <v>878444.60446726717</v>
      </c>
      <c r="W24" s="73">
        <f t="shared" si="9"/>
        <v>887264.25864199048</v>
      </c>
      <c r="X24" s="92">
        <v>2.7E-2</v>
      </c>
      <c r="Y24" s="94">
        <f t="shared" si="21"/>
        <v>22652.73</v>
      </c>
      <c r="Z24" s="94">
        <f t="shared" si="10"/>
        <v>22116.06665859741</v>
      </c>
      <c r="AA24" s="94">
        <f t="shared" si="11"/>
        <v>22338.113738905056</v>
      </c>
      <c r="AB24" s="94">
        <f t="shared" si="12"/>
        <v>22562.390189680518</v>
      </c>
      <c r="AC24" s="94">
        <f t="shared" si="13"/>
        <v>22788.918393981839</v>
      </c>
      <c r="AD24" s="94">
        <f t="shared" si="14"/>
        <v>23017.720959594728</v>
      </c>
      <c r="AE24" s="94">
        <f t="shared" si="15"/>
        <v>23248.820721288892</v>
      </c>
      <c r="AF24" s="94">
        <f t="shared" si="16"/>
        <v>23482.240743096932</v>
      </c>
      <c r="AG24" s="94">
        <f t="shared" si="17"/>
        <v>23718.004320616212</v>
      </c>
      <c r="AH24" s="94">
        <f t="shared" si="18"/>
        <v>23956.134983333744</v>
      </c>
    </row>
    <row r="25" spans="1:34" x14ac:dyDescent="0.25">
      <c r="A25" s="71" t="s">
        <v>16</v>
      </c>
      <c r="B25" s="71" t="s">
        <v>25</v>
      </c>
      <c r="C25" s="71" t="s">
        <v>8</v>
      </c>
      <c r="D25" s="71" t="s">
        <v>34</v>
      </c>
      <c r="E25" s="71" t="s">
        <v>46</v>
      </c>
      <c r="F25" s="71" t="s">
        <v>38</v>
      </c>
      <c r="G25" s="74" t="str">
        <f t="shared" si="19"/>
        <v>HEV</v>
      </c>
      <c r="H25" s="72" t="s">
        <v>75</v>
      </c>
      <c r="I25" s="71" t="str">
        <f t="shared" si="4"/>
        <v>P</v>
      </c>
      <c r="J25" s="71" t="str">
        <f t="shared" si="5"/>
        <v>PR</v>
      </c>
      <c r="K25" s="71" t="str">
        <f t="shared" si="6"/>
        <v>SUV</v>
      </c>
      <c r="L25" s="74" t="str">
        <f t="shared" si="7"/>
        <v>TPPRSUVODSH-N</v>
      </c>
      <c r="M25" s="74" t="str">
        <f t="shared" si="8"/>
        <v>TPPRSUVODSH-E</v>
      </c>
      <c r="N25" s="75" cm="1">
        <f t="array" ref="N25">INDEX(VehicleCostData2022!$T$16:$T$86,MATCH(1,(VehicleCostData2022!$R$16:$R$86=$E25)*(VehicleCostData2022!$S$16:$S$86=$F25),0))</f>
        <v>944714.92524562147</v>
      </c>
      <c r="O25" s="73">
        <f t="shared" si="20"/>
        <v>1968543.291670077</v>
      </c>
      <c r="P25" s="73">
        <f t="shared" si="9"/>
        <v>1541948.1389932295</v>
      </c>
      <c r="Q25" s="73">
        <f t="shared" si="9"/>
        <v>1115352.9863163552</v>
      </c>
      <c r="R25" s="73">
        <f t="shared" si="9"/>
        <v>908866.36781442747</v>
      </c>
      <c r="S25" s="73">
        <f t="shared" si="9"/>
        <v>849118.77209576848</v>
      </c>
      <c r="T25" s="73">
        <f t="shared" si="9"/>
        <v>850524.59787738242</v>
      </c>
      <c r="U25" s="73">
        <f t="shared" si="9"/>
        <v>851930.42365899798</v>
      </c>
      <c r="V25" s="73">
        <f t="shared" si="9"/>
        <v>853336.24944061344</v>
      </c>
      <c r="W25" s="73">
        <f t="shared" si="9"/>
        <v>854742.075222229</v>
      </c>
      <c r="X25" s="92">
        <v>2.7E-2</v>
      </c>
      <c r="Y25" s="94">
        <f t="shared" si="21"/>
        <v>25507.302981631779</v>
      </c>
      <c r="Z25" s="94">
        <f t="shared" si="10"/>
        <v>53150.66887509208</v>
      </c>
      <c r="AA25" s="94">
        <f t="shared" si="11"/>
        <v>41632.599752817194</v>
      </c>
      <c r="AB25" s="94">
        <f t="shared" si="12"/>
        <v>30114.530630541591</v>
      </c>
      <c r="AC25" s="94">
        <f t="shared" si="13"/>
        <v>24539.391930989543</v>
      </c>
      <c r="AD25" s="94">
        <f t="shared" si="14"/>
        <v>22926.206846585748</v>
      </c>
      <c r="AE25" s="94">
        <f t="shared" si="15"/>
        <v>22964.164142689326</v>
      </c>
      <c r="AF25" s="94">
        <f t="shared" si="16"/>
        <v>23002.121438792947</v>
      </c>
      <c r="AG25" s="94">
        <f t="shared" si="17"/>
        <v>23040.078734896564</v>
      </c>
      <c r="AH25" s="94">
        <f t="shared" si="18"/>
        <v>23078.036031000182</v>
      </c>
    </row>
    <row r="26" spans="1:34" x14ac:dyDescent="0.25">
      <c r="A26" s="71" t="s">
        <v>9</v>
      </c>
      <c r="B26" s="71" t="s">
        <v>25</v>
      </c>
      <c r="C26" s="71" t="s">
        <v>8</v>
      </c>
      <c r="D26" s="71" t="s">
        <v>34</v>
      </c>
      <c r="E26" s="71" t="s">
        <v>46</v>
      </c>
      <c r="F26" s="71" t="s">
        <v>41</v>
      </c>
      <c r="G26" s="74" t="str">
        <f t="shared" si="19"/>
        <v>BEV</v>
      </c>
      <c r="H26" s="72" t="s">
        <v>75</v>
      </c>
      <c r="I26" s="71" t="str">
        <f t="shared" si="4"/>
        <v>P</v>
      </c>
      <c r="J26" s="71" t="str">
        <f t="shared" si="5"/>
        <v>PR</v>
      </c>
      <c r="K26" s="71" t="str">
        <f t="shared" si="6"/>
        <v>SUV</v>
      </c>
      <c r="L26" s="74" t="str">
        <f t="shared" si="7"/>
        <v>TPPRSUVELC-N</v>
      </c>
      <c r="M26" s="74" t="str">
        <f t="shared" si="8"/>
        <v>TPPRSUVELC-E</v>
      </c>
      <c r="N26" s="75" cm="1">
        <f t="array" ref="N26">INDEX(VehicleCostData2022!$T$16:$T$86,MATCH(1,(VehicleCostData2022!$R$16:$R$86=$E26)*(VehicleCostData2022!$S$16:$S$86=$F26),0))</f>
        <v>1063008</v>
      </c>
      <c r="O26" s="73">
        <f t="shared" si="20"/>
        <v>3785483.1346996538</v>
      </c>
      <c r="P26" s="73">
        <f t="shared" si="9"/>
        <v>2651118.4952414548</v>
      </c>
      <c r="Q26" s="73">
        <f t="shared" si="9"/>
        <v>1516753.8557832555</v>
      </c>
      <c r="R26" s="73">
        <f t="shared" si="9"/>
        <v>967726.18536585721</v>
      </c>
      <c r="S26" s="73">
        <f t="shared" si="9"/>
        <v>808923.16097561421</v>
      </c>
      <c r="T26" s="73">
        <f t="shared" si="9"/>
        <v>784292.4878048785</v>
      </c>
      <c r="U26" s="73">
        <f t="shared" si="9"/>
        <v>759661.81463414652</v>
      </c>
      <c r="V26" s="73">
        <f t="shared" si="9"/>
        <v>735031.14146341453</v>
      </c>
      <c r="W26" s="73">
        <f t="shared" si="9"/>
        <v>710400.46829268266</v>
      </c>
      <c r="X26" s="92">
        <v>2.0250000000000001E-2</v>
      </c>
      <c r="Y26" s="94">
        <f t="shared" si="21"/>
        <v>21525.912</v>
      </c>
      <c r="Z26" s="94">
        <f t="shared" si="10"/>
        <v>76656.033477667996</v>
      </c>
      <c r="AA26" s="94">
        <f t="shared" si="11"/>
        <v>53685.149528639464</v>
      </c>
      <c r="AB26" s="94">
        <f t="shared" si="12"/>
        <v>30714.265579610925</v>
      </c>
      <c r="AC26" s="94">
        <f t="shared" si="13"/>
        <v>19596.455253658609</v>
      </c>
      <c r="AD26" s="94">
        <f t="shared" si="14"/>
        <v>16380.694009756189</v>
      </c>
      <c r="AE26" s="94">
        <f t="shared" si="15"/>
        <v>15881.92287804879</v>
      </c>
      <c r="AF26" s="94">
        <f t="shared" si="16"/>
        <v>15383.151746341468</v>
      </c>
      <c r="AG26" s="94">
        <f t="shared" si="17"/>
        <v>14884.380614634145</v>
      </c>
      <c r="AH26" s="94">
        <f t="shared" si="18"/>
        <v>14385.609482926824</v>
      </c>
    </row>
    <row r="27" spans="1:34" x14ac:dyDescent="0.25">
      <c r="A27" s="71" t="s">
        <v>264</v>
      </c>
      <c r="B27" s="71" t="s">
        <v>25</v>
      </c>
      <c r="C27" s="71" t="s">
        <v>8</v>
      </c>
      <c r="D27" s="71" t="s">
        <v>34</v>
      </c>
      <c r="E27" s="71" t="s">
        <v>46</v>
      </c>
      <c r="F27" s="71" t="s">
        <v>44</v>
      </c>
      <c r="G27" s="74" t="str">
        <f>IF(A27="HGNF",A27,RIGHT(F27,3))</f>
        <v>HGNF</v>
      </c>
      <c r="H27" s="72" t="s">
        <v>75</v>
      </c>
      <c r="I27" s="71" t="str">
        <f t="shared" si="4"/>
        <v>P</v>
      </c>
      <c r="J27" s="71" t="str">
        <f t="shared" si="5"/>
        <v>PR</v>
      </c>
      <c r="K27" s="71" t="str">
        <f t="shared" si="6"/>
        <v>SUV</v>
      </c>
      <c r="L27" s="74" t="str">
        <f t="shared" si="7"/>
        <v>TPPRSUVHGNF-N</v>
      </c>
      <c r="M27" s="74" t="str">
        <f t="shared" si="8"/>
        <v>TPPRSUVHGNF-E</v>
      </c>
      <c r="N27" s="75" cm="1">
        <f t="array" ref="N27">INDEX(VehicleCostData2022!$T$16:$T$86,MATCH(1,(VehicleCostData2022!$R$16:$R$86=$E27)*(VehicleCostData2022!$S$16:$S$86=$F27),0))</f>
        <v>2714407.1044142176</v>
      </c>
      <c r="O27" s="73">
        <f t="shared" si="20"/>
        <v>9666288.7903655879</v>
      </c>
      <c r="P27" s="73">
        <f t="shared" si="20"/>
        <v>6769671.421219158</v>
      </c>
      <c r="Q27" s="73">
        <f t="shared" si="20"/>
        <v>3873054.0520727281</v>
      </c>
      <c r="R27" s="73">
        <f t="shared" si="20"/>
        <v>2471103.5407868549</v>
      </c>
      <c r="S27" s="73">
        <f t="shared" si="20"/>
        <v>2065597.6014079039</v>
      </c>
      <c r="T27" s="73">
        <f t="shared" si="20"/>
        <v>2002702.8026470763</v>
      </c>
      <c r="U27" s="73">
        <f t="shared" si="20"/>
        <v>1939808.0038862585</v>
      </c>
      <c r="V27" s="73">
        <f t="shared" si="20"/>
        <v>1876913.2051254406</v>
      </c>
      <c r="W27" s="73">
        <f t="shared" si="20"/>
        <v>1814018.4063646228</v>
      </c>
      <c r="X27" s="92">
        <v>2.7E-2</v>
      </c>
      <c r="Y27" s="94">
        <f t="shared" si="21"/>
        <v>73288.991819183881</v>
      </c>
      <c r="Z27" s="94">
        <f t="shared" si="10"/>
        <v>260989.79733987086</v>
      </c>
      <c r="AA27" s="94">
        <f t="shared" si="11"/>
        <v>182781.12837291727</v>
      </c>
      <c r="AB27" s="94">
        <f t="shared" si="12"/>
        <v>104572.45940596366</v>
      </c>
      <c r="AC27" s="94">
        <f t="shared" si="13"/>
        <v>66719.795601245089</v>
      </c>
      <c r="AD27" s="94">
        <f t="shared" si="14"/>
        <v>55771.135238013405</v>
      </c>
      <c r="AE27" s="94">
        <f t="shared" si="15"/>
        <v>54072.97567147106</v>
      </c>
      <c r="AF27" s="94">
        <f t="shared" si="16"/>
        <v>52374.816104928977</v>
      </c>
      <c r="AG27" s="94">
        <f t="shared" si="17"/>
        <v>50676.656538386895</v>
      </c>
      <c r="AH27" s="94">
        <f t="shared" si="18"/>
        <v>48978.496971844812</v>
      </c>
    </row>
    <row r="28" spans="1:34" x14ac:dyDescent="0.25">
      <c r="A28" s="71" t="s">
        <v>12</v>
      </c>
      <c r="B28" s="71" t="s">
        <v>25</v>
      </c>
      <c r="C28" s="71" t="s">
        <v>8</v>
      </c>
      <c r="D28" s="71" t="s">
        <v>34</v>
      </c>
      <c r="E28" s="71" t="s">
        <v>46</v>
      </c>
      <c r="F28" s="71" t="s">
        <v>45</v>
      </c>
      <c r="G28" s="74" t="str">
        <f t="shared" si="19"/>
        <v>ICE</v>
      </c>
      <c r="H28" s="72" t="s">
        <v>75</v>
      </c>
      <c r="I28" s="71" t="str">
        <f t="shared" si="4"/>
        <v>P</v>
      </c>
      <c r="J28" s="71" t="str">
        <f t="shared" si="5"/>
        <v>PR</v>
      </c>
      <c r="K28" s="71" t="str">
        <f t="shared" si="6"/>
        <v>SUV</v>
      </c>
      <c r="L28" s="74" t="str">
        <f t="shared" si="7"/>
        <v>TPPRSUVGAS-N</v>
      </c>
      <c r="M28" s="74" t="str">
        <f t="shared" si="8"/>
        <v>TPPRSUVGAS-E</v>
      </c>
      <c r="N28" s="75" cm="1">
        <f t="array" ref="N28">INDEX(VehicleCostData2022!$T$16:$T$86,MATCH(1,(VehicleCostData2022!$R$16:$R$86=$E28)*(VehicleCostData2022!$S$16:$S$86=$F28),0))</f>
        <v>922889.00000000012</v>
      </c>
      <c r="O28" s="73">
        <f t="shared" ref="O28:W43" si="22">$N28*INDEX($O$3:$W$6,MATCH($G28,$K$3:$K$6,0),MATCH(O$10,$O$2:$W$2,0))</f>
        <v>901024.93794285762</v>
      </c>
      <c r="P28" s="73">
        <f t="shared" si="22"/>
        <v>910071.30047390983</v>
      </c>
      <c r="Q28" s="73">
        <f t="shared" si="22"/>
        <v>919208.48920920654</v>
      </c>
      <c r="R28" s="73">
        <f t="shared" si="22"/>
        <v>928437.416051112</v>
      </c>
      <c r="S28" s="73">
        <f t="shared" si="22"/>
        <v>937759.00205756316</v>
      </c>
      <c r="T28" s="73">
        <f t="shared" si="22"/>
        <v>947174.17753399198</v>
      </c>
      <c r="U28" s="73">
        <f t="shared" si="22"/>
        <v>956683.88212617149</v>
      </c>
      <c r="V28" s="73">
        <f t="shared" si="22"/>
        <v>966289.06491399405</v>
      </c>
      <c r="W28" s="73">
        <f t="shared" si="22"/>
        <v>975990.68450618966</v>
      </c>
      <c r="X28" s="92">
        <v>2.7E-2</v>
      </c>
      <c r="Y28" s="94">
        <f t="shared" si="21"/>
        <v>24918.003000000004</v>
      </c>
      <c r="Z28" s="94">
        <f t="shared" si="10"/>
        <v>24327.673324457155</v>
      </c>
      <c r="AA28" s="94">
        <f t="shared" si="11"/>
        <v>24571.925112795565</v>
      </c>
      <c r="AB28" s="94">
        <f t="shared" si="12"/>
        <v>24818.629208648577</v>
      </c>
      <c r="AC28" s="94">
        <f t="shared" si="13"/>
        <v>25067.810233380023</v>
      </c>
      <c r="AD28" s="94">
        <f t="shared" si="14"/>
        <v>25319.493055554205</v>
      </c>
      <c r="AE28" s="94">
        <f t="shared" si="15"/>
        <v>25573.702793417782</v>
      </c>
      <c r="AF28" s="94">
        <f t="shared" si="16"/>
        <v>25830.464817406631</v>
      </c>
      <c r="AG28" s="94">
        <f t="shared" si="17"/>
        <v>26089.804752677839</v>
      </c>
      <c r="AH28" s="94">
        <f t="shared" si="18"/>
        <v>26351.74848166712</v>
      </c>
    </row>
    <row r="29" spans="1:34" x14ac:dyDescent="0.25">
      <c r="A29" s="71" t="s">
        <v>21</v>
      </c>
      <c r="B29" s="71" t="s">
        <v>25</v>
      </c>
      <c r="C29" s="71" t="s">
        <v>2</v>
      </c>
      <c r="D29" s="71" t="s">
        <v>34</v>
      </c>
      <c r="E29" s="71" t="s">
        <v>46</v>
      </c>
      <c r="F29" s="71" t="s">
        <v>34</v>
      </c>
      <c r="G29" s="74" t="str">
        <f t="shared" si="19"/>
        <v>ICE</v>
      </c>
      <c r="H29" s="72" t="s">
        <v>75</v>
      </c>
      <c r="I29" s="71" t="str">
        <f t="shared" si="4"/>
        <v>P</v>
      </c>
      <c r="J29" s="71" t="str">
        <f t="shared" si="5"/>
        <v>PU</v>
      </c>
      <c r="K29" s="71" t="str">
        <f t="shared" si="6"/>
        <v>MBT</v>
      </c>
      <c r="L29" s="74" t="str">
        <f t="shared" si="7"/>
        <v>TPPUMBTOGS-N</v>
      </c>
      <c r="M29" s="74" t="str">
        <f t="shared" si="8"/>
        <v>TPPUMBTOGS-E</v>
      </c>
      <c r="N29" s="75" cm="1">
        <f t="array" ref="N29">INDEX(VehicleCostData2022!$T$16:$T$86,MATCH(1,(VehicleCostData2022!$R$16:$R$86=$E29)*(VehicleCostData2022!$S$16:$S$86=$F29),0))</f>
        <v>440658.82352941175</v>
      </c>
      <c r="O29" s="73">
        <f t="shared" si="22"/>
        <v>430219.22368189547</v>
      </c>
      <c r="P29" s="73">
        <f t="shared" si="22"/>
        <v>434538.65913963091</v>
      </c>
      <c r="Q29" s="73">
        <f t="shared" si="22"/>
        <v>438901.46207526245</v>
      </c>
      <c r="R29" s="73">
        <f t="shared" si="22"/>
        <v>443308.06790174113</v>
      </c>
      <c r="S29" s="73">
        <f t="shared" si="22"/>
        <v>447758.91640359885</v>
      </c>
      <c r="T29" s="73">
        <f t="shared" si="22"/>
        <v>452254.45178083936</v>
      </c>
      <c r="U29" s="73">
        <f t="shared" si="22"/>
        <v>456795.1226932698</v>
      </c>
      <c r="V29" s="73">
        <f t="shared" si="22"/>
        <v>461381.38230527821</v>
      </c>
      <c r="W29" s="73">
        <f t="shared" si="22"/>
        <v>466013.68833105906</v>
      </c>
      <c r="X29" s="92">
        <v>2.7E-2</v>
      </c>
      <c r="Y29" s="94">
        <f t="shared" si="21"/>
        <v>11897.788235294118</v>
      </c>
      <c r="Z29" s="94">
        <f t="shared" si="10"/>
        <v>11615.919039411177</v>
      </c>
      <c r="AA29" s="94">
        <f t="shared" si="11"/>
        <v>11732.543796770035</v>
      </c>
      <c r="AB29" s="94">
        <f t="shared" si="12"/>
        <v>11850.339476032086</v>
      </c>
      <c r="AC29" s="94">
        <f t="shared" si="13"/>
        <v>11969.31783334701</v>
      </c>
      <c r="AD29" s="94">
        <f t="shared" si="14"/>
        <v>12089.490742897169</v>
      </c>
      <c r="AE29" s="94">
        <f t="shared" si="15"/>
        <v>12210.870198082663</v>
      </c>
      <c r="AF29" s="94">
        <f t="shared" si="16"/>
        <v>12333.468312718285</v>
      </c>
      <c r="AG29" s="94">
        <f t="shared" si="17"/>
        <v>12457.297322242512</v>
      </c>
      <c r="AH29" s="94">
        <f t="shared" si="18"/>
        <v>12582.369584938595</v>
      </c>
    </row>
    <row r="30" spans="1:34" x14ac:dyDescent="0.25">
      <c r="A30" s="71" t="s">
        <v>11</v>
      </c>
      <c r="B30" s="71" t="s">
        <v>25</v>
      </c>
      <c r="C30" s="71" t="s">
        <v>2</v>
      </c>
      <c r="D30" s="71" t="s">
        <v>34</v>
      </c>
      <c r="E30" s="71" t="s">
        <v>46</v>
      </c>
      <c r="F30" s="71" t="s">
        <v>34</v>
      </c>
      <c r="G30" s="74" t="str">
        <f t="shared" si="19"/>
        <v>ICE</v>
      </c>
      <c r="H30" s="72" t="s">
        <v>75</v>
      </c>
      <c r="I30" s="71" t="str">
        <f t="shared" si="4"/>
        <v>P</v>
      </c>
      <c r="J30" s="71" t="str">
        <f t="shared" si="5"/>
        <v>PU</v>
      </c>
      <c r="K30" s="71" t="str">
        <f t="shared" si="6"/>
        <v>MBT</v>
      </c>
      <c r="L30" s="74" t="str">
        <f t="shared" si="7"/>
        <v>TPPUMBTBGS-N</v>
      </c>
      <c r="M30" s="74" t="str">
        <f t="shared" si="8"/>
        <v>TPPUMBTBGS-E</v>
      </c>
      <c r="N30" s="75" cm="1">
        <f t="array" ref="N30">INDEX(VehicleCostData2022!$T$16:$T$86,MATCH(1,(VehicleCostData2022!$R$16:$R$86=$E30)*(VehicleCostData2022!$S$16:$S$86=$F30),0))</f>
        <v>440658.82352941175</v>
      </c>
      <c r="O30" s="73">
        <f t="shared" si="22"/>
        <v>430219.22368189547</v>
      </c>
      <c r="P30" s="73">
        <f t="shared" si="22"/>
        <v>434538.65913963091</v>
      </c>
      <c r="Q30" s="73">
        <f t="shared" si="22"/>
        <v>438901.46207526245</v>
      </c>
      <c r="R30" s="73">
        <f t="shared" si="22"/>
        <v>443308.06790174113</v>
      </c>
      <c r="S30" s="73">
        <f t="shared" si="22"/>
        <v>447758.91640359885</v>
      </c>
      <c r="T30" s="73">
        <f t="shared" si="22"/>
        <v>452254.45178083936</v>
      </c>
      <c r="U30" s="73">
        <f t="shared" si="22"/>
        <v>456795.1226932698</v>
      </c>
      <c r="V30" s="73">
        <f t="shared" si="22"/>
        <v>461381.38230527821</v>
      </c>
      <c r="W30" s="73">
        <f t="shared" si="22"/>
        <v>466013.68833105906</v>
      </c>
      <c r="X30" s="92">
        <v>2.7E-2</v>
      </c>
      <c r="Y30" s="94">
        <f t="shared" si="21"/>
        <v>11897.788235294118</v>
      </c>
      <c r="Z30" s="94">
        <f t="shared" si="10"/>
        <v>11615.919039411177</v>
      </c>
      <c r="AA30" s="94">
        <f t="shared" si="11"/>
        <v>11732.543796770035</v>
      </c>
      <c r="AB30" s="94">
        <f t="shared" si="12"/>
        <v>11850.339476032086</v>
      </c>
      <c r="AC30" s="94">
        <f t="shared" si="13"/>
        <v>11969.31783334701</v>
      </c>
      <c r="AD30" s="94">
        <f t="shared" si="14"/>
        <v>12089.490742897169</v>
      </c>
      <c r="AE30" s="94">
        <f t="shared" si="15"/>
        <v>12210.870198082663</v>
      </c>
      <c r="AF30" s="94">
        <f t="shared" si="16"/>
        <v>12333.468312718285</v>
      </c>
      <c r="AG30" s="94">
        <f t="shared" si="17"/>
        <v>12457.297322242512</v>
      </c>
      <c r="AH30" s="94">
        <f t="shared" si="18"/>
        <v>12582.369584938595</v>
      </c>
    </row>
    <row r="31" spans="1:34" x14ac:dyDescent="0.25">
      <c r="A31" s="71" t="s">
        <v>13</v>
      </c>
      <c r="B31" s="71" t="s">
        <v>25</v>
      </c>
      <c r="C31" s="71" t="s">
        <v>2</v>
      </c>
      <c r="D31" s="71" t="s">
        <v>34</v>
      </c>
      <c r="E31" s="71" t="s">
        <v>46</v>
      </c>
      <c r="F31" s="71" t="s">
        <v>36</v>
      </c>
      <c r="G31" s="74" t="str">
        <f t="shared" si="19"/>
        <v>ICE</v>
      </c>
      <c r="H31" s="72" t="s">
        <v>75</v>
      </c>
      <c r="I31" s="71" t="str">
        <f t="shared" si="4"/>
        <v>P</v>
      </c>
      <c r="J31" s="71" t="str">
        <f t="shared" si="5"/>
        <v>PU</v>
      </c>
      <c r="K31" s="71" t="str">
        <f t="shared" si="6"/>
        <v>MBT</v>
      </c>
      <c r="L31" s="74" t="str">
        <f t="shared" si="7"/>
        <v>TPPUMBTODS-N</v>
      </c>
      <c r="M31" s="74" t="str">
        <f t="shared" si="8"/>
        <v>TPPUMBTODS-E</v>
      </c>
      <c r="N31" s="75" cm="1">
        <f t="array" ref="N31">INDEX(VehicleCostData2022!$T$16:$T$86,MATCH(1,(VehicleCostData2022!$R$16:$R$86=$E31)*(VehicleCostData2022!$S$16:$S$86=$F31),0))</f>
        <v>838990</v>
      </c>
      <c r="O31" s="73">
        <f t="shared" si="22"/>
        <v>819113.5799480523</v>
      </c>
      <c r="P31" s="73">
        <f t="shared" si="22"/>
        <v>827337.54588537244</v>
      </c>
      <c r="Q31" s="73">
        <f t="shared" si="22"/>
        <v>835644.08109927853</v>
      </c>
      <c r="R31" s="73">
        <f t="shared" si="22"/>
        <v>844034.01459191996</v>
      </c>
      <c r="S31" s="73">
        <f t="shared" si="22"/>
        <v>852508.18368869368</v>
      </c>
      <c r="T31" s="73">
        <f t="shared" si="22"/>
        <v>861067.43412181083</v>
      </c>
      <c r="U31" s="73">
        <f t="shared" si="22"/>
        <v>869712.62011470122</v>
      </c>
      <c r="V31" s="73">
        <f t="shared" si="22"/>
        <v>878444.60446726717</v>
      </c>
      <c r="W31" s="73">
        <f t="shared" si="22"/>
        <v>887264.25864199048</v>
      </c>
      <c r="X31" s="92">
        <v>2.7E-2</v>
      </c>
      <c r="Y31" s="94">
        <f t="shared" si="21"/>
        <v>22652.73</v>
      </c>
      <c r="Z31" s="94">
        <f t="shared" si="10"/>
        <v>22116.06665859741</v>
      </c>
      <c r="AA31" s="94">
        <f t="shared" si="11"/>
        <v>22338.113738905056</v>
      </c>
      <c r="AB31" s="94">
        <f t="shared" si="12"/>
        <v>22562.390189680518</v>
      </c>
      <c r="AC31" s="94">
        <f t="shared" si="13"/>
        <v>22788.918393981839</v>
      </c>
      <c r="AD31" s="94">
        <f t="shared" si="14"/>
        <v>23017.720959594728</v>
      </c>
      <c r="AE31" s="94">
        <f t="shared" si="15"/>
        <v>23248.820721288892</v>
      </c>
      <c r="AF31" s="94">
        <f t="shared" si="16"/>
        <v>23482.240743096932</v>
      </c>
      <c r="AG31" s="94">
        <f t="shared" si="17"/>
        <v>23718.004320616212</v>
      </c>
      <c r="AH31" s="94">
        <f t="shared" si="18"/>
        <v>23956.134983333744</v>
      </c>
    </row>
    <row r="32" spans="1:34" x14ac:dyDescent="0.25">
      <c r="A32" s="71" t="s">
        <v>9</v>
      </c>
      <c r="B32" s="71" t="s">
        <v>25</v>
      </c>
      <c r="C32" s="71" t="s">
        <v>2</v>
      </c>
      <c r="D32" s="71" t="s">
        <v>34</v>
      </c>
      <c r="E32" s="71" t="s">
        <v>46</v>
      </c>
      <c r="F32" s="71" t="s">
        <v>41</v>
      </c>
      <c r="G32" s="74" t="str">
        <f t="shared" si="19"/>
        <v>BEV</v>
      </c>
      <c r="H32" s="72" t="s">
        <v>75</v>
      </c>
      <c r="I32" s="71" t="str">
        <f t="shared" si="4"/>
        <v>P</v>
      </c>
      <c r="J32" s="71" t="str">
        <f t="shared" si="5"/>
        <v>PU</v>
      </c>
      <c r="K32" s="71" t="str">
        <f t="shared" si="6"/>
        <v>MBT</v>
      </c>
      <c r="L32" s="74" t="str">
        <f t="shared" si="7"/>
        <v>TPPUMBTELC-N</v>
      </c>
      <c r="M32" s="74" t="str">
        <f t="shared" si="8"/>
        <v>TPPUMBTELC-E</v>
      </c>
      <c r="N32" s="75" cm="1">
        <f t="array" ref="N32">INDEX(VehicleCostData2022!$T$16:$T$86,MATCH(1,(VehicleCostData2022!$R$16:$R$86=$E32)*(VehicleCostData2022!$S$16:$S$86=$F32),0))</f>
        <v>1063008</v>
      </c>
      <c r="O32" s="73">
        <f t="shared" si="22"/>
        <v>3785483.1346996538</v>
      </c>
      <c r="P32" s="73">
        <f t="shared" si="22"/>
        <v>2651118.4952414548</v>
      </c>
      <c r="Q32" s="73">
        <f t="shared" si="22"/>
        <v>1516753.8557832555</v>
      </c>
      <c r="R32" s="73">
        <f t="shared" si="22"/>
        <v>967726.18536585721</v>
      </c>
      <c r="S32" s="73">
        <f t="shared" si="22"/>
        <v>808923.16097561421</v>
      </c>
      <c r="T32" s="73">
        <f t="shared" si="22"/>
        <v>784292.4878048785</v>
      </c>
      <c r="U32" s="73">
        <f t="shared" si="22"/>
        <v>759661.81463414652</v>
      </c>
      <c r="V32" s="73">
        <f t="shared" si="22"/>
        <v>735031.14146341453</v>
      </c>
      <c r="W32" s="73">
        <f t="shared" si="22"/>
        <v>710400.46829268266</v>
      </c>
      <c r="X32" s="92">
        <v>2.0250000000000001E-2</v>
      </c>
      <c r="Y32" s="94">
        <f t="shared" si="21"/>
        <v>21525.912</v>
      </c>
      <c r="Z32" s="94">
        <f t="shared" si="10"/>
        <v>76656.033477667996</v>
      </c>
      <c r="AA32" s="94">
        <f t="shared" si="11"/>
        <v>53685.149528639464</v>
      </c>
      <c r="AB32" s="94">
        <f t="shared" si="12"/>
        <v>30714.265579610925</v>
      </c>
      <c r="AC32" s="94">
        <f t="shared" si="13"/>
        <v>19596.455253658609</v>
      </c>
      <c r="AD32" s="94">
        <f t="shared" si="14"/>
        <v>16380.694009756189</v>
      </c>
      <c r="AE32" s="94">
        <f t="shared" si="15"/>
        <v>15881.92287804879</v>
      </c>
      <c r="AF32" s="94">
        <f t="shared" si="16"/>
        <v>15383.151746341468</v>
      </c>
      <c r="AG32" s="94">
        <f t="shared" si="17"/>
        <v>14884.380614634145</v>
      </c>
      <c r="AH32" s="94">
        <f t="shared" si="18"/>
        <v>14385.609482926824</v>
      </c>
    </row>
    <row r="33" spans="1:34" x14ac:dyDescent="0.25">
      <c r="A33" s="71" t="s">
        <v>264</v>
      </c>
      <c r="B33" s="71" t="s">
        <v>25</v>
      </c>
      <c r="C33" s="71" t="s">
        <v>2</v>
      </c>
      <c r="D33" s="71" t="s">
        <v>34</v>
      </c>
      <c r="E33" s="71" t="s">
        <v>46</v>
      </c>
      <c r="F33" s="71" t="s">
        <v>44</v>
      </c>
      <c r="G33" s="74" t="str">
        <f>IF(A33="HGNF",A33,RIGHT(F33,3))</f>
        <v>HGNF</v>
      </c>
      <c r="H33" s="72" t="s">
        <v>75</v>
      </c>
      <c r="I33" s="71" t="str">
        <f t="shared" si="4"/>
        <v>P</v>
      </c>
      <c r="J33" s="71" t="str">
        <f t="shared" si="5"/>
        <v>PU</v>
      </c>
      <c r="K33" s="71" t="str">
        <f t="shared" si="6"/>
        <v>MBT</v>
      </c>
      <c r="L33" s="74" t="str">
        <f t="shared" si="7"/>
        <v>TPPUMBTHGNF-N</v>
      </c>
      <c r="M33" s="74" t="str">
        <f t="shared" si="8"/>
        <v>TPPUMBTHGNF-E</v>
      </c>
      <c r="N33" s="75" cm="1">
        <f t="array" ref="N33">INDEX(VehicleCostData2022!$T$16:$T$86,MATCH(1,(VehicleCostData2022!$R$16:$R$86=$E33)*(VehicleCostData2022!$S$16:$S$86=$F33),0))</f>
        <v>2714407.1044142176</v>
      </c>
      <c r="O33" s="73">
        <f t="shared" si="22"/>
        <v>9666288.7903655879</v>
      </c>
      <c r="P33" s="73">
        <f t="shared" si="22"/>
        <v>6769671.421219158</v>
      </c>
      <c r="Q33" s="73">
        <f t="shared" si="22"/>
        <v>3873054.0520727281</v>
      </c>
      <c r="R33" s="73">
        <f t="shared" si="22"/>
        <v>2471103.5407868549</v>
      </c>
      <c r="S33" s="73">
        <f t="shared" si="22"/>
        <v>2065597.6014079039</v>
      </c>
      <c r="T33" s="73">
        <f t="shared" si="22"/>
        <v>2002702.8026470763</v>
      </c>
      <c r="U33" s="73">
        <f t="shared" si="22"/>
        <v>1939808.0038862585</v>
      </c>
      <c r="V33" s="73">
        <f t="shared" si="22"/>
        <v>1876913.2051254406</v>
      </c>
      <c r="W33" s="73">
        <f t="shared" si="22"/>
        <v>1814018.4063646228</v>
      </c>
      <c r="X33" s="92">
        <v>2.7E-2</v>
      </c>
      <c r="Y33" s="94">
        <f t="shared" si="21"/>
        <v>73288.991819183881</v>
      </c>
      <c r="Z33" s="94">
        <f t="shared" si="10"/>
        <v>260989.79733987086</v>
      </c>
      <c r="AA33" s="94">
        <f t="shared" si="11"/>
        <v>182781.12837291727</v>
      </c>
      <c r="AB33" s="94">
        <f t="shared" si="12"/>
        <v>104572.45940596366</v>
      </c>
      <c r="AC33" s="94">
        <f t="shared" si="13"/>
        <v>66719.795601245089</v>
      </c>
      <c r="AD33" s="94">
        <f t="shared" si="14"/>
        <v>55771.135238013405</v>
      </c>
      <c r="AE33" s="94">
        <f t="shared" si="15"/>
        <v>54072.97567147106</v>
      </c>
      <c r="AF33" s="94">
        <f t="shared" si="16"/>
        <v>52374.816104928977</v>
      </c>
      <c r="AG33" s="94">
        <f t="shared" si="17"/>
        <v>50676.656538386895</v>
      </c>
      <c r="AH33" s="94">
        <f t="shared" si="18"/>
        <v>48978.496971844812</v>
      </c>
    </row>
    <row r="34" spans="1:34" x14ac:dyDescent="0.25">
      <c r="A34" s="71" t="s">
        <v>12</v>
      </c>
      <c r="B34" s="71" t="s">
        <v>25</v>
      </c>
      <c r="C34" s="71" t="s">
        <v>2</v>
      </c>
      <c r="D34" s="71" t="s">
        <v>34</v>
      </c>
      <c r="E34" s="71" t="s">
        <v>46</v>
      </c>
      <c r="F34" s="71" t="s">
        <v>45</v>
      </c>
      <c r="G34" s="74" t="str">
        <f t="shared" si="19"/>
        <v>ICE</v>
      </c>
      <c r="H34" s="72" t="s">
        <v>75</v>
      </c>
      <c r="I34" s="71" t="str">
        <f t="shared" si="4"/>
        <v>P</v>
      </c>
      <c r="J34" s="71" t="str">
        <f t="shared" si="5"/>
        <v>PU</v>
      </c>
      <c r="K34" s="71" t="str">
        <f t="shared" si="6"/>
        <v>MBT</v>
      </c>
      <c r="L34" s="74" t="str">
        <f t="shared" si="7"/>
        <v>TPPUMBTGAS-N</v>
      </c>
      <c r="M34" s="74" t="str">
        <f t="shared" si="8"/>
        <v>TPPUMBTGAS-E</v>
      </c>
      <c r="N34" s="75" cm="1">
        <f t="array" ref="N34">INDEX(VehicleCostData2022!$T$16:$T$86,MATCH(1,(VehicleCostData2022!$R$16:$R$86=$E34)*(VehicleCostData2022!$S$16:$S$86=$F34),0))</f>
        <v>922889.00000000012</v>
      </c>
      <c r="O34" s="73">
        <f t="shared" si="22"/>
        <v>901024.93794285762</v>
      </c>
      <c r="P34" s="73">
        <f t="shared" si="22"/>
        <v>910071.30047390983</v>
      </c>
      <c r="Q34" s="73">
        <f t="shared" si="22"/>
        <v>919208.48920920654</v>
      </c>
      <c r="R34" s="73">
        <f t="shared" si="22"/>
        <v>928437.416051112</v>
      </c>
      <c r="S34" s="73">
        <f t="shared" si="22"/>
        <v>937759.00205756316</v>
      </c>
      <c r="T34" s="73">
        <f t="shared" si="22"/>
        <v>947174.17753399198</v>
      </c>
      <c r="U34" s="73">
        <f t="shared" si="22"/>
        <v>956683.88212617149</v>
      </c>
      <c r="V34" s="73">
        <f t="shared" si="22"/>
        <v>966289.06491399405</v>
      </c>
      <c r="W34" s="73">
        <f t="shared" si="22"/>
        <v>975990.68450618966</v>
      </c>
      <c r="X34" s="92">
        <v>2.7E-2</v>
      </c>
      <c r="Y34" s="94">
        <f t="shared" si="21"/>
        <v>24918.003000000004</v>
      </c>
      <c r="Z34" s="94">
        <f t="shared" si="10"/>
        <v>24327.673324457155</v>
      </c>
      <c r="AA34" s="94">
        <f t="shared" si="11"/>
        <v>24571.925112795565</v>
      </c>
      <c r="AB34" s="94">
        <f t="shared" si="12"/>
        <v>24818.629208648577</v>
      </c>
      <c r="AC34" s="94">
        <f t="shared" si="13"/>
        <v>25067.810233380023</v>
      </c>
      <c r="AD34" s="94">
        <f t="shared" si="14"/>
        <v>25319.493055554205</v>
      </c>
      <c r="AE34" s="94">
        <f t="shared" si="15"/>
        <v>25573.702793417782</v>
      </c>
      <c r="AF34" s="94">
        <f t="shared" si="16"/>
        <v>25830.464817406631</v>
      </c>
      <c r="AG34" s="94">
        <f t="shared" si="17"/>
        <v>26089.804752677839</v>
      </c>
      <c r="AH34" s="94">
        <f t="shared" si="18"/>
        <v>26351.74848166712</v>
      </c>
    </row>
    <row r="35" spans="1:34" x14ac:dyDescent="0.25">
      <c r="A35" s="71" t="s">
        <v>21</v>
      </c>
      <c r="B35" s="71" t="s">
        <v>25</v>
      </c>
      <c r="C35" s="71" t="s">
        <v>47</v>
      </c>
      <c r="D35" s="71" t="s">
        <v>34</v>
      </c>
      <c r="E35" s="71" t="s">
        <v>48</v>
      </c>
      <c r="F35" s="71" t="s">
        <v>34</v>
      </c>
      <c r="G35" s="74" t="str">
        <f t="shared" si="19"/>
        <v>ICE</v>
      </c>
      <c r="H35" s="72" t="s">
        <v>75</v>
      </c>
      <c r="I35" s="71" t="str">
        <f t="shared" si="4"/>
        <v>P</v>
      </c>
      <c r="J35" s="71" t="str">
        <f t="shared" si="5"/>
        <v>PR</v>
      </c>
      <c r="K35" s="71" t="str">
        <f t="shared" si="6"/>
        <v>MOT</v>
      </c>
      <c r="L35" s="74" t="str">
        <f t="shared" si="7"/>
        <v>TPPRMOTOGS-N</v>
      </c>
      <c r="M35" s="74" t="str">
        <f t="shared" si="8"/>
        <v>TPPRMOTOGS-E</v>
      </c>
      <c r="N35" s="75" cm="1">
        <f t="array" ref="N35">INDEX(VehicleCostData2022!$T$16:$T$86,MATCH(1,(VehicleCostData2022!$R$16:$R$86=$E35)*(VehicleCostData2022!$S$16:$S$86=$F35),0))</f>
        <v>141176.4705882353</v>
      </c>
      <c r="O35" s="73">
        <f t="shared" si="22"/>
        <v>137831.87431073116</v>
      </c>
      <c r="P35" s="73">
        <f t="shared" si="22"/>
        <v>139215.71736639179</v>
      </c>
      <c r="Q35" s="73">
        <f t="shared" si="22"/>
        <v>140613.45431714944</v>
      </c>
      <c r="R35" s="73">
        <f t="shared" si="22"/>
        <v>142025.22465882351</v>
      </c>
      <c r="S35" s="73">
        <f t="shared" si="22"/>
        <v>143451.16928778263</v>
      </c>
      <c r="T35" s="73">
        <f t="shared" si="22"/>
        <v>144891.43051500621</v>
      </c>
      <c r="U35" s="73">
        <f t="shared" si="22"/>
        <v>146346.15208028723</v>
      </c>
      <c r="V35" s="73">
        <f t="shared" si="22"/>
        <v>147815.47916657783</v>
      </c>
      <c r="W35" s="73">
        <f t="shared" si="22"/>
        <v>149299.55841447855</v>
      </c>
      <c r="X35" s="92">
        <v>2.7E-2</v>
      </c>
      <c r="Y35" s="94">
        <f t="shared" si="21"/>
        <v>3811.7647058823532</v>
      </c>
      <c r="Z35" s="94">
        <f t="shared" si="10"/>
        <v>3721.4606063897413</v>
      </c>
      <c r="AA35" s="94">
        <f t="shared" si="11"/>
        <v>3758.8243688925781</v>
      </c>
      <c r="AB35" s="94">
        <f t="shared" si="12"/>
        <v>3796.5632665630351</v>
      </c>
      <c r="AC35" s="94">
        <f t="shared" si="13"/>
        <v>3834.6810657882347</v>
      </c>
      <c r="AD35" s="94">
        <f t="shared" si="14"/>
        <v>3873.1815707701307</v>
      </c>
      <c r="AE35" s="94">
        <f t="shared" si="15"/>
        <v>3912.0686239051679</v>
      </c>
      <c r="AF35" s="94">
        <f t="shared" si="16"/>
        <v>3951.3461061677549</v>
      </c>
      <c r="AG35" s="94">
        <f t="shared" si="17"/>
        <v>3991.0179374976015</v>
      </c>
      <c r="AH35" s="94">
        <f t="shared" si="18"/>
        <v>4031.088077190921</v>
      </c>
    </row>
    <row r="36" spans="1:34" x14ac:dyDescent="0.25">
      <c r="A36" s="71" t="s">
        <v>13</v>
      </c>
      <c r="B36" s="71" t="s">
        <v>25</v>
      </c>
      <c r="C36" s="71" t="s">
        <v>47</v>
      </c>
      <c r="D36" s="71" t="s">
        <v>34</v>
      </c>
      <c r="E36" s="71" t="s">
        <v>48</v>
      </c>
      <c r="F36" s="71" t="s">
        <v>37</v>
      </c>
      <c r="G36" s="74" t="str">
        <f t="shared" si="19"/>
        <v>HEV</v>
      </c>
      <c r="H36" s="72" t="s">
        <v>75</v>
      </c>
      <c r="I36" s="71" t="str">
        <f t="shared" si="4"/>
        <v>P</v>
      </c>
      <c r="J36" s="71" t="str">
        <f t="shared" si="5"/>
        <v>PR</v>
      </c>
      <c r="K36" s="71" t="str">
        <f t="shared" si="6"/>
        <v>MOT</v>
      </c>
      <c r="L36" s="74" t="str">
        <f t="shared" si="7"/>
        <v>TPPRMOTODS-N</v>
      </c>
      <c r="M36" s="74" t="str">
        <f t="shared" si="8"/>
        <v>TPPRMOTODS-E</v>
      </c>
      <c r="N36" s="75" cm="1">
        <f t="array" ref="N36">INDEX(VehicleCostData2022!$T$16:$T$86,MATCH(1,(VehicleCostData2022!$R$16:$R$86=$E36)*(VehicleCostData2022!$S$16:$S$86=$F36),0))</f>
        <v>0</v>
      </c>
      <c r="O36" s="73">
        <f t="shared" si="22"/>
        <v>0</v>
      </c>
      <c r="P36" s="73">
        <f t="shared" si="22"/>
        <v>0</v>
      </c>
      <c r="Q36" s="73">
        <f t="shared" si="22"/>
        <v>0</v>
      </c>
      <c r="R36" s="73">
        <f t="shared" si="22"/>
        <v>0</v>
      </c>
      <c r="S36" s="73">
        <f t="shared" si="22"/>
        <v>0</v>
      </c>
      <c r="T36" s="73">
        <f t="shared" si="22"/>
        <v>0</v>
      </c>
      <c r="U36" s="73">
        <f t="shared" si="22"/>
        <v>0</v>
      </c>
      <c r="V36" s="73">
        <f t="shared" si="22"/>
        <v>0</v>
      </c>
      <c r="W36" s="73">
        <f t="shared" si="22"/>
        <v>0</v>
      </c>
      <c r="X36" s="92"/>
      <c r="Y36" s="94">
        <f t="shared" si="21"/>
        <v>0</v>
      </c>
      <c r="Z36" s="94">
        <f t="shared" si="10"/>
        <v>0</v>
      </c>
      <c r="AA36" s="94">
        <f t="shared" si="11"/>
        <v>0</v>
      </c>
      <c r="AB36" s="94">
        <f t="shared" si="12"/>
        <v>0</v>
      </c>
      <c r="AC36" s="94">
        <f t="shared" si="13"/>
        <v>0</v>
      </c>
      <c r="AD36" s="94">
        <f t="shared" si="14"/>
        <v>0</v>
      </c>
      <c r="AE36" s="94">
        <f t="shared" si="15"/>
        <v>0</v>
      </c>
      <c r="AF36" s="94">
        <f t="shared" si="16"/>
        <v>0</v>
      </c>
      <c r="AG36" s="94">
        <f t="shared" si="17"/>
        <v>0</v>
      </c>
      <c r="AH36" s="94">
        <f t="shared" si="18"/>
        <v>0</v>
      </c>
    </row>
    <row r="37" spans="1:34" x14ac:dyDescent="0.25">
      <c r="A37" s="71" t="s">
        <v>9</v>
      </c>
      <c r="B37" s="71" t="s">
        <v>25</v>
      </c>
      <c r="C37" s="71" t="s">
        <v>47</v>
      </c>
      <c r="D37" s="71" t="s">
        <v>34</v>
      </c>
      <c r="E37" s="71" t="s">
        <v>48</v>
      </c>
      <c r="F37" s="71" t="s">
        <v>41</v>
      </c>
      <c r="G37" s="74" t="str">
        <f t="shared" si="19"/>
        <v>BEV</v>
      </c>
      <c r="H37" s="72" t="s">
        <v>75</v>
      </c>
      <c r="I37" s="71" t="str">
        <f t="shared" si="4"/>
        <v>P</v>
      </c>
      <c r="J37" s="71" t="str">
        <f t="shared" si="5"/>
        <v>PR</v>
      </c>
      <c r="K37" s="71" t="str">
        <f t="shared" si="6"/>
        <v>MOT</v>
      </c>
      <c r="L37" s="74" t="str">
        <f t="shared" si="7"/>
        <v>TPPRMOTELC-N</v>
      </c>
      <c r="M37" s="74" t="str">
        <f t="shared" si="8"/>
        <v>TPPRMOTELC-E</v>
      </c>
      <c r="N37" s="75" cm="1">
        <f t="array" ref="N37">INDEX(VehicleCostData2022!$T$16:$T$86,MATCH(1,(VehicleCostData2022!$R$16:$R$86=$E37)*(VehicleCostData2022!$S$16:$S$86=$F37),0))</f>
        <v>141176.4705882353</v>
      </c>
      <c r="O37" s="73">
        <f t="shared" si="22"/>
        <v>502744.23939254123</v>
      </c>
      <c r="P37" s="73">
        <f t="shared" si="22"/>
        <v>352091.00239074574</v>
      </c>
      <c r="Q37" s="73">
        <f t="shared" si="22"/>
        <v>201437.76538895027</v>
      </c>
      <c r="R37" s="73">
        <f t="shared" si="22"/>
        <v>128522.23816355859</v>
      </c>
      <c r="S37" s="73">
        <f t="shared" si="22"/>
        <v>107431.85078909673</v>
      </c>
      <c r="T37" s="73">
        <f t="shared" si="22"/>
        <v>104160.68866571026</v>
      </c>
      <c r="U37" s="73">
        <f t="shared" si="22"/>
        <v>100889.52654232428</v>
      </c>
      <c r="V37" s="73">
        <f t="shared" si="22"/>
        <v>97618.364418938305</v>
      </c>
      <c r="W37" s="73">
        <f t="shared" si="22"/>
        <v>94347.202295552328</v>
      </c>
      <c r="X37" s="92">
        <v>2.0250000000000001E-2</v>
      </c>
      <c r="Y37" s="94">
        <f t="shared" si="21"/>
        <v>2858.8235294117649</v>
      </c>
      <c r="Z37" s="94">
        <f t="shared" si="10"/>
        <v>10180.57084769896</v>
      </c>
      <c r="AA37" s="94">
        <f t="shared" si="11"/>
        <v>7129.842798412601</v>
      </c>
      <c r="AB37" s="94">
        <f t="shared" si="12"/>
        <v>4079.1147491262432</v>
      </c>
      <c r="AC37" s="94">
        <f t="shared" si="13"/>
        <v>2602.5753228120616</v>
      </c>
      <c r="AD37" s="94">
        <f t="shared" si="14"/>
        <v>2175.4949784792088</v>
      </c>
      <c r="AE37" s="94">
        <f t="shared" si="15"/>
        <v>2109.2539454806329</v>
      </c>
      <c r="AF37" s="94">
        <f t="shared" si="16"/>
        <v>2043.0129124820667</v>
      </c>
      <c r="AG37" s="94">
        <f t="shared" si="17"/>
        <v>1976.7718794835007</v>
      </c>
      <c r="AH37" s="94">
        <f t="shared" si="18"/>
        <v>1910.5308464849347</v>
      </c>
    </row>
    <row r="38" spans="1:34" x14ac:dyDescent="0.25">
      <c r="A38" s="71" t="s">
        <v>264</v>
      </c>
      <c r="B38" s="71" t="s">
        <v>25</v>
      </c>
      <c r="C38" s="71" t="s">
        <v>47</v>
      </c>
      <c r="D38" s="71" t="s">
        <v>34</v>
      </c>
      <c r="E38" s="71" t="s">
        <v>48</v>
      </c>
      <c r="F38" s="71" t="s">
        <v>44</v>
      </c>
      <c r="G38" s="74" t="str">
        <f>IF(A38="HGNF",A38,RIGHT(F38,3))</f>
        <v>HGNF</v>
      </c>
      <c r="H38" s="72" t="s">
        <v>75</v>
      </c>
      <c r="I38" s="71" t="str">
        <f t="shared" si="4"/>
        <v>P</v>
      </c>
      <c r="J38" s="71" t="str">
        <f t="shared" si="5"/>
        <v>PR</v>
      </c>
      <c r="K38" s="71" t="str">
        <f t="shared" si="6"/>
        <v>MOT</v>
      </c>
      <c r="L38" s="74" t="str">
        <f t="shared" si="7"/>
        <v>TPPRMOTHGNF-N</v>
      </c>
      <c r="M38" s="74" t="str">
        <f t="shared" si="8"/>
        <v>TPPRMOTHGNF-E</v>
      </c>
      <c r="N38" s="75" cm="1">
        <f t="array" ref="N38">INDEX(VehicleCostData2022!$T$16:$T$86,MATCH(1,(VehicleCostData2022!$R$16:$R$86=$E38)*(VehicleCostData2022!$S$16:$S$86=$F38),0))</f>
        <v>0</v>
      </c>
      <c r="O38" s="73">
        <f t="shared" si="22"/>
        <v>0</v>
      </c>
      <c r="P38" s="73">
        <f t="shared" si="22"/>
        <v>0</v>
      </c>
      <c r="Q38" s="73">
        <f t="shared" si="22"/>
        <v>0</v>
      </c>
      <c r="R38" s="73">
        <f t="shared" si="22"/>
        <v>0</v>
      </c>
      <c r="S38" s="73">
        <f t="shared" si="22"/>
        <v>0</v>
      </c>
      <c r="T38" s="73">
        <f t="shared" si="22"/>
        <v>0</v>
      </c>
      <c r="U38" s="73">
        <f t="shared" si="22"/>
        <v>0</v>
      </c>
      <c r="V38" s="73">
        <f t="shared" si="22"/>
        <v>0</v>
      </c>
      <c r="W38" s="73">
        <f t="shared" si="22"/>
        <v>0</v>
      </c>
      <c r="X38" s="92"/>
      <c r="Y38" s="94">
        <f t="shared" si="21"/>
        <v>0</v>
      </c>
      <c r="Z38" s="94">
        <f t="shared" si="10"/>
        <v>0</v>
      </c>
      <c r="AA38" s="94">
        <f t="shared" si="11"/>
        <v>0</v>
      </c>
      <c r="AB38" s="94">
        <f t="shared" si="12"/>
        <v>0</v>
      </c>
      <c r="AC38" s="94">
        <f t="shared" si="13"/>
        <v>0</v>
      </c>
      <c r="AD38" s="94">
        <f t="shared" si="14"/>
        <v>0</v>
      </c>
      <c r="AE38" s="94">
        <f t="shared" si="15"/>
        <v>0</v>
      </c>
      <c r="AF38" s="94">
        <f t="shared" si="16"/>
        <v>0</v>
      </c>
      <c r="AG38" s="94">
        <f t="shared" si="17"/>
        <v>0</v>
      </c>
      <c r="AH38" s="94">
        <f t="shared" si="18"/>
        <v>0</v>
      </c>
    </row>
    <row r="39" spans="1:34" x14ac:dyDescent="0.25">
      <c r="A39" s="71" t="s">
        <v>13</v>
      </c>
      <c r="B39" s="71" t="s">
        <v>25</v>
      </c>
      <c r="C39" s="71" t="s">
        <v>19</v>
      </c>
      <c r="D39" s="71" t="s">
        <v>36</v>
      </c>
      <c r="E39" s="71" t="s">
        <v>1</v>
      </c>
      <c r="F39" s="71" t="s">
        <v>36</v>
      </c>
      <c r="G39" s="74" t="str">
        <f t="shared" si="19"/>
        <v>ICE</v>
      </c>
      <c r="H39" s="72" t="s">
        <v>75</v>
      </c>
      <c r="I39" s="71" t="str">
        <f t="shared" si="4"/>
        <v>P</v>
      </c>
      <c r="J39" s="71" t="str">
        <f t="shared" si="5"/>
        <v>PU</v>
      </c>
      <c r="K39" s="71" t="str">
        <f t="shared" si="6"/>
        <v>BUS</v>
      </c>
      <c r="L39" s="74" t="str">
        <f t="shared" si="7"/>
        <v>TPPUBUSODS-N</v>
      </c>
      <c r="M39" s="74" t="str">
        <f t="shared" si="8"/>
        <v>TPPUBUSODS-E</v>
      </c>
      <c r="N39" s="75" cm="1">
        <f t="array" ref="N39">INDEX(VehicleCostData2022!$T$16:$T$86,MATCH(1,(VehicleCostData2022!$R$16:$R$86=$E39)*(VehicleCostData2022!$S$16:$S$86=$F39),0))</f>
        <v>1681623.7261979403</v>
      </c>
      <c r="O39" s="73">
        <f t="shared" si="22"/>
        <v>1641784.5629764099</v>
      </c>
      <c r="P39" s="73">
        <f t="shared" si="22"/>
        <v>1658268.2114628535</v>
      </c>
      <c r="Q39" s="73">
        <f t="shared" si="22"/>
        <v>1674917.3571001117</v>
      </c>
      <c r="R39" s="73">
        <f t="shared" si="22"/>
        <v>1691733.661492832</v>
      </c>
      <c r="S39" s="73">
        <f t="shared" si="22"/>
        <v>1708718.8029283057</v>
      </c>
      <c r="T39" s="73">
        <f t="shared" si="22"/>
        <v>1725874.4765439623</v>
      </c>
      <c r="U39" s="73">
        <f t="shared" si="22"/>
        <v>1743202.3944965466</v>
      </c>
      <c r="V39" s="73">
        <f t="shared" si="22"/>
        <v>1760704.2861329953</v>
      </c>
      <c r="W39" s="73">
        <f t="shared" si="22"/>
        <v>1778381.898163026</v>
      </c>
      <c r="X39" s="92">
        <v>2.7E-2</v>
      </c>
      <c r="Y39" s="94">
        <f t="shared" si="21"/>
        <v>45403.840607344384</v>
      </c>
      <c r="Z39" s="94">
        <f t="shared" si="10"/>
        <v>44328.18320036307</v>
      </c>
      <c r="AA39" s="94">
        <f t="shared" si="11"/>
        <v>44773.241709497044</v>
      </c>
      <c r="AB39" s="94">
        <f t="shared" si="12"/>
        <v>45222.768641703013</v>
      </c>
      <c r="AC39" s="94">
        <f t="shared" si="13"/>
        <v>45676.808860306461</v>
      </c>
      <c r="AD39" s="94">
        <f t="shared" si="14"/>
        <v>46135.40767906425</v>
      </c>
      <c r="AE39" s="94">
        <f t="shared" si="15"/>
        <v>46598.610866686977</v>
      </c>
      <c r="AF39" s="94">
        <f t="shared" si="16"/>
        <v>47066.464651406757</v>
      </c>
      <c r="AG39" s="94">
        <f t="shared" si="17"/>
        <v>47539.015725590871</v>
      </c>
      <c r="AH39" s="94">
        <f t="shared" si="18"/>
        <v>48016.311250401697</v>
      </c>
    </row>
    <row r="40" spans="1:34" x14ac:dyDescent="0.25">
      <c r="A40" s="71" t="s">
        <v>11</v>
      </c>
      <c r="B40" s="71" t="s">
        <v>25</v>
      </c>
      <c r="C40" s="71" t="s">
        <v>19</v>
      </c>
      <c r="D40" s="71" t="s">
        <v>36</v>
      </c>
      <c r="E40" s="71" t="s">
        <v>1</v>
      </c>
      <c r="F40" s="71" t="s">
        <v>36</v>
      </c>
      <c r="G40" s="74" t="str">
        <f t="shared" si="19"/>
        <v>ICE</v>
      </c>
      <c r="H40" s="72" t="s">
        <v>75</v>
      </c>
      <c r="I40" s="71" t="str">
        <f t="shared" si="4"/>
        <v>P</v>
      </c>
      <c r="J40" s="71" t="str">
        <f t="shared" si="5"/>
        <v>PU</v>
      </c>
      <c r="K40" s="71" t="str">
        <f t="shared" si="6"/>
        <v>BUS</v>
      </c>
      <c r="L40" s="74" t="str">
        <f t="shared" si="7"/>
        <v>TPPUBUSBGS-N</v>
      </c>
      <c r="M40" s="74" t="str">
        <f t="shared" si="8"/>
        <v>TPPUBUSBGS-E</v>
      </c>
      <c r="N40" s="75" cm="1">
        <f t="array" ref="N40">INDEX(VehicleCostData2022!$T$16:$T$86,MATCH(1,(VehicleCostData2022!$R$16:$R$86=$E40)*(VehicleCostData2022!$S$16:$S$86=$F40),0))</f>
        <v>1681623.7261979403</v>
      </c>
      <c r="O40" s="73">
        <f t="shared" si="22"/>
        <v>1641784.5629764099</v>
      </c>
      <c r="P40" s="73">
        <f t="shared" si="22"/>
        <v>1658268.2114628535</v>
      </c>
      <c r="Q40" s="73">
        <f t="shared" si="22"/>
        <v>1674917.3571001117</v>
      </c>
      <c r="R40" s="73">
        <f t="shared" si="22"/>
        <v>1691733.661492832</v>
      </c>
      <c r="S40" s="73">
        <f t="shared" si="22"/>
        <v>1708718.8029283057</v>
      </c>
      <c r="T40" s="73">
        <f t="shared" si="22"/>
        <v>1725874.4765439623</v>
      </c>
      <c r="U40" s="73">
        <f t="shared" si="22"/>
        <v>1743202.3944965466</v>
      </c>
      <c r="V40" s="73">
        <f t="shared" si="22"/>
        <v>1760704.2861329953</v>
      </c>
      <c r="W40" s="73">
        <f t="shared" si="22"/>
        <v>1778381.898163026</v>
      </c>
      <c r="X40" s="92">
        <v>2.7E-2</v>
      </c>
      <c r="Y40" s="94">
        <f t="shared" si="21"/>
        <v>45403.840607344384</v>
      </c>
      <c r="Z40" s="94">
        <f t="shared" si="10"/>
        <v>44328.18320036307</v>
      </c>
      <c r="AA40" s="94">
        <f t="shared" si="11"/>
        <v>44773.241709497044</v>
      </c>
      <c r="AB40" s="94">
        <f t="shared" si="12"/>
        <v>45222.768641703013</v>
      </c>
      <c r="AC40" s="94">
        <f t="shared" si="13"/>
        <v>45676.808860306461</v>
      </c>
      <c r="AD40" s="94">
        <f t="shared" si="14"/>
        <v>46135.40767906425</v>
      </c>
      <c r="AE40" s="94">
        <f t="shared" si="15"/>
        <v>46598.610866686977</v>
      </c>
      <c r="AF40" s="94">
        <f t="shared" si="16"/>
        <v>47066.464651406757</v>
      </c>
      <c r="AG40" s="94">
        <f t="shared" si="17"/>
        <v>47539.015725590871</v>
      </c>
      <c r="AH40" s="94">
        <f t="shared" si="18"/>
        <v>48016.311250401697</v>
      </c>
    </row>
    <row r="41" spans="1:34" x14ac:dyDescent="0.25">
      <c r="A41" s="71" t="s">
        <v>9</v>
      </c>
      <c r="B41" s="71" t="s">
        <v>25</v>
      </c>
      <c r="C41" s="71" t="s">
        <v>19</v>
      </c>
      <c r="D41" s="71" t="s">
        <v>36</v>
      </c>
      <c r="E41" s="71" t="s">
        <v>1</v>
      </c>
      <c r="F41" s="71" t="s">
        <v>41</v>
      </c>
      <c r="G41" s="74" t="str">
        <f t="shared" si="19"/>
        <v>BEV</v>
      </c>
      <c r="H41" s="72" t="s">
        <v>75</v>
      </c>
      <c r="I41" s="71" t="str">
        <f t="shared" si="4"/>
        <v>P</v>
      </c>
      <c r="J41" s="71" t="str">
        <f t="shared" si="5"/>
        <v>PU</v>
      </c>
      <c r="K41" s="71" t="str">
        <f t="shared" si="6"/>
        <v>BUS</v>
      </c>
      <c r="L41" s="74" t="str">
        <f t="shared" si="7"/>
        <v>TPPUBUSELC-N</v>
      </c>
      <c r="M41" s="74" t="str">
        <f t="shared" si="8"/>
        <v>TPPUBUSELC-E</v>
      </c>
      <c r="N41" s="75" cm="1">
        <f t="array" ref="N41">INDEX(VehicleCostData2022!$T$16:$T$86,MATCH(1,(VehicleCostData2022!$R$16:$R$86=$E41)*(VehicleCostData2022!$S$16:$S$86=$F41),0))</f>
        <v>2022014.0410005269</v>
      </c>
      <c r="O41" s="73">
        <f t="shared" si="22"/>
        <v>7200604.3701772606</v>
      </c>
      <c r="P41" s="73">
        <f t="shared" si="22"/>
        <v>5042858.3996869354</v>
      </c>
      <c r="Q41" s="73">
        <f t="shared" si="22"/>
        <v>2885112.4291966106</v>
      </c>
      <c r="R41" s="73">
        <f t="shared" si="22"/>
        <v>1840772.5385449987</v>
      </c>
      <c r="S41" s="73">
        <f t="shared" si="22"/>
        <v>1538703.3677857753</v>
      </c>
      <c r="T41" s="73">
        <f t="shared" si="22"/>
        <v>1491851.8229333165</v>
      </c>
      <c r="U41" s="73">
        <f t="shared" si="22"/>
        <v>1445000.2780808648</v>
      </c>
      <c r="V41" s="73">
        <f t="shared" si="22"/>
        <v>1398148.7332284129</v>
      </c>
      <c r="W41" s="73">
        <f t="shared" si="22"/>
        <v>1351297.1883759613</v>
      </c>
      <c r="X41" s="92">
        <v>2.0250000000000001E-2</v>
      </c>
      <c r="Y41" s="94">
        <f t="shared" si="21"/>
        <v>40945.784330260671</v>
      </c>
      <c r="Z41" s="94">
        <f t="shared" si="10"/>
        <v>145812.23849608953</v>
      </c>
      <c r="AA41" s="94">
        <f t="shared" si="11"/>
        <v>102117.88259366044</v>
      </c>
      <c r="AB41" s="94">
        <f t="shared" si="12"/>
        <v>58423.526691231367</v>
      </c>
      <c r="AC41" s="94">
        <f t="shared" si="13"/>
        <v>37275.643905536228</v>
      </c>
      <c r="AD41" s="94">
        <f t="shared" si="14"/>
        <v>31158.743197661952</v>
      </c>
      <c r="AE41" s="94">
        <f t="shared" si="15"/>
        <v>30209.999414399659</v>
      </c>
      <c r="AF41" s="94">
        <f t="shared" si="16"/>
        <v>29261.255631137512</v>
      </c>
      <c r="AG41" s="94">
        <f t="shared" si="17"/>
        <v>28312.511847875361</v>
      </c>
      <c r="AH41" s="94">
        <f t="shared" si="18"/>
        <v>27363.768064613218</v>
      </c>
    </row>
    <row r="42" spans="1:34" x14ac:dyDescent="0.25">
      <c r="A42" s="71" t="s">
        <v>264</v>
      </c>
      <c r="B42" s="71" t="s">
        <v>25</v>
      </c>
      <c r="C42" s="71" t="s">
        <v>19</v>
      </c>
      <c r="D42" s="71" t="s">
        <v>36</v>
      </c>
      <c r="E42" s="71" t="s">
        <v>1</v>
      </c>
      <c r="F42" s="71" t="s">
        <v>44</v>
      </c>
      <c r="G42" s="74" t="str">
        <f>IF(A42="HGNF",A42,RIGHT(F42,3))</f>
        <v>HGNF</v>
      </c>
      <c r="H42" s="72" t="s">
        <v>75</v>
      </c>
      <c r="I42" s="71" t="str">
        <f t="shared" si="4"/>
        <v>P</v>
      </c>
      <c r="J42" s="71" t="str">
        <f t="shared" si="5"/>
        <v>PU</v>
      </c>
      <c r="K42" s="71" t="str">
        <f t="shared" si="6"/>
        <v>BUS</v>
      </c>
      <c r="L42" s="74" t="str">
        <f t="shared" si="7"/>
        <v>TPPUBUSHGNF-N</v>
      </c>
      <c r="M42" s="74" t="str">
        <f t="shared" si="8"/>
        <v>TPPUBUSHGNF-E</v>
      </c>
      <c r="N42" s="75" cm="1">
        <f t="array" ref="N42">INDEX(VehicleCostData2022!$T$16:$T$86,MATCH(1,(VehicleCostData2022!$R$16:$R$86=$E42)*(VehicleCostData2022!$S$16:$S$86=$F42),0))</f>
        <v>2416886.24070324</v>
      </c>
      <c r="O42" s="73">
        <f t="shared" si="22"/>
        <v>8606785.7463629283</v>
      </c>
      <c r="P42" s="73">
        <f t="shared" si="22"/>
        <v>6027660.9523380352</v>
      </c>
      <c r="Q42" s="73">
        <f t="shared" si="22"/>
        <v>3448536.1583131421</v>
      </c>
      <c r="R42" s="73">
        <f t="shared" si="22"/>
        <v>2200250.7057133848</v>
      </c>
      <c r="S42" s="73">
        <f t="shared" si="22"/>
        <v>1839191.4807302807</v>
      </c>
      <c r="T42" s="73">
        <f t="shared" si="22"/>
        <v>1783190.4580798305</v>
      </c>
      <c r="U42" s="73">
        <f t="shared" si="22"/>
        <v>1727189.4354293891</v>
      </c>
      <c r="V42" s="73">
        <f t="shared" si="22"/>
        <v>1671188.4127789475</v>
      </c>
      <c r="W42" s="73">
        <f t="shared" si="22"/>
        <v>1615187.3901285061</v>
      </c>
      <c r="X42" s="92">
        <v>2.7E-2</v>
      </c>
      <c r="Y42" s="94">
        <f t="shared" si="21"/>
        <v>65255.92849898748</v>
      </c>
      <c r="Z42" s="94">
        <f t="shared" si="10"/>
        <v>232383.21515179906</v>
      </c>
      <c r="AA42" s="94">
        <f t="shared" si="11"/>
        <v>162746.84571312694</v>
      </c>
      <c r="AB42" s="94">
        <f t="shared" si="12"/>
        <v>93110.476274454835</v>
      </c>
      <c r="AC42" s="94">
        <f t="shared" si="13"/>
        <v>59406.769054261385</v>
      </c>
      <c r="AD42" s="94">
        <f t="shared" si="14"/>
        <v>49658.169979717582</v>
      </c>
      <c r="AE42" s="94">
        <f t="shared" si="15"/>
        <v>48146.142368155422</v>
      </c>
      <c r="AF42" s="94">
        <f t="shared" si="16"/>
        <v>46634.114756593503</v>
      </c>
      <c r="AG42" s="94">
        <f t="shared" si="17"/>
        <v>45122.087145031583</v>
      </c>
      <c r="AH42" s="94">
        <f t="shared" si="18"/>
        <v>43610.059533469663</v>
      </c>
    </row>
    <row r="43" spans="1:34" x14ac:dyDescent="0.25">
      <c r="A43" s="71" t="s">
        <v>12</v>
      </c>
      <c r="B43" s="71" t="s">
        <v>25</v>
      </c>
      <c r="C43" s="71" t="s">
        <v>19</v>
      </c>
      <c r="D43" s="71" t="s">
        <v>36</v>
      </c>
      <c r="E43" s="71" t="s">
        <v>1</v>
      </c>
      <c r="F43" s="71" t="s">
        <v>45</v>
      </c>
      <c r="G43" s="74" t="str">
        <f t="shared" si="19"/>
        <v>ICE</v>
      </c>
      <c r="H43" s="72" t="s">
        <v>75</v>
      </c>
      <c r="I43" s="71" t="str">
        <f t="shared" ref="I43:I74" si="23">IF(B43="PAS","P","F")</f>
        <v>P</v>
      </c>
      <c r="J43" s="71" t="str">
        <f t="shared" ref="J43:J74" si="24">IF(I43="P",IF(OR(C43="CAR",C43="SUV",C43="MOT"),"PR","PU"),C43)</f>
        <v>PU</v>
      </c>
      <c r="K43" s="71" t="str">
        <f t="shared" ref="K43:K74" si="25">IF(I43="P",C43,"")</f>
        <v>BUS</v>
      </c>
      <c r="L43" s="74" t="str">
        <f t="shared" ref="L43:L74" si="26">H43&amp;I43&amp;J43&amp;K43&amp;A43&amp;"-N"</f>
        <v>TPPUBUSGAS-N</v>
      </c>
      <c r="M43" s="74" t="str">
        <f t="shared" ref="M43:M74" si="27">H43&amp;I43&amp;J43&amp;K43&amp;A43&amp;"-E"</f>
        <v>TPPUBUSGAS-E</v>
      </c>
      <c r="N43" s="75" cm="1">
        <f t="array" ref="N43">INDEX(VehicleCostData2022!$T$16:$T$86,MATCH(1,(VehicleCostData2022!$R$16:$R$86=$E43)*(VehicleCostData2022!$S$16:$S$86=$F43),0))</f>
        <v>1783011.9060877543</v>
      </c>
      <c r="O43" s="73">
        <f t="shared" si="22"/>
        <v>1740770.7666188402</v>
      </c>
      <c r="P43" s="73">
        <f t="shared" si="22"/>
        <v>1758248.2445166721</v>
      </c>
      <c r="Q43" s="73">
        <f t="shared" si="22"/>
        <v>1775901.197692195</v>
      </c>
      <c r="R43" s="73">
        <f t="shared" si="22"/>
        <v>1793731.3879312489</v>
      </c>
      <c r="S43" s="73">
        <f t="shared" si="22"/>
        <v>1811740.5947081456</v>
      </c>
      <c r="T43" s="73">
        <f t="shared" si="22"/>
        <v>1829930.6153632603</v>
      </c>
      <c r="U43" s="73">
        <f t="shared" si="22"/>
        <v>1848303.265282409</v>
      </c>
      <c r="V43" s="73">
        <f t="shared" si="22"/>
        <v>1866860.3780780288</v>
      </c>
      <c r="W43" s="73">
        <f t="shared" si="22"/>
        <v>1885603.8057721709</v>
      </c>
      <c r="X43" s="92">
        <v>2.7E-2</v>
      </c>
      <c r="Y43" s="94">
        <f t="shared" si="21"/>
        <v>48141.321464369365</v>
      </c>
      <c r="Z43" s="94">
        <f t="shared" si="10"/>
        <v>47000.810698708687</v>
      </c>
      <c r="AA43" s="94">
        <f t="shared" si="11"/>
        <v>47472.702601950143</v>
      </c>
      <c r="AB43" s="94">
        <f t="shared" si="12"/>
        <v>47949.332337689266</v>
      </c>
      <c r="AC43" s="94">
        <f t="shared" si="13"/>
        <v>48430.747474143718</v>
      </c>
      <c r="AD43" s="94">
        <f t="shared" si="14"/>
        <v>48916.996057119934</v>
      </c>
      <c r="AE43" s="94">
        <f t="shared" si="15"/>
        <v>49408.126614808025</v>
      </c>
      <c r="AF43" s="94">
        <f t="shared" si="16"/>
        <v>49904.18816262504</v>
      </c>
      <c r="AG43" s="94">
        <f t="shared" si="17"/>
        <v>50405.230208106776</v>
      </c>
      <c r="AH43" s="94">
        <f t="shared" si="18"/>
        <v>50911.302755848614</v>
      </c>
    </row>
    <row r="44" spans="1:34" x14ac:dyDescent="0.25">
      <c r="A44" s="71" t="s">
        <v>13</v>
      </c>
      <c r="B44" s="71" t="s">
        <v>25</v>
      </c>
      <c r="C44" s="71" t="s">
        <v>0</v>
      </c>
      <c r="D44" s="71" t="s">
        <v>36</v>
      </c>
      <c r="E44" s="71" t="s">
        <v>1</v>
      </c>
      <c r="F44" s="71" t="s">
        <v>36</v>
      </c>
      <c r="G44" s="74" t="str">
        <f t="shared" si="19"/>
        <v>ICE</v>
      </c>
      <c r="H44" s="72" t="s">
        <v>75</v>
      </c>
      <c r="I44" s="71" t="str">
        <f t="shared" si="23"/>
        <v>P</v>
      </c>
      <c r="J44" s="71" t="str">
        <f t="shared" si="24"/>
        <v>PU</v>
      </c>
      <c r="K44" s="71" t="str">
        <f t="shared" si="25"/>
        <v>BRT</v>
      </c>
      <c r="L44" s="74" t="str">
        <f t="shared" si="26"/>
        <v>TPPUBRTODS-N</v>
      </c>
      <c r="M44" s="74" t="str">
        <f t="shared" si="27"/>
        <v>TPPUBRTODS-E</v>
      </c>
      <c r="N44" s="75" cm="1">
        <f t="array" ref="N44">INDEX(VehicleCostData2022!$T$16:$T$86,MATCH(1,(VehicleCostData2022!$R$16:$R$86=$E44)*(VehicleCostData2022!$S$16:$S$86=$F44),0))</f>
        <v>1681623.7261979403</v>
      </c>
      <c r="O44" s="73">
        <f t="shared" ref="O44:W59" si="28">$N44*INDEX($O$3:$W$6,MATCH($G44,$K$3:$K$6,0),MATCH(O$10,$O$2:$W$2,0))</f>
        <v>1641784.5629764099</v>
      </c>
      <c r="P44" s="73">
        <f t="shared" si="28"/>
        <v>1658268.2114628535</v>
      </c>
      <c r="Q44" s="73">
        <f t="shared" si="28"/>
        <v>1674917.3571001117</v>
      </c>
      <c r="R44" s="73">
        <f t="shared" si="28"/>
        <v>1691733.661492832</v>
      </c>
      <c r="S44" s="73">
        <f t="shared" si="28"/>
        <v>1708718.8029283057</v>
      </c>
      <c r="T44" s="73">
        <f t="shared" si="28"/>
        <v>1725874.4765439623</v>
      </c>
      <c r="U44" s="73">
        <f t="shared" si="28"/>
        <v>1743202.3944965466</v>
      </c>
      <c r="V44" s="73">
        <f t="shared" si="28"/>
        <v>1760704.2861329953</v>
      </c>
      <c r="W44" s="73">
        <f t="shared" si="28"/>
        <v>1778381.898163026</v>
      </c>
      <c r="X44" s="92">
        <v>2.7E-2</v>
      </c>
      <c r="Y44" s="94">
        <f t="shared" si="21"/>
        <v>45403.840607344384</v>
      </c>
      <c r="Z44" s="94">
        <f t="shared" si="10"/>
        <v>44328.18320036307</v>
      </c>
      <c r="AA44" s="94">
        <f t="shared" si="11"/>
        <v>44773.241709497044</v>
      </c>
      <c r="AB44" s="94">
        <f t="shared" si="12"/>
        <v>45222.768641703013</v>
      </c>
      <c r="AC44" s="94">
        <f t="shared" si="13"/>
        <v>45676.808860306461</v>
      </c>
      <c r="AD44" s="94">
        <f t="shared" si="14"/>
        <v>46135.40767906425</v>
      </c>
      <c r="AE44" s="94">
        <f t="shared" si="15"/>
        <v>46598.610866686977</v>
      </c>
      <c r="AF44" s="94">
        <f t="shared" si="16"/>
        <v>47066.464651406757</v>
      </c>
      <c r="AG44" s="94">
        <f t="shared" si="17"/>
        <v>47539.015725590871</v>
      </c>
      <c r="AH44" s="94">
        <f t="shared" si="18"/>
        <v>48016.311250401697</v>
      </c>
    </row>
    <row r="45" spans="1:34" x14ac:dyDescent="0.25">
      <c r="A45" s="71" t="s">
        <v>11</v>
      </c>
      <c r="B45" s="71" t="s">
        <v>25</v>
      </c>
      <c r="C45" s="71" t="s">
        <v>0</v>
      </c>
      <c r="D45" s="71" t="s">
        <v>36</v>
      </c>
      <c r="E45" s="71" t="s">
        <v>1</v>
      </c>
      <c r="F45" s="71" t="s">
        <v>36</v>
      </c>
      <c r="G45" s="74" t="str">
        <f t="shared" si="19"/>
        <v>ICE</v>
      </c>
      <c r="H45" s="72" t="s">
        <v>75</v>
      </c>
      <c r="I45" s="71" t="str">
        <f t="shared" si="23"/>
        <v>P</v>
      </c>
      <c r="J45" s="71" t="str">
        <f t="shared" si="24"/>
        <v>PU</v>
      </c>
      <c r="K45" s="71" t="str">
        <f t="shared" si="25"/>
        <v>BRT</v>
      </c>
      <c r="L45" s="74" t="str">
        <f t="shared" si="26"/>
        <v>TPPUBRTBGS-N</v>
      </c>
      <c r="M45" s="74" t="str">
        <f t="shared" si="27"/>
        <v>TPPUBRTBGS-E</v>
      </c>
      <c r="N45" s="75" cm="1">
        <f t="array" ref="N45">INDEX(VehicleCostData2022!$T$16:$T$86,MATCH(1,(VehicleCostData2022!$R$16:$R$86=$E45)*(VehicleCostData2022!$S$16:$S$86=$F45),0))</f>
        <v>1681623.7261979403</v>
      </c>
      <c r="O45" s="73">
        <f t="shared" si="28"/>
        <v>1641784.5629764099</v>
      </c>
      <c r="P45" s="73">
        <f t="shared" si="28"/>
        <v>1658268.2114628535</v>
      </c>
      <c r="Q45" s="73">
        <f t="shared" si="28"/>
        <v>1674917.3571001117</v>
      </c>
      <c r="R45" s="73">
        <f t="shared" si="28"/>
        <v>1691733.661492832</v>
      </c>
      <c r="S45" s="73">
        <f t="shared" si="28"/>
        <v>1708718.8029283057</v>
      </c>
      <c r="T45" s="73">
        <f t="shared" si="28"/>
        <v>1725874.4765439623</v>
      </c>
      <c r="U45" s="73">
        <f t="shared" si="28"/>
        <v>1743202.3944965466</v>
      </c>
      <c r="V45" s="73">
        <f t="shared" si="28"/>
        <v>1760704.2861329953</v>
      </c>
      <c r="W45" s="73">
        <f t="shared" si="28"/>
        <v>1778381.898163026</v>
      </c>
      <c r="X45" s="92">
        <v>2.7E-2</v>
      </c>
      <c r="Y45" s="94">
        <f t="shared" si="21"/>
        <v>45403.840607344384</v>
      </c>
      <c r="Z45" s="94">
        <f t="shared" si="10"/>
        <v>44328.18320036307</v>
      </c>
      <c r="AA45" s="94">
        <f t="shared" si="11"/>
        <v>44773.241709497044</v>
      </c>
      <c r="AB45" s="94">
        <f t="shared" si="12"/>
        <v>45222.768641703013</v>
      </c>
      <c r="AC45" s="94">
        <f t="shared" si="13"/>
        <v>45676.808860306461</v>
      </c>
      <c r="AD45" s="94">
        <f t="shared" si="14"/>
        <v>46135.40767906425</v>
      </c>
      <c r="AE45" s="94">
        <f t="shared" si="15"/>
        <v>46598.610866686977</v>
      </c>
      <c r="AF45" s="94">
        <f t="shared" si="16"/>
        <v>47066.464651406757</v>
      </c>
      <c r="AG45" s="94">
        <f t="shared" si="17"/>
        <v>47539.015725590871</v>
      </c>
      <c r="AH45" s="94">
        <f t="shared" si="18"/>
        <v>48016.311250401697</v>
      </c>
    </row>
    <row r="46" spans="1:34" x14ac:dyDescent="0.25">
      <c r="A46" s="71" t="s">
        <v>9</v>
      </c>
      <c r="B46" s="71" t="s">
        <v>25</v>
      </c>
      <c r="C46" s="71" t="s">
        <v>0</v>
      </c>
      <c r="D46" s="71" t="s">
        <v>36</v>
      </c>
      <c r="E46" s="71" t="s">
        <v>1</v>
      </c>
      <c r="F46" s="71" t="s">
        <v>41</v>
      </c>
      <c r="G46" s="74" t="str">
        <f t="shared" si="19"/>
        <v>BEV</v>
      </c>
      <c r="H46" s="72" t="s">
        <v>75</v>
      </c>
      <c r="I46" s="71" t="str">
        <f t="shared" si="23"/>
        <v>P</v>
      </c>
      <c r="J46" s="71" t="str">
        <f t="shared" si="24"/>
        <v>PU</v>
      </c>
      <c r="K46" s="71" t="str">
        <f t="shared" si="25"/>
        <v>BRT</v>
      </c>
      <c r="L46" s="74" t="str">
        <f t="shared" si="26"/>
        <v>TPPUBRTELC-N</v>
      </c>
      <c r="M46" s="74" t="str">
        <f t="shared" si="27"/>
        <v>TPPUBRTELC-E</v>
      </c>
      <c r="N46" s="75" cm="1">
        <f t="array" ref="N46">INDEX(VehicleCostData2022!$T$16:$T$86,MATCH(1,(VehicleCostData2022!$R$16:$R$86=$E46)*(VehicleCostData2022!$S$16:$S$86=$F46),0))</f>
        <v>2022014.0410005269</v>
      </c>
      <c r="O46" s="73">
        <f t="shared" si="28"/>
        <v>7200604.3701772606</v>
      </c>
      <c r="P46" s="73">
        <f t="shared" si="28"/>
        <v>5042858.3996869354</v>
      </c>
      <c r="Q46" s="73">
        <f t="shared" si="28"/>
        <v>2885112.4291966106</v>
      </c>
      <c r="R46" s="73">
        <f t="shared" si="28"/>
        <v>1840772.5385449987</v>
      </c>
      <c r="S46" s="73">
        <f t="shared" si="28"/>
        <v>1538703.3677857753</v>
      </c>
      <c r="T46" s="73">
        <f t="shared" si="28"/>
        <v>1491851.8229333165</v>
      </c>
      <c r="U46" s="73">
        <f t="shared" si="28"/>
        <v>1445000.2780808648</v>
      </c>
      <c r="V46" s="73">
        <f t="shared" si="28"/>
        <v>1398148.7332284129</v>
      </c>
      <c r="W46" s="73">
        <f t="shared" si="28"/>
        <v>1351297.1883759613</v>
      </c>
      <c r="X46" s="92">
        <v>2.0250000000000001E-2</v>
      </c>
      <c r="Y46" s="94">
        <f t="shared" si="21"/>
        <v>40945.784330260671</v>
      </c>
      <c r="Z46" s="94">
        <f t="shared" si="10"/>
        <v>145812.23849608953</v>
      </c>
      <c r="AA46" s="94">
        <f t="shared" si="11"/>
        <v>102117.88259366044</v>
      </c>
      <c r="AB46" s="94">
        <f t="shared" si="12"/>
        <v>58423.526691231367</v>
      </c>
      <c r="AC46" s="94">
        <f t="shared" si="13"/>
        <v>37275.643905536228</v>
      </c>
      <c r="AD46" s="94">
        <f t="shared" si="14"/>
        <v>31158.743197661952</v>
      </c>
      <c r="AE46" s="94">
        <f t="shared" si="15"/>
        <v>30209.999414399659</v>
      </c>
      <c r="AF46" s="94">
        <f t="shared" si="16"/>
        <v>29261.255631137512</v>
      </c>
      <c r="AG46" s="94">
        <f t="shared" si="17"/>
        <v>28312.511847875361</v>
      </c>
      <c r="AH46" s="94">
        <f t="shared" si="18"/>
        <v>27363.768064613218</v>
      </c>
    </row>
    <row r="47" spans="1:34" x14ac:dyDescent="0.25">
      <c r="A47" s="71" t="s">
        <v>264</v>
      </c>
      <c r="B47" s="71" t="s">
        <v>25</v>
      </c>
      <c r="C47" s="71" t="s">
        <v>0</v>
      </c>
      <c r="D47" s="71" t="s">
        <v>36</v>
      </c>
      <c r="E47" s="71" t="s">
        <v>1</v>
      </c>
      <c r="F47" s="71" t="s">
        <v>44</v>
      </c>
      <c r="G47" s="74" t="str">
        <f>IF(A47="HGNF",A47,RIGHT(F47,3))</f>
        <v>HGNF</v>
      </c>
      <c r="H47" s="72" t="s">
        <v>75</v>
      </c>
      <c r="I47" s="71" t="str">
        <f t="shared" si="23"/>
        <v>P</v>
      </c>
      <c r="J47" s="71" t="str">
        <f t="shared" si="24"/>
        <v>PU</v>
      </c>
      <c r="K47" s="71" t="str">
        <f t="shared" si="25"/>
        <v>BRT</v>
      </c>
      <c r="L47" s="74" t="str">
        <f t="shared" si="26"/>
        <v>TPPUBRTHGNF-N</v>
      </c>
      <c r="M47" s="74" t="str">
        <f t="shared" si="27"/>
        <v>TPPUBRTHGNF-E</v>
      </c>
      <c r="N47" s="75" cm="1">
        <f t="array" ref="N47">INDEX(VehicleCostData2022!$T$16:$T$86,MATCH(1,(VehicleCostData2022!$R$16:$R$86=$E47)*(VehicleCostData2022!$S$16:$S$86=$F47),0))</f>
        <v>2416886.24070324</v>
      </c>
      <c r="O47" s="73">
        <f t="shared" si="28"/>
        <v>8606785.7463629283</v>
      </c>
      <c r="P47" s="73">
        <f t="shared" si="28"/>
        <v>6027660.9523380352</v>
      </c>
      <c r="Q47" s="73">
        <f t="shared" si="28"/>
        <v>3448536.1583131421</v>
      </c>
      <c r="R47" s="73">
        <f t="shared" si="28"/>
        <v>2200250.7057133848</v>
      </c>
      <c r="S47" s="73">
        <f t="shared" si="28"/>
        <v>1839191.4807302807</v>
      </c>
      <c r="T47" s="73">
        <f t="shared" si="28"/>
        <v>1783190.4580798305</v>
      </c>
      <c r="U47" s="73">
        <f t="shared" si="28"/>
        <v>1727189.4354293891</v>
      </c>
      <c r="V47" s="73">
        <f t="shared" si="28"/>
        <v>1671188.4127789475</v>
      </c>
      <c r="W47" s="73">
        <f t="shared" si="28"/>
        <v>1615187.3901285061</v>
      </c>
      <c r="X47" s="92">
        <v>2.7E-2</v>
      </c>
      <c r="Y47" s="94">
        <f t="shared" si="21"/>
        <v>65255.92849898748</v>
      </c>
      <c r="Z47" s="94">
        <f t="shared" si="10"/>
        <v>232383.21515179906</v>
      </c>
      <c r="AA47" s="94">
        <f t="shared" si="11"/>
        <v>162746.84571312694</v>
      </c>
      <c r="AB47" s="94">
        <f t="shared" si="12"/>
        <v>93110.476274454835</v>
      </c>
      <c r="AC47" s="94">
        <f t="shared" si="13"/>
        <v>59406.769054261385</v>
      </c>
      <c r="AD47" s="94">
        <f t="shared" si="14"/>
        <v>49658.169979717582</v>
      </c>
      <c r="AE47" s="94">
        <f t="shared" si="15"/>
        <v>48146.142368155422</v>
      </c>
      <c r="AF47" s="94">
        <f t="shared" si="16"/>
        <v>46634.114756593503</v>
      </c>
      <c r="AG47" s="94">
        <f t="shared" si="17"/>
        <v>45122.087145031583</v>
      </c>
      <c r="AH47" s="94">
        <f t="shared" si="18"/>
        <v>43610.059533469663</v>
      </c>
    </row>
    <row r="48" spans="1:34" x14ac:dyDescent="0.25">
      <c r="A48" s="71" t="s">
        <v>12</v>
      </c>
      <c r="B48" s="71" t="s">
        <v>25</v>
      </c>
      <c r="C48" s="71" t="s">
        <v>0</v>
      </c>
      <c r="D48" s="71" t="s">
        <v>36</v>
      </c>
      <c r="E48" s="71" t="s">
        <v>1</v>
      </c>
      <c r="F48" s="71" t="s">
        <v>45</v>
      </c>
      <c r="G48" s="74" t="str">
        <f t="shared" si="19"/>
        <v>ICE</v>
      </c>
      <c r="H48" s="72" t="s">
        <v>75</v>
      </c>
      <c r="I48" s="71" t="str">
        <f t="shared" si="23"/>
        <v>P</v>
      </c>
      <c r="J48" s="71" t="str">
        <f t="shared" si="24"/>
        <v>PU</v>
      </c>
      <c r="K48" s="71" t="str">
        <f t="shared" si="25"/>
        <v>BRT</v>
      </c>
      <c r="L48" s="74" t="str">
        <f t="shared" si="26"/>
        <v>TPPUBRTGAS-N</v>
      </c>
      <c r="M48" s="74" t="str">
        <f t="shared" si="27"/>
        <v>TPPUBRTGAS-E</v>
      </c>
      <c r="N48" s="75" cm="1">
        <f t="array" ref="N48">INDEX(VehicleCostData2022!$T$16:$T$86,MATCH(1,(VehicleCostData2022!$R$16:$R$86=$E48)*(VehicleCostData2022!$S$16:$S$86=$F48),0))</f>
        <v>1783011.9060877543</v>
      </c>
      <c r="O48" s="73">
        <f t="shared" si="28"/>
        <v>1740770.7666188402</v>
      </c>
      <c r="P48" s="73">
        <f t="shared" si="28"/>
        <v>1758248.2445166721</v>
      </c>
      <c r="Q48" s="73">
        <f t="shared" si="28"/>
        <v>1775901.197692195</v>
      </c>
      <c r="R48" s="73">
        <f t="shared" si="28"/>
        <v>1793731.3879312489</v>
      </c>
      <c r="S48" s="73">
        <f t="shared" si="28"/>
        <v>1811740.5947081456</v>
      </c>
      <c r="T48" s="73">
        <f t="shared" si="28"/>
        <v>1829930.6153632603</v>
      </c>
      <c r="U48" s="73">
        <f t="shared" si="28"/>
        <v>1848303.265282409</v>
      </c>
      <c r="V48" s="73">
        <f t="shared" si="28"/>
        <v>1866860.3780780288</v>
      </c>
      <c r="W48" s="73">
        <f t="shared" si="28"/>
        <v>1885603.8057721709</v>
      </c>
      <c r="X48" s="92">
        <v>2.7E-2</v>
      </c>
      <c r="Y48" s="94">
        <f t="shared" si="21"/>
        <v>48141.321464369365</v>
      </c>
      <c r="Z48" s="94">
        <f t="shared" si="10"/>
        <v>47000.810698708687</v>
      </c>
      <c r="AA48" s="94">
        <f t="shared" si="11"/>
        <v>47472.702601950143</v>
      </c>
      <c r="AB48" s="94">
        <f t="shared" si="12"/>
        <v>47949.332337689266</v>
      </c>
      <c r="AC48" s="94">
        <f t="shared" si="13"/>
        <v>48430.747474143718</v>
      </c>
      <c r="AD48" s="94">
        <f t="shared" si="14"/>
        <v>48916.996057119934</v>
      </c>
      <c r="AE48" s="94">
        <f t="shared" si="15"/>
        <v>49408.126614808025</v>
      </c>
      <c r="AF48" s="94">
        <f t="shared" si="16"/>
        <v>49904.18816262504</v>
      </c>
      <c r="AG48" s="94">
        <f t="shared" si="17"/>
        <v>50405.230208106776</v>
      </c>
      <c r="AH48" s="94">
        <f t="shared" si="18"/>
        <v>50911.302755848614</v>
      </c>
    </row>
    <row r="49" spans="1:34" x14ac:dyDescent="0.25">
      <c r="A49" s="71" t="s">
        <v>21</v>
      </c>
      <c r="B49" s="71" t="s">
        <v>27</v>
      </c>
      <c r="C49" s="71" t="s">
        <v>3</v>
      </c>
      <c r="D49" s="71" t="s">
        <v>34</v>
      </c>
      <c r="E49" s="71" t="s">
        <v>46</v>
      </c>
      <c r="F49" s="71" t="s">
        <v>34</v>
      </c>
      <c r="G49" s="74" t="str">
        <f t="shared" si="19"/>
        <v>ICE</v>
      </c>
      <c r="H49" s="72" t="s">
        <v>75</v>
      </c>
      <c r="I49" s="71" t="str">
        <f t="shared" si="23"/>
        <v>F</v>
      </c>
      <c r="J49" s="71" t="str">
        <f t="shared" si="24"/>
        <v>LCV</v>
      </c>
      <c r="K49" s="71" t="str">
        <f t="shared" si="25"/>
        <v/>
      </c>
      <c r="L49" s="74" t="str">
        <f t="shared" si="26"/>
        <v>TFLCVOGS-N</v>
      </c>
      <c r="M49" s="74" t="str">
        <f t="shared" si="27"/>
        <v>TFLCVOGS-E</v>
      </c>
      <c r="N49" s="75" cm="1">
        <f t="array" ref="N49">INDEX(VehicleCostData2022!$T$16:$T$86,MATCH(1,(VehicleCostData2022!$R$16:$R$86=$E49)*(VehicleCostData2022!$S$16:$S$86=$F49),0))</f>
        <v>440658.82352941175</v>
      </c>
      <c r="O49" s="73">
        <f t="shared" si="28"/>
        <v>430219.22368189547</v>
      </c>
      <c r="P49" s="73">
        <f t="shared" si="28"/>
        <v>434538.65913963091</v>
      </c>
      <c r="Q49" s="73">
        <f t="shared" si="28"/>
        <v>438901.46207526245</v>
      </c>
      <c r="R49" s="73">
        <f t="shared" si="28"/>
        <v>443308.06790174113</v>
      </c>
      <c r="S49" s="73">
        <f t="shared" si="28"/>
        <v>447758.91640359885</v>
      </c>
      <c r="T49" s="73">
        <f t="shared" si="28"/>
        <v>452254.45178083936</v>
      </c>
      <c r="U49" s="73">
        <f t="shared" si="28"/>
        <v>456795.1226932698</v>
      </c>
      <c r="V49" s="73">
        <f t="shared" si="28"/>
        <v>461381.38230527821</v>
      </c>
      <c r="W49" s="73">
        <f t="shared" si="28"/>
        <v>466013.68833105906</v>
      </c>
      <c r="X49" s="92">
        <v>2.7E-2</v>
      </c>
      <c r="Y49" s="94">
        <f t="shared" si="21"/>
        <v>11897.788235294118</v>
      </c>
      <c r="Z49" s="94">
        <f t="shared" si="10"/>
        <v>11615.919039411177</v>
      </c>
      <c r="AA49" s="94">
        <f t="shared" si="11"/>
        <v>11732.543796770035</v>
      </c>
      <c r="AB49" s="94">
        <f t="shared" si="12"/>
        <v>11850.339476032086</v>
      </c>
      <c r="AC49" s="94">
        <f t="shared" si="13"/>
        <v>11969.31783334701</v>
      </c>
      <c r="AD49" s="94">
        <f t="shared" si="14"/>
        <v>12089.490742897169</v>
      </c>
      <c r="AE49" s="94">
        <f t="shared" si="15"/>
        <v>12210.870198082663</v>
      </c>
      <c r="AF49" s="94">
        <f t="shared" si="16"/>
        <v>12333.468312718285</v>
      </c>
      <c r="AG49" s="94">
        <f t="shared" si="17"/>
        <v>12457.297322242512</v>
      </c>
      <c r="AH49" s="94">
        <f t="shared" si="18"/>
        <v>12582.369584938595</v>
      </c>
    </row>
    <row r="50" spans="1:34" x14ac:dyDescent="0.25">
      <c r="A50" s="71" t="s">
        <v>15</v>
      </c>
      <c r="B50" s="71" t="s">
        <v>27</v>
      </c>
      <c r="C50" s="71" t="s">
        <v>3</v>
      </c>
      <c r="D50" s="71" t="s">
        <v>34</v>
      </c>
      <c r="E50" s="71" t="s">
        <v>46</v>
      </c>
      <c r="F50" s="71" t="s">
        <v>37</v>
      </c>
      <c r="G50" s="74" t="str">
        <f t="shared" si="19"/>
        <v>HEV</v>
      </c>
      <c r="H50" s="72" t="s">
        <v>75</v>
      </c>
      <c r="I50" s="71" t="str">
        <f t="shared" si="23"/>
        <v>F</v>
      </c>
      <c r="J50" s="71" t="str">
        <f t="shared" si="24"/>
        <v>LCV</v>
      </c>
      <c r="K50" s="71" t="str">
        <f t="shared" si="25"/>
        <v/>
      </c>
      <c r="L50" s="74" t="str">
        <f t="shared" si="26"/>
        <v>TFLCVOGSH-N</v>
      </c>
      <c r="M50" s="74" t="str">
        <f t="shared" si="27"/>
        <v>TFLCVOGSH-E</v>
      </c>
      <c r="N50" s="75" cm="1">
        <f t="array" ref="N50">INDEX(VehicleCostData2022!$T$16:$T$86,MATCH(1,(VehicleCostData2022!$R$16:$R$86=$E50)*(VehicleCostData2022!$S$16:$S$86=$F50),0))</f>
        <v>496188.23529411765</v>
      </c>
      <c r="O50" s="73">
        <f t="shared" si="28"/>
        <v>1033928.8560936983</v>
      </c>
      <c r="P50" s="73">
        <f t="shared" si="28"/>
        <v>809870.26409387775</v>
      </c>
      <c r="Q50" s="73">
        <f t="shared" si="28"/>
        <v>585811.672094043</v>
      </c>
      <c r="R50" s="73">
        <f t="shared" si="28"/>
        <v>477359.66386554699</v>
      </c>
      <c r="S50" s="73">
        <f t="shared" si="28"/>
        <v>445978.71148459468</v>
      </c>
      <c r="T50" s="73">
        <f t="shared" si="28"/>
        <v>446717.0868347339</v>
      </c>
      <c r="U50" s="73">
        <f t="shared" si="28"/>
        <v>447455.46218487393</v>
      </c>
      <c r="V50" s="73">
        <f t="shared" si="28"/>
        <v>448193.83753501403</v>
      </c>
      <c r="W50" s="73">
        <f t="shared" si="28"/>
        <v>448932.21288515406</v>
      </c>
      <c r="X50" s="92">
        <v>2.7E-2</v>
      </c>
      <c r="Y50" s="94">
        <f t="shared" si="21"/>
        <v>13397.082352941177</v>
      </c>
      <c r="Z50" s="94">
        <f t="shared" si="10"/>
        <v>27916.079114529854</v>
      </c>
      <c r="AA50" s="94">
        <f t="shared" si="11"/>
        <v>21866.497130534699</v>
      </c>
      <c r="AB50" s="94">
        <f t="shared" si="12"/>
        <v>15816.915146539161</v>
      </c>
      <c r="AC50" s="94">
        <f t="shared" si="13"/>
        <v>12888.710924369769</v>
      </c>
      <c r="AD50" s="94">
        <f t="shared" si="14"/>
        <v>12041.425210084057</v>
      </c>
      <c r="AE50" s="94">
        <f t="shared" si="15"/>
        <v>12061.361344537816</v>
      </c>
      <c r="AF50" s="94">
        <f t="shared" si="16"/>
        <v>12081.297478991595</v>
      </c>
      <c r="AG50" s="94">
        <f t="shared" si="17"/>
        <v>12101.233613445378</v>
      </c>
      <c r="AH50" s="94">
        <f t="shared" si="18"/>
        <v>12121.169747899159</v>
      </c>
    </row>
    <row r="51" spans="1:34" x14ac:dyDescent="0.25">
      <c r="A51" s="71" t="s">
        <v>13</v>
      </c>
      <c r="B51" s="71" t="s">
        <v>27</v>
      </c>
      <c r="C51" s="71" t="s">
        <v>3</v>
      </c>
      <c r="D51" s="71" t="s">
        <v>34</v>
      </c>
      <c r="E51" s="71" t="s">
        <v>46</v>
      </c>
      <c r="F51" s="71" t="s">
        <v>36</v>
      </c>
      <c r="G51" s="74" t="str">
        <f t="shared" si="19"/>
        <v>ICE</v>
      </c>
      <c r="H51" s="72" t="s">
        <v>75</v>
      </c>
      <c r="I51" s="71" t="str">
        <f t="shared" si="23"/>
        <v>F</v>
      </c>
      <c r="J51" s="71" t="str">
        <f t="shared" si="24"/>
        <v>LCV</v>
      </c>
      <c r="K51" s="71" t="str">
        <f t="shared" si="25"/>
        <v/>
      </c>
      <c r="L51" s="74" t="str">
        <f t="shared" si="26"/>
        <v>TFLCVODS-N</v>
      </c>
      <c r="M51" s="74" t="str">
        <f t="shared" si="27"/>
        <v>TFLCVODS-E</v>
      </c>
      <c r="N51" s="75" cm="1">
        <f t="array" ref="N51">INDEX(VehicleCostData2022!$T$16:$T$86,MATCH(1,(VehicleCostData2022!$R$16:$R$86=$E51)*(VehicleCostData2022!$S$16:$S$86=$F51),0))</f>
        <v>838990</v>
      </c>
      <c r="O51" s="73">
        <f t="shared" si="28"/>
        <v>819113.5799480523</v>
      </c>
      <c r="P51" s="73">
        <f t="shared" si="28"/>
        <v>827337.54588537244</v>
      </c>
      <c r="Q51" s="73">
        <f t="shared" si="28"/>
        <v>835644.08109927853</v>
      </c>
      <c r="R51" s="73">
        <f t="shared" si="28"/>
        <v>844034.01459191996</v>
      </c>
      <c r="S51" s="73">
        <f t="shared" si="28"/>
        <v>852508.18368869368</v>
      </c>
      <c r="T51" s="73">
        <f t="shared" si="28"/>
        <v>861067.43412181083</v>
      </c>
      <c r="U51" s="73">
        <f t="shared" si="28"/>
        <v>869712.62011470122</v>
      </c>
      <c r="V51" s="73">
        <f t="shared" si="28"/>
        <v>878444.60446726717</v>
      </c>
      <c r="W51" s="73">
        <f t="shared" si="28"/>
        <v>887264.25864199048</v>
      </c>
      <c r="X51" s="92">
        <v>2.7E-2</v>
      </c>
      <c r="Y51" s="94">
        <f t="shared" si="21"/>
        <v>22652.73</v>
      </c>
      <c r="Z51" s="94">
        <f t="shared" si="10"/>
        <v>22116.06665859741</v>
      </c>
      <c r="AA51" s="94">
        <f t="shared" si="11"/>
        <v>22338.113738905056</v>
      </c>
      <c r="AB51" s="94">
        <f t="shared" si="12"/>
        <v>22562.390189680518</v>
      </c>
      <c r="AC51" s="94">
        <f t="shared" si="13"/>
        <v>22788.918393981839</v>
      </c>
      <c r="AD51" s="94">
        <f t="shared" si="14"/>
        <v>23017.720959594728</v>
      </c>
      <c r="AE51" s="94">
        <f t="shared" si="15"/>
        <v>23248.820721288892</v>
      </c>
      <c r="AF51" s="94">
        <f t="shared" si="16"/>
        <v>23482.240743096932</v>
      </c>
      <c r="AG51" s="94">
        <f t="shared" si="17"/>
        <v>23718.004320616212</v>
      </c>
      <c r="AH51" s="94">
        <f t="shared" si="18"/>
        <v>23956.134983333744</v>
      </c>
    </row>
    <row r="52" spans="1:34" x14ac:dyDescent="0.25">
      <c r="A52" s="71" t="s">
        <v>16</v>
      </c>
      <c r="B52" s="71" t="s">
        <v>27</v>
      </c>
      <c r="C52" s="71" t="s">
        <v>3</v>
      </c>
      <c r="D52" s="71" t="s">
        <v>34</v>
      </c>
      <c r="E52" s="71" t="s">
        <v>46</v>
      </c>
      <c r="F52" s="71" t="s">
        <v>38</v>
      </c>
      <c r="G52" s="74" t="str">
        <f t="shared" si="19"/>
        <v>HEV</v>
      </c>
      <c r="H52" s="72" t="s">
        <v>75</v>
      </c>
      <c r="I52" s="71" t="str">
        <f t="shared" si="23"/>
        <v>F</v>
      </c>
      <c r="J52" s="71" t="str">
        <f t="shared" si="24"/>
        <v>LCV</v>
      </c>
      <c r="K52" s="71" t="str">
        <f t="shared" si="25"/>
        <v/>
      </c>
      <c r="L52" s="74" t="str">
        <f t="shared" si="26"/>
        <v>TFLCVODSH-N</v>
      </c>
      <c r="M52" s="74" t="str">
        <f t="shared" si="27"/>
        <v>TFLCVODSH-E</v>
      </c>
      <c r="N52" s="75" cm="1">
        <f t="array" ref="N52">INDEX(VehicleCostData2022!$T$16:$T$86,MATCH(1,(VehicleCostData2022!$R$16:$R$86=$E52)*(VehicleCostData2022!$S$16:$S$86=$F52),0))</f>
        <v>944714.92524562147</v>
      </c>
      <c r="O52" s="73">
        <f t="shared" si="28"/>
        <v>1968543.291670077</v>
      </c>
      <c r="P52" s="73">
        <f t="shared" si="28"/>
        <v>1541948.1389932295</v>
      </c>
      <c r="Q52" s="73">
        <f t="shared" si="28"/>
        <v>1115352.9863163552</v>
      </c>
      <c r="R52" s="73">
        <f t="shared" si="28"/>
        <v>908866.36781442747</v>
      </c>
      <c r="S52" s="73">
        <f t="shared" si="28"/>
        <v>849118.77209576848</v>
      </c>
      <c r="T52" s="73">
        <f t="shared" si="28"/>
        <v>850524.59787738242</v>
      </c>
      <c r="U52" s="73">
        <f t="shared" si="28"/>
        <v>851930.42365899798</v>
      </c>
      <c r="V52" s="73">
        <f t="shared" si="28"/>
        <v>853336.24944061344</v>
      </c>
      <c r="W52" s="73">
        <f t="shared" si="28"/>
        <v>854742.075222229</v>
      </c>
      <c r="X52" s="92">
        <v>2.7E-2</v>
      </c>
      <c r="Y52" s="94">
        <f t="shared" si="21"/>
        <v>25507.302981631779</v>
      </c>
      <c r="Z52" s="94">
        <f t="shared" si="10"/>
        <v>53150.66887509208</v>
      </c>
      <c r="AA52" s="94">
        <f t="shared" si="11"/>
        <v>41632.599752817194</v>
      </c>
      <c r="AB52" s="94">
        <f t="shared" si="12"/>
        <v>30114.530630541591</v>
      </c>
      <c r="AC52" s="94">
        <f t="shared" si="13"/>
        <v>24539.391930989543</v>
      </c>
      <c r="AD52" s="94">
        <f t="shared" si="14"/>
        <v>22926.206846585748</v>
      </c>
      <c r="AE52" s="94">
        <f t="shared" si="15"/>
        <v>22964.164142689326</v>
      </c>
      <c r="AF52" s="94">
        <f t="shared" si="16"/>
        <v>23002.121438792947</v>
      </c>
      <c r="AG52" s="94">
        <f t="shared" si="17"/>
        <v>23040.078734896564</v>
      </c>
      <c r="AH52" s="94">
        <f t="shared" si="18"/>
        <v>23078.036031000182</v>
      </c>
    </row>
    <row r="53" spans="1:34" x14ac:dyDescent="0.25">
      <c r="A53" s="71" t="s">
        <v>9</v>
      </c>
      <c r="B53" s="71" t="s">
        <v>27</v>
      </c>
      <c r="C53" s="71" t="s">
        <v>3</v>
      </c>
      <c r="D53" s="71" t="s">
        <v>34</v>
      </c>
      <c r="E53" s="71" t="s">
        <v>46</v>
      </c>
      <c r="F53" s="71" t="s">
        <v>41</v>
      </c>
      <c r="G53" s="74" t="str">
        <f t="shared" si="19"/>
        <v>BEV</v>
      </c>
      <c r="H53" s="72" t="s">
        <v>75</v>
      </c>
      <c r="I53" s="71" t="str">
        <f t="shared" si="23"/>
        <v>F</v>
      </c>
      <c r="J53" s="71" t="str">
        <f t="shared" si="24"/>
        <v>LCV</v>
      </c>
      <c r="K53" s="71" t="str">
        <f t="shared" si="25"/>
        <v/>
      </c>
      <c r="L53" s="74" t="str">
        <f t="shared" si="26"/>
        <v>TFLCVELC-N</v>
      </c>
      <c r="M53" s="74" t="str">
        <f t="shared" si="27"/>
        <v>TFLCVELC-E</v>
      </c>
      <c r="N53" s="75" cm="1">
        <f t="array" ref="N53">INDEX(VehicleCostData2022!$T$16:$T$86,MATCH(1,(VehicleCostData2022!$R$16:$R$86=$E53)*(VehicleCostData2022!$S$16:$S$86=$F53),0))</f>
        <v>1063008</v>
      </c>
      <c r="O53" s="73">
        <f t="shared" si="28"/>
        <v>3785483.1346996538</v>
      </c>
      <c r="P53" s="73">
        <f t="shared" si="28"/>
        <v>2651118.4952414548</v>
      </c>
      <c r="Q53" s="73">
        <f t="shared" si="28"/>
        <v>1516753.8557832555</v>
      </c>
      <c r="R53" s="73">
        <f t="shared" si="28"/>
        <v>967726.18536585721</v>
      </c>
      <c r="S53" s="73">
        <f t="shared" si="28"/>
        <v>808923.16097561421</v>
      </c>
      <c r="T53" s="73">
        <f t="shared" si="28"/>
        <v>784292.4878048785</v>
      </c>
      <c r="U53" s="73">
        <f t="shared" si="28"/>
        <v>759661.81463414652</v>
      </c>
      <c r="V53" s="73">
        <f t="shared" si="28"/>
        <v>735031.14146341453</v>
      </c>
      <c r="W53" s="73">
        <f t="shared" si="28"/>
        <v>710400.46829268266</v>
      </c>
      <c r="X53" s="92">
        <v>2.0250000000000001E-2</v>
      </c>
      <c r="Y53" s="94">
        <f t="shared" si="21"/>
        <v>21525.912</v>
      </c>
      <c r="Z53" s="94">
        <f t="shared" si="10"/>
        <v>76656.033477667996</v>
      </c>
      <c r="AA53" s="94">
        <f t="shared" si="11"/>
        <v>53685.149528639464</v>
      </c>
      <c r="AB53" s="94">
        <f t="shared" si="12"/>
        <v>30714.265579610925</v>
      </c>
      <c r="AC53" s="94">
        <f t="shared" si="13"/>
        <v>19596.455253658609</v>
      </c>
      <c r="AD53" s="94">
        <f t="shared" si="14"/>
        <v>16380.694009756189</v>
      </c>
      <c r="AE53" s="94">
        <f t="shared" si="15"/>
        <v>15881.92287804879</v>
      </c>
      <c r="AF53" s="94">
        <f t="shared" si="16"/>
        <v>15383.151746341468</v>
      </c>
      <c r="AG53" s="94">
        <f t="shared" si="17"/>
        <v>14884.380614634145</v>
      </c>
      <c r="AH53" s="94">
        <f t="shared" si="18"/>
        <v>14385.609482926824</v>
      </c>
    </row>
    <row r="54" spans="1:34" x14ac:dyDescent="0.25">
      <c r="A54" s="71" t="s">
        <v>264</v>
      </c>
      <c r="B54" s="71" t="s">
        <v>27</v>
      </c>
      <c r="C54" s="71" t="s">
        <v>3</v>
      </c>
      <c r="D54" s="71" t="s">
        <v>34</v>
      </c>
      <c r="E54" s="71" t="s">
        <v>46</v>
      </c>
      <c r="F54" s="71" t="s">
        <v>44</v>
      </c>
      <c r="G54" s="74" t="str">
        <f>IF(A54="HGNF",A54,RIGHT(F54,3))</f>
        <v>HGNF</v>
      </c>
      <c r="H54" s="72" t="s">
        <v>75</v>
      </c>
      <c r="I54" s="71" t="str">
        <f t="shared" si="23"/>
        <v>F</v>
      </c>
      <c r="J54" s="71" t="str">
        <f t="shared" si="24"/>
        <v>LCV</v>
      </c>
      <c r="K54" s="71" t="str">
        <f t="shared" si="25"/>
        <v/>
      </c>
      <c r="L54" s="74" t="str">
        <f t="shared" si="26"/>
        <v>TFLCVHGNF-N</v>
      </c>
      <c r="M54" s="74" t="str">
        <f t="shared" si="27"/>
        <v>TFLCVHGNF-E</v>
      </c>
      <c r="N54" s="75" cm="1">
        <f t="array" ref="N54">INDEX(VehicleCostData2022!$T$16:$T$86,MATCH(1,(VehicleCostData2022!$R$16:$R$86=$E54)*(VehicleCostData2022!$S$16:$S$86=$F54),0))</f>
        <v>2714407.1044142176</v>
      </c>
      <c r="O54" s="73">
        <f t="shared" si="28"/>
        <v>9666288.7903655879</v>
      </c>
      <c r="P54" s="73">
        <f t="shared" si="28"/>
        <v>6769671.421219158</v>
      </c>
      <c r="Q54" s="73">
        <f t="shared" si="28"/>
        <v>3873054.0520727281</v>
      </c>
      <c r="R54" s="73">
        <f t="shared" si="28"/>
        <v>2471103.5407868549</v>
      </c>
      <c r="S54" s="73">
        <f t="shared" si="28"/>
        <v>2065597.6014079039</v>
      </c>
      <c r="T54" s="73">
        <f t="shared" si="28"/>
        <v>2002702.8026470763</v>
      </c>
      <c r="U54" s="73">
        <f t="shared" si="28"/>
        <v>1939808.0038862585</v>
      </c>
      <c r="V54" s="73">
        <f t="shared" si="28"/>
        <v>1876913.2051254406</v>
      </c>
      <c r="W54" s="73">
        <f t="shared" si="28"/>
        <v>1814018.4063646228</v>
      </c>
      <c r="X54" s="92">
        <v>2.0250000000000001E-2</v>
      </c>
      <c r="Y54" s="94">
        <f t="shared" si="21"/>
        <v>54966.743864387907</v>
      </c>
      <c r="Z54" s="94">
        <f t="shared" si="10"/>
        <v>195742.34800490315</v>
      </c>
      <c r="AA54" s="94">
        <f t="shared" si="11"/>
        <v>137085.84627968795</v>
      </c>
      <c r="AB54" s="94">
        <f t="shared" si="12"/>
        <v>78429.344554472744</v>
      </c>
      <c r="AC54" s="94">
        <f t="shared" si="13"/>
        <v>50039.846700933813</v>
      </c>
      <c r="AD54" s="94">
        <f t="shared" si="14"/>
        <v>41828.351428510054</v>
      </c>
      <c r="AE54" s="94">
        <f t="shared" si="15"/>
        <v>40554.731753603293</v>
      </c>
      <c r="AF54" s="94">
        <f t="shared" si="16"/>
        <v>39281.112078696737</v>
      </c>
      <c r="AG54" s="94">
        <f t="shared" si="17"/>
        <v>38007.492403790173</v>
      </c>
      <c r="AH54" s="94">
        <f t="shared" si="18"/>
        <v>36733.872728883609</v>
      </c>
    </row>
    <row r="55" spans="1:34" x14ac:dyDescent="0.25">
      <c r="A55" s="71" t="s">
        <v>12</v>
      </c>
      <c r="B55" s="71" t="s">
        <v>27</v>
      </c>
      <c r="C55" s="71" t="s">
        <v>3</v>
      </c>
      <c r="D55" s="71" t="s">
        <v>34</v>
      </c>
      <c r="E55" s="71" t="s">
        <v>46</v>
      </c>
      <c r="F55" s="71" t="s">
        <v>45</v>
      </c>
      <c r="G55" s="74" t="str">
        <f t="shared" si="19"/>
        <v>ICE</v>
      </c>
      <c r="H55" s="72" t="s">
        <v>75</v>
      </c>
      <c r="I55" s="71" t="str">
        <f t="shared" si="23"/>
        <v>F</v>
      </c>
      <c r="J55" s="71" t="str">
        <f t="shared" si="24"/>
        <v>LCV</v>
      </c>
      <c r="K55" s="71" t="str">
        <f t="shared" si="25"/>
        <v/>
      </c>
      <c r="L55" s="74" t="str">
        <f t="shared" si="26"/>
        <v>TFLCVGAS-N</v>
      </c>
      <c r="M55" s="74" t="str">
        <f t="shared" si="27"/>
        <v>TFLCVGAS-E</v>
      </c>
      <c r="N55" s="75" cm="1">
        <f t="array" ref="N55">INDEX(VehicleCostData2022!$T$16:$T$86,MATCH(1,(VehicleCostData2022!$R$16:$R$86=$E55)*(VehicleCostData2022!$S$16:$S$86=$F55),0))</f>
        <v>922889.00000000012</v>
      </c>
      <c r="O55" s="73">
        <f t="shared" si="28"/>
        <v>901024.93794285762</v>
      </c>
      <c r="P55" s="73">
        <f t="shared" si="28"/>
        <v>910071.30047390983</v>
      </c>
      <c r="Q55" s="73">
        <f t="shared" si="28"/>
        <v>919208.48920920654</v>
      </c>
      <c r="R55" s="73">
        <f t="shared" si="28"/>
        <v>928437.416051112</v>
      </c>
      <c r="S55" s="73">
        <f t="shared" si="28"/>
        <v>937759.00205756316</v>
      </c>
      <c r="T55" s="73">
        <f t="shared" si="28"/>
        <v>947174.17753399198</v>
      </c>
      <c r="U55" s="73">
        <f t="shared" si="28"/>
        <v>956683.88212617149</v>
      </c>
      <c r="V55" s="73">
        <f t="shared" si="28"/>
        <v>966289.06491399405</v>
      </c>
      <c r="W55" s="73">
        <f t="shared" si="28"/>
        <v>975990.68450618966</v>
      </c>
      <c r="X55" s="92">
        <v>2.7E-2</v>
      </c>
      <c r="Y55" s="94">
        <f t="shared" si="21"/>
        <v>24918.003000000004</v>
      </c>
      <c r="Z55" s="94">
        <f t="shared" si="10"/>
        <v>24327.673324457155</v>
      </c>
      <c r="AA55" s="94">
        <f t="shared" si="11"/>
        <v>24571.925112795565</v>
      </c>
      <c r="AB55" s="94">
        <f t="shared" si="12"/>
        <v>24818.629208648577</v>
      </c>
      <c r="AC55" s="94">
        <f t="shared" si="13"/>
        <v>25067.810233380023</v>
      </c>
      <c r="AD55" s="94">
        <f t="shared" si="14"/>
        <v>25319.493055554205</v>
      </c>
      <c r="AE55" s="94">
        <f t="shared" si="15"/>
        <v>25573.702793417782</v>
      </c>
      <c r="AF55" s="94">
        <f t="shared" si="16"/>
        <v>25830.464817406631</v>
      </c>
      <c r="AG55" s="94">
        <f t="shared" si="17"/>
        <v>26089.804752677839</v>
      </c>
      <c r="AH55" s="94">
        <f t="shared" si="18"/>
        <v>26351.74848166712</v>
      </c>
    </row>
    <row r="56" spans="1:34" x14ac:dyDescent="0.25">
      <c r="A56" s="71" t="s">
        <v>13</v>
      </c>
      <c r="B56" s="71" t="s">
        <v>27</v>
      </c>
      <c r="C56" s="71" t="s">
        <v>49</v>
      </c>
      <c r="D56" s="71" t="s">
        <v>36</v>
      </c>
      <c r="E56" s="71" t="s">
        <v>50</v>
      </c>
      <c r="F56" s="71" t="s">
        <v>36</v>
      </c>
      <c r="G56" s="74" t="str">
        <f t="shared" si="19"/>
        <v>ICE</v>
      </c>
      <c r="H56" s="72" t="s">
        <v>75</v>
      </c>
      <c r="I56" s="71" t="str">
        <f t="shared" si="23"/>
        <v>F</v>
      </c>
      <c r="J56" s="71" t="str">
        <f t="shared" si="24"/>
        <v>HCV1</v>
      </c>
      <c r="K56" s="71" t="str">
        <f t="shared" si="25"/>
        <v/>
      </c>
      <c r="L56" s="74" t="str">
        <f t="shared" si="26"/>
        <v>TFHCV1ODS-N</v>
      </c>
      <c r="M56" s="74" t="str">
        <f t="shared" si="27"/>
        <v>TFHCV1ODS-E</v>
      </c>
      <c r="N56" s="75" cm="1">
        <f t="array" ref="N56">INDEX(VehicleCostData2022!$T$16:$T$86,MATCH(1,(VehicleCostData2022!$R$16:$R$86=$E56)*(VehicleCostData2022!$S$16:$S$86=$F56),0))</f>
        <v>524668.23529411759</v>
      </c>
      <c r="O56" s="73">
        <f t="shared" si="28"/>
        <v>512238.37768840115</v>
      </c>
      <c r="P56" s="73">
        <f t="shared" si="28"/>
        <v>517381.29202045838</v>
      </c>
      <c r="Q56" s="73">
        <f t="shared" si="28"/>
        <v>522575.84162425413</v>
      </c>
      <c r="R56" s="73">
        <f t="shared" si="28"/>
        <v>527822.5449220516</v>
      </c>
      <c r="S56" s="73">
        <f t="shared" si="28"/>
        <v>533121.92554111534</v>
      </c>
      <c r="T56" s="73">
        <f t="shared" si="28"/>
        <v>538474.51236596901</v>
      </c>
      <c r="U56" s="73">
        <f t="shared" si="28"/>
        <v>543880.83959117939</v>
      </c>
      <c r="V56" s="73">
        <f t="shared" si="28"/>
        <v>549341.44677466981</v>
      </c>
      <c r="W56" s="73">
        <f t="shared" si="28"/>
        <v>554856.87889156805</v>
      </c>
      <c r="X56" s="92">
        <v>2.7E-2</v>
      </c>
      <c r="Y56" s="94">
        <f t="shared" si="21"/>
        <v>14166.042352941175</v>
      </c>
      <c r="Z56" s="94">
        <f t="shared" si="10"/>
        <v>13830.436197586831</v>
      </c>
      <c r="AA56" s="94">
        <f t="shared" si="11"/>
        <v>13969.294884552377</v>
      </c>
      <c r="AB56" s="94">
        <f t="shared" si="12"/>
        <v>14109.547723854861</v>
      </c>
      <c r="AC56" s="94">
        <f t="shared" si="13"/>
        <v>14251.208712895394</v>
      </c>
      <c r="AD56" s="94">
        <f t="shared" si="14"/>
        <v>14394.291989610114</v>
      </c>
      <c r="AE56" s="94">
        <f t="shared" si="15"/>
        <v>14538.811833881164</v>
      </c>
      <c r="AF56" s="94">
        <f t="shared" si="16"/>
        <v>14684.782668961843</v>
      </c>
      <c r="AG56" s="94">
        <f t="shared" si="17"/>
        <v>14832.219062916085</v>
      </c>
      <c r="AH56" s="94">
        <f t="shared" si="18"/>
        <v>14981.135730072338</v>
      </c>
    </row>
    <row r="57" spans="1:34" x14ac:dyDescent="0.25">
      <c r="A57" s="71" t="s">
        <v>21</v>
      </c>
      <c r="B57" s="71" t="s">
        <v>27</v>
      </c>
      <c r="C57" s="71" t="s">
        <v>49</v>
      </c>
      <c r="D57" s="71" t="s">
        <v>36</v>
      </c>
      <c r="E57" s="71" t="s">
        <v>50</v>
      </c>
      <c r="F57" s="71" t="s">
        <v>34</v>
      </c>
      <c r="G57" s="74" t="str">
        <f t="shared" si="19"/>
        <v>ICE</v>
      </c>
      <c r="H57" s="72" t="s">
        <v>75</v>
      </c>
      <c r="I57" s="71" t="str">
        <f t="shared" si="23"/>
        <v>F</v>
      </c>
      <c r="J57" s="71" t="str">
        <f t="shared" si="24"/>
        <v>HCV1</v>
      </c>
      <c r="K57" s="71" t="str">
        <f t="shared" si="25"/>
        <v/>
      </c>
      <c r="L57" s="74" t="str">
        <f t="shared" si="26"/>
        <v>TFHCV1OGS-N</v>
      </c>
      <c r="M57" s="74" t="str">
        <f t="shared" si="27"/>
        <v>TFHCV1OGS-E</v>
      </c>
      <c r="N57" s="75" cm="1">
        <f t="array" ref="N57">INDEX(VehicleCostData2022!$T$16:$T$86,MATCH(1,(VehicleCostData2022!$R$16:$R$86=$E57)*(VehicleCostData2022!$S$16:$S$86=$F57),0))</f>
        <v>413379.15922975913</v>
      </c>
      <c r="O57" s="73">
        <f t="shared" si="28"/>
        <v>403585.83891655912</v>
      </c>
      <c r="P57" s="73">
        <f t="shared" si="28"/>
        <v>407637.87305844825</v>
      </c>
      <c r="Q57" s="73">
        <f t="shared" si="28"/>
        <v>411730.58994760894</v>
      </c>
      <c r="R57" s="73">
        <f t="shared" si="28"/>
        <v>415864.39804208168</v>
      </c>
      <c r="S57" s="73">
        <f t="shared" si="28"/>
        <v>420039.70990085846</v>
      </c>
      <c r="T57" s="73">
        <f t="shared" si="28"/>
        <v>424256.94222505653</v>
      </c>
      <c r="U57" s="73">
        <f t="shared" si="28"/>
        <v>428516.51589950547</v>
      </c>
      <c r="V57" s="73">
        <f t="shared" si="28"/>
        <v>432818.85603475274</v>
      </c>
      <c r="W57" s="73">
        <f t="shared" si="28"/>
        <v>437164.39200948947</v>
      </c>
      <c r="X57" s="92">
        <v>2.7E-2</v>
      </c>
      <c r="Y57" s="94">
        <f t="shared" si="21"/>
        <v>11161.237299203496</v>
      </c>
      <c r="Z57" s="94">
        <f t="shared" si="10"/>
        <v>10896.817650747096</v>
      </c>
      <c r="AA57" s="94">
        <f t="shared" si="11"/>
        <v>11006.222572578103</v>
      </c>
      <c r="AB57" s="94">
        <f t="shared" si="12"/>
        <v>11116.725928585442</v>
      </c>
      <c r="AC57" s="94">
        <f t="shared" si="13"/>
        <v>11228.338747136206</v>
      </c>
      <c r="AD57" s="94">
        <f t="shared" si="14"/>
        <v>11341.072167323178</v>
      </c>
      <c r="AE57" s="94">
        <f t="shared" si="15"/>
        <v>11454.937440076526</v>
      </c>
      <c r="AF57" s="94">
        <f t="shared" si="16"/>
        <v>11569.945929286647</v>
      </c>
      <c r="AG57" s="94">
        <f t="shared" si="17"/>
        <v>11686.109112938324</v>
      </c>
      <c r="AH57" s="94">
        <f t="shared" si="18"/>
        <v>11803.438584256215</v>
      </c>
    </row>
    <row r="58" spans="1:34" x14ac:dyDescent="0.25">
      <c r="A58" s="71" t="s">
        <v>9</v>
      </c>
      <c r="B58" s="71" t="s">
        <v>27</v>
      </c>
      <c r="C58" s="71" t="s">
        <v>49</v>
      </c>
      <c r="D58" s="71" t="s">
        <v>36</v>
      </c>
      <c r="E58" s="71" t="s">
        <v>50</v>
      </c>
      <c r="F58" s="71" t="s">
        <v>41</v>
      </c>
      <c r="G58" s="74" t="str">
        <f t="shared" si="19"/>
        <v>BEV</v>
      </c>
      <c r="H58" s="72" t="s">
        <v>75</v>
      </c>
      <c r="I58" s="71" t="str">
        <f t="shared" si="23"/>
        <v>F</v>
      </c>
      <c r="J58" s="71" t="str">
        <f t="shared" si="24"/>
        <v>HCV1</v>
      </c>
      <c r="K58" s="71" t="str">
        <f t="shared" si="25"/>
        <v/>
      </c>
      <c r="L58" s="74" t="str">
        <f t="shared" si="26"/>
        <v>TFHCV1ELC-N</v>
      </c>
      <c r="M58" s="74" t="str">
        <f t="shared" si="27"/>
        <v>TFHCV1ELC-E</v>
      </c>
      <c r="N58" s="75" cm="1">
        <f t="array" ref="N58">INDEX(VehicleCostData2022!$T$16:$T$86,MATCH(1,(VehicleCostData2022!$R$16:$R$86=$E58)*(VehicleCostData2022!$S$16:$S$86=$F58),0))</f>
        <v>814322.82352941181</v>
      </c>
      <c r="O58" s="73">
        <f t="shared" si="28"/>
        <v>2899889.1021249047</v>
      </c>
      <c r="P58" s="73">
        <f t="shared" si="28"/>
        <v>2030903.1527101083</v>
      </c>
      <c r="Q58" s="73">
        <f t="shared" si="28"/>
        <v>1161917.2032953119</v>
      </c>
      <c r="R58" s="73">
        <f t="shared" si="28"/>
        <v>741331.69239598559</v>
      </c>
      <c r="S58" s="73">
        <f t="shared" si="28"/>
        <v>619679.80717360461</v>
      </c>
      <c r="T58" s="73">
        <f t="shared" si="28"/>
        <v>600811.35150645662</v>
      </c>
      <c r="U58" s="73">
        <f t="shared" si="28"/>
        <v>581942.89583931153</v>
      </c>
      <c r="V58" s="73">
        <f t="shared" si="28"/>
        <v>563074.44017216645</v>
      </c>
      <c r="W58" s="73">
        <f t="shared" si="28"/>
        <v>544205.98450502136</v>
      </c>
      <c r="X58" s="92">
        <v>2.0250000000000001E-2</v>
      </c>
      <c r="Y58" s="94">
        <f t="shared" si="21"/>
        <v>16490.037176470589</v>
      </c>
      <c r="Z58" s="94">
        <f t="shared" si="10"/>
        <v>58722.754318029321</v>
      </c>
      <c r="AA58" s="94">
        <f t="shared" si="11"/>
        <v>41125.788842379698</v>
      </c>
      <c r="AB58" s="94">
        <f t="shared" si="12"/>
        <v>23528.823366730066</v>
      </c>
      <c r="AC58" s="94">
        <f t="shared" si="13"/>
        <v>15011.96677101871</v>
      </c>
      <c r="AD58" s="94">
        <f t="shared" si="14"/>
        <v>12548.516095265493</v>
      </c>
      <c r="AE58" s="94">
        <f t="shared" si="15"/>
        <v>12166.429868005747</v>
      </c>
      <c r="AF58" s="94">
        <f t="shared" si="16"/>
        <v>11784.343640746059</v>
      </c>
      <c r="AG58" s="94">
        <f t="shared" si="17"/>
        <v>11402.257413486372</v>
      </c>
      <c r="AH58" s="94">
        <f t="shared" si="18"/>
        <v>11020.171186226682</v>
      </c>
    </row>
    <row r="59" spans="1:34" x14ac:dyDescent="0.25">
      <c r="A59" s="95" t="s">
        <v>10</v>
      </c>
      <c r="B59" s="71" t="s">
        <v>27</v>
      </c>
      <c r="C59" s="71" t="s">
        <v>49</v>
      </c>
      <c r="D59" s="71" t="s">
        <v>36</v>
      </c>
      <c r="E59" s="71" t="s">
        <v>50</v>
      </c>
      <c r="F59" s="71" t="s">
        <v>44</v>
      </c>
      <c r="G59" s="95" t="s">
        <v>264</v>
      </c>
      <c r="H59" s="72" t="s">
        <v>75</v>
      </c>
      <c r="I59" s="71" t="str">
        <f t="shared" si="23"/>
        <v>F</v>
      </c>
      <c r="J59" s="71" t="str">
        <f t="shared" si="24"/>
        <v>HCV1</v>
      </c>
      <c r="K59" s="71" t="str">
        <f t="shared" si="25"/>
        <v/>
      </c>
      <c r="L59" s="74" t="str">
        <f t="shared" si="26"/>
        <v>TFHCV1HGN-N</v>
      </c>
      <c r="M59" s="74" t="str">
        <f t="shared" si="27"/>
        <v>TFHCV1HGN-E</v>
      </c>
      <c r="N59" s="75" cm="1">
        <f t="array" ref="N59">INDEX(VehicleCostData2022!$T$16:$T$86,MATCH(1,(VehicleCostData2022!$R$16:$R$86=$E59)*(VehicleCostData2022!$S$16:$S$86=$F59),0))</f>
        <v>1189638.0676295361</v>
      </c>
      <c r="O59" s="73">
        <f t="shared" si="28"/>
        <v>4236426.1053616675</v>
      </c>
      <c r="P59" s="73">
        <f t="shared" si="28"/>
        <v>2966931.0896399347</v>
      </c>
      <c r="Q59" s="73">
        <f t="shared" si="28"/>
        <v>1697436.0739182022</v>
      </c>
      <c r="R59" s="73">
        <f t="shared" si="28"/>
        <v>1083005.8749822585</v>
      </c>
      <c r="S59" s="73">
        <f t="shared" si="28"/>
        <v>905285.55390345689</v>
      </c>
      <c r="T59" s="73">
        <f t="shared" si="28"/>
        <v>877720.76940959727</v>
      </c>
      <c r="U59" s="73">
        <f t="shared" si="28"/>
        <v>850155.98491574195</v>
      </c>
      <c r="V59" s="73">
        <f t="shared" si="28"/>
        <v>822591.20042188652</v>
      </c>
      <c r="W59" s="73">
        <f t="shared" si="28"/>
        <v>795026.41592803109</v>
      </c>
      <c r="X59" s="92">
        <v>2.0250000000000001E-2</v>
      </c>
      <c r="Y59" s="94">
        <f t="shared" si="21"/>
        <v>24090.170869498106</v>
      </c>
      <c r="Z59" s="94">
        <f t="shared" si="10"/>
        <v>85787.628633573768</v>
      </c>
      <c r="AA59" s="94">
        <f t="shared" si="11"/>
        <v>60080.354565208683</v>
      </c>
      <c r="AB59" s="94">
        <f t="shared" si="12"/>
        <v>34373.080496843599</v>
      </c>
      <c r="AC59" s="94">
        <f t="shared" si="13"/>
        <v>21930.868968390736</v>
      </c>
      <c r="AD59" s="94">
        <f t="shared" si="14"/>
        <v>18332.032466545003</v>
      </c>
      <c r="AE59" s="94">
        <f t="shared" si="15"/>
        <v>17773.845580544345</v>
      </c>
      <c r="AF59" s="94">
        <f t="shared" si="16"/>
        <v>17215.658694543774</v>
      </c>
      <c r="AG59" s="94">
        <f t="shared" si="17"/>
        <v>16657.471808543203</v>
      </c>
      <c r="AH59" s="94">
        <f t="shared" si="18"/>
        <v>16099.284922542631</v>
      </c>
    </row>
    <row r="60" spans="1:34" x14ac:dyDescent="0.25">
      <c r="A60" s="71" t="s">
        <v>12</v>
      </c>
      <c r="B60" s="71" t="s">
        <v>27</v>
      </c>
      <c r="C60" s="71" t="s">
        <v>49</v>
      </c>
      <c r="D60" s="71" t="s">
        <v>36</v>
      </c>
      <c r="E60" s="71" t="s">
        <v>50</v>
      </c>
      <c r="F60" s="71" t="s">
        <v>45</v>
      </c>
      <c r="G60" s="74" t="str">
        <f t="shared" si="19"/>
        <v>ICE</v>
      </c>
      <c r="H60" s="72" t="s">
        <v>75</v>
      </c>
      <c r="I60" s="71" t="str">
        <f t="shared" si="23"/>
        <v>F</v>
      </c>
      <c r="J60" s="71" t="str">
        <f t="shared" si="24"/>
        <v>HCV1</v>
      </c>
      <c r="K60" s="71" t="str">
        <f t="shared" si="25"/>
        <v/>
      </c>
      <c r="L60" s="74" t="str">
        <f t="shared" si="26"/>
        <v>TFHCV1GAS-N</v>
      </c>
      <c r="M60" s="74" t="str">
        <f t="shared" si="27"/>
        <v>TFHCV1GAS-E</v>
      </c>
      <c r="N60" s="75" cm="1">
        <f t="array" ref="N60">INDEX(VehicleCostData2022!$T$16:$T$86,MATCH(1,(VehicleCostData2022!$R$16:$R$86=$E60)*(VehicleCostData2022!$S$16:$S$86=$F60),0))</f>
        <v>648193.49071566667</v>
      </c>
      <c r="O60" s="73">
        <f t="shared" ref="O60:W75" si="29">$N60*INDEX($O$3:$W$6,MATCH($G60,$K$3:$K$6,0),MATCH(O$10,$O$2:$W$2,0))</f>
        <v>632837.20983460394</v>
      </c>
      <c r="P60" s="73">
        <f t="shared" si="29"/>
        <v>639190.94609896734</v>
      </c>
      <c r="Q60" s="73">
        <f t="shared" si="29"/>
        <v>645608.47438423231</v>
      </c>
      <c r="R60" s="73">
        <f t="shared" si="29"/>
        <v>652090.43516739714</v>
      </c>
      <c r="S60" s="73">
        <f t="shared" si="29"/>
        <v>658637.47535590071</v>
      </c>
      <c r="T60" s="73">
        <f t="shared" si="29"/>
        <v>665250.24835218408</v>
      </c>
      <c r="U60" s="73">
        <f t="shared" si="29"/>
        <v>671929.4141189009</v>
      </c>
      <c r="V60" s="73">
        <f t="shared" si="29"/>
        <v>678675.63924478367</v>
      </c>
      <c r="W60" s="73">
        <f t="shared" si="29"/>
        <v>685489.59701116814</v>
      </c>
      <c r="X60" s="92">
        <v>2.7E-2</v>
      </c>
      <c r="Y60" s="94">
        <f t="shared" si="21"/>
        <v>17501.224249323001</v>
      </c>
      <c r="Z60" s="94">
        <f t="shared" si="10"/>
        <v>17086.604665534305</v>
      </c>
      <c r="AA60" s="94">
        <f t="shared" si="11"/>
        <v>17258.155544672118</v>
      </c>
      <c r="AB60" s="94">
        <f t="shared" si="12"/>
        <v>17431.428808374272</v>
      </c>
      <c r="AC60" s="94">
        <f t="shared" si="13"/>
        <v>17606.441749519723</v>
      </c>
      <c r="AD60" s="94">
        <f t="shared" si="14"/>
        <v>17783.211834609319</v>
      </c>
      <c r="AE60" s="94">
        <f t="shared" si="15"/>
        <v>17961.756705508971</v>
      </c>
      <c r="AF60" s="94">
        <f t="shared" si="16"/>
        <v>18142.094181210323</v>
      </c>
      <c r="AG60" s="94">
        <f t="shared" si="17"/>
        <v>18324.24225960916</v>
      </c>
      <c r="AH60" s="94">
        <f t="shared" si="18"/>
        <v>18508.219119301539</v>
      </c>
    </row>
    <row r="61" spans="1:34" x14ac:dyDescent="0.25">
      <c r="A61" s="71" t="s">
        <v>13</v>
      </c>
      <c r="B61" s="71" t="s">
        <v>27</v>
      </c>
      <c r="C61" s="71" t="s">
        <v>51</v>
      </c>
      <c r="D61" s="71" t="s">
        <v>36</v>
      </c>
      <c r="E61" s="71" t="s">
        <v>50</v>
      </c>
      <c r="F61" s="71" t="s">
        <v>36</v>
      </c>
      <c r="G61" s="74" t="str">
        <f t="shared" si="19"/>
        <v>ICE</v>
      </c>
      <c r="H61" s="72" t="s">
        <v>75</v>
      </c>
      <c r="I61" s="71" t="str">
        <f t="shared" si="23"/>
        <v>F</v>
      </c>
      <c r="J61" s="71" t="str">
        <f t="shared" si="24"/>
        <v>HCV2</v>
      </c>
      <c r="K61" s="71" t="str">
        <f t="shared" si="25"/>
        <v/>
      </c>
      <c r="L61" s="74" t="str">
        <f t="shared" si="26"/>
        <v>TFHCV2ODS-N</v>
      </c>
      <c r="M61" s="74" t="str">
        <f t="shared" si="27"/>
        <v>TFHCV2ODS-E</v>
      </c>
      <c r="N61" s="75" cm="1">
        <f t="array" ref="N61">INDEX(VehicleCostData2022!$T$16:$T$86,MATCH(1,(VehicleCostData2022!$R$16:$R$86=$E61)*(VehicleCostData2022!$S$16:$S$86=$F61),0))</f>
        <v>524668.23529411759</v>
      </c>
      <c r="O61" s="73">
        <f t="shared" si="29"/>
        <v>512238.37768840115</v>
      </c>
      <c r="P61" s="73">
        <f t="shared" si="29"/>
        <v>517381.29202045838</v>
      </c>
      <c r="Q61" s="73">
        <f t="shared" si="29"/>
        <v>522575.84162425413</v>
      </c>
      <c r="R61" s="73">
        <f t="shared" si="29"/>
        <v>527822.5449220516</v>
      </c>
      <c r="S61" s="73">
        <f t="shared" si="29"/>
        <v>533121.92554111534</v>
      </c>
      <c r="T61" s="73">
        <f t="shared" si="29"/>
        <v>538474.51236596901</v>
      </c>
      <c r="U61" s="73">
        <f t="shared" si="29"/>
        <v>543880.83959117939</v>
      </c>
      <c r="V61" s="73">
        <f t="shared" si="29"/>
        <v>549341.44677466981</v>
      </c>
      <c r="W61" s="73">
        <f t="shared" si="29"/>
        <v>554856.87889156805</v>
      </c>
      <c r="X61" s="92">
        <v>2.7E-2</v>
      </c>
      <c r="Y61" s="94">
        <f t="shared" si="21"/>
        <v>14166.042352941175</v>
      </c>
      <c r="Z61" s="94">
        <f t="shared" si="10"/>
        <v>13830.436197586831</v>
      </c>
      <c r="AA61" s="94">
        <f t="shared" si="11"/>
        <v>13969.294884552377</v>
      </c>
      <c r="AB61" s="94">
        <f t="shared" si="12"/>
        <v>14109.547723854861</v>
      </c>
      <c r="AC61" s="94">
        <f t="shared" si="13"/>
        <v>14251.208712895394</v>
      </c>
      <c r="AD61" s="94">
        <f t="shared" si="14"/>
        <v>14394.291989610114</v>
      </c>
      <c r="AE61" s="94">
        <f t="shared" si="15"/>
        <v>14538.811833881164</v>
      </c>
      <c r="AF61" s="94">
        <f t="shared" si="16"/>
        <v>14684.782668961843</v>
      </c>
      <c r="AG61" s="94">
        <f t="shared" si="17"/>
        <v>14832.219062916085</v>
      </c>
      <c r="AH61" s="94">
        <f t="shared" si="18"/>
        <v>14981.135730072338</v>
      </c>
    </row>
    <row r="62" spans="1:34" x14ac:dyDescent="0.25">
      <c r="A62" s="71" t="s">
        <v>9</v>
      </c>
      <c r="B62" s="71" t="s">
        <v>27</v>
      </c>
      <c r="C62" s="71" t="s">
        <v>51</v>
      </c>
      <c r="D62" s="71" t="s">
        <v>36</v>
      </c>
      <c r="E62" s="71" t="s">
        <v>50</v>
      </c>
      <c r="F62" s="71" t="s">
        <v>41</v>
      </c>
      <c r="G62" s="74" t="str">
        <f t="shared" si="19"/>
        <v>BEV</v>
      </c>
      <c r="H62" s="72" t="s">
        <v>75</v>
      </c>
      <c r="I62" s="71" t="str">
        <f t="shared" si="23"/>
        <v>F</v>
      </c>
      <c r="J62" s="71" t="str">
        <f t="shared" si="24"/>
        <v>HCV2</v>
      </c>
      <c r="K62" s="71" t="str">
        <f t="shared" si="25"/>
        <v/>
      </c>
      <c r="L62" s="74" t="str">
        <f t="shared" si="26"/>
        <v>TFHCV2ELC-N</v>
      </c>
      <c r="M62" s="74" t="str">
        <f t="shared" si="27"/>
        <v>TFHCV2ELC-E</v>
      </c>
      <c r="N62" s="75" cm="1">
        <f t="array" ref="N62">INDEX(VehicleCostData2022!$T$16:$T$86,MATCH(1,(VehicleCostData2022!$R$16:$R$86=$E62)*(VehicleCostData2022!$S$16:$S$86=$F62),0))</f>
        <v>814322.82352941181</v>
      </c>
      <c r="O62" s="73">
        <f t="shared" si="29"/>
        <v>2899889.1021249047</v>
      </c>
      <c r="P62" s="73">
        <f t="shared" si="29"/>
        <v>2030903.1527101083</v>
      </c>
      <c r="Q62" s="73">
        <f t="shared" si="29"/>
        <v>1161917.2032953119</v>
      </c>
      <c r="R62" s="73">
        <f t="shared" si="29"/>
        <v>741331.69239598559</v>
      </c>
      <c r="S62" s="73">
        <f t="shared" si="29"/>
        <v>619679.80717360461</v>
      </c>
      <c r="T62" s="73">
        <f t="shared" si="29"/>
        <v>600811.35150645662</v>
      </c>
      <c r="U62" s="73">
        <f t="shared" si="29"/>
        <v>581942.89583931153</v>
      </c>
      <c r="V62" s="73">
        <f t="shared" si="29"/>
        <v>563074.44017216645</v>
      </c>
      <c r="W62" s="73">
        <f t="shared" si="29"/>
        <v>544205.98450502136</v>
      </c>
      <c r="X62" s="92">
        <v>2.0250000000000001E-2</v>
      </c>
      <c r="Y62" s="94">
        <f t="shared" si="21"/>
        <v>16490.037176470589</v>
      </c>
      <c r="Z62" s="94">
        <f t="shared" si="10"/>
        <v>58722.754318029321</v>
      </c>
      <c r="AA62" s="94">
        <f t="shared" si="11"/>
        <v>41125.788842379698</v>
      </c>
      <c r="AB62" s="94">
        <f t="shared" si="12"/>
        <v>23528.823366730066</v>
      </c>
      <c r="AC62" s="94">
        <f t="shared" si="13"/>
        <v>15011.96677101871</v>
      </c>
      <c r="AD62" s="94">
        <f t="shared" si="14"/>
        <v>12548.516095265493</v>
      </c>
      <c r="AE62" s="94">
        <f t="shared" si="15"/>
        <v>12166.429868005747</v>
      </c>
      <c r="AF62" s="94">
        <f t="shared" si="16"/>
        <v>11784.343640746059</v>
      </c>
      <c r="AG62" s="94">
        <f t="shared" si="17"/>
        <v>11402.257413486372</v>
      </c>
      <c r="AH62" s="94">
        <f t="shared" si="18"/>
        <v>11020.171186226682</v>
      </c>
    </row>
    <row r="63" spans="1:34" x14ac:dyDescent="0.25">
      <c r="A63" s="95" t="s">
        <v>10</v>
      </c>
      <c r="B63" s="71" t="s">
        <v>27</v>
      </c>
      <c r="C63" s="71" t="s">
        <v>51</v>
      </c>
      <c r="D63" s="71" t="s">
        <v>36</v>
      </c>
      <c r="E63" s="71" t="s">
        <v>50</v>
      </c>
      <c r="F63" s="71" t="s">
        <v>44</v>
      </c>
      <c r="G63" s="95" t="s">
        <v>264</v>
      </c>
      <c r="H63" s="72" t="s">
        <v>75</v>
      </c>
      <c r="I63" s="71" t="str">
        <f t="shared" si="23"/>
        <v>F</v>
      </c>
      <c r="J63" s="71" t="str">
        <f t="shared" si="24"/>
        <v>HCV2</v>
      </c>
      <c r="K63" s="71" t="str">
        <f t="shared" si="25"/>
        <v/>
      </c>
      <c r="L63" s="74" t="str">
        <f t="shared" si="26"/>
        <v>TFHCV2HGN-N</v>
      </c>
      <c r="M63" s="74" t="str">
        <f t="shared" si="27"/>
        <v>TFHCV2HGN-E</v>
      </c>
      <c r="N63" s="75" cm="1">
        <f t="array" ref="N63">INDEX(VehicleCostData2022!$T$16:$T$86,MATCH(1,(VehicleCostData2022!$R$16:$R$86=$E63)*(VehicleCostData2022!$S$16:$S$86=$F63),0))</f>
        <v>1189638.0676295361</v>
      </c>
      <c r="O63" s="73">
        <f t="shared" si="29"/>
        <v>4236426.1053616675</v>
      </c>
      <c r="P63" s="73">
        <f t="shared" si="29"/>
        <v>2966931.0896399347</v>
      </c>
      <c r="Q63" s="73">
        <f t="shared" si="29"/>
        <v>1697436.0739182022</v>
      </c>
      <c r="R63" s="73">
        <f t="shared" si="29"/>
        <v>1083005.8749822585</v>
      </c>
      <c r="S63" s="73">
        <f t="shared" si="29"/>
        <v>905285.55390345689</v>
      </c>
      <c r="T63" s="73">
        <f t="shared" si="29"/>
        <v>877720.76940959727</v>
      </c>
      <c r="U63" s="73">
        <f t="shared" si="29"/>
        <v>850155.98491574195</v>
      </c>
      <c r="V63" s="73">
        <f t="shared" si="29"/>
        <v>822591.20042188652</v>
      </c>
      <c r="W63" s="73">
        <f t="shared" si="29"/>
        <v>795026.41592803109</v>
      </c>
      <c r="X63" s="92">
        <v>2.0250000000000001E-2</v>
      </c>
      <c r="Y63" s="94">
        <f t="shared" si="21"/>
        <v>24090.170869498106</v>
      </c>
      <c r="Z63" s="94">
        <f t="shared" si="10"/>
        <v>85787.628633573768</v>
      </c>
      <c r="AA63" s="94">
        <f t="shared" si="11"/>
        <v>60080.354565208683</v>
      </c>
      <c r="AB63" s="94">
        <f t="shared" si="12"/>
        <v>34373.080496843599</v>
      </c>
      <c r="AC63" s="94">
        <f t="shared" si="13"/>
        <v>21930.868968390736</v>
      </c>
      <c r="AD63" s="94">
        <f t="shared" si="14"/>
        <v>18332.032466545003</v>
      </c>
      <c r="AE63" s="94">
        <f t="shared" si="15"/>
        <v>17773.845580544345</v>
      </c>
      <c r="AF63" s="94">
        <f t="shared" si="16"/>
        <v>17215.658694543774</v>
      </c>
      <c r="AG63" s="94">
        <f t="shared" si="17"/>
        <v>16657.471808543203</v>
      </c>
      <c r="AH63" s="94">
        <f t="shared" si="18"/>
        <v>16099.284922542631</v>
      </c>
    </row>
    <row r="64" spans="1:34" x14ac:dyDescent="0.25">
      <c r="A64" s="71" t="s">
        <v>12</v>
      </c>
      <c r="B64" s="71" t="s">
        <v>27</v>
      </c>
      <c r="C64" s="71" t="s">
        <v>51</v>
      </c>
      <c r="D64" s="71" t="s">
        <v>36</v>
      </c>
      <c r="E64" s="71" t="s">
        <v>50</v>
      </c>
      <c r="F64" s="71" t="s">
        <v>45</v>
      </c>
      <c r="G64" s="74" t="str">
        <f t="shared" si="19"/>
        <v>ICE</v>
      </c>
      <c r="H64" s="72" t="s">
        <v>75</v>
      </c>
      <c r="I64" s="71" t="str">
        <f t="shared" si="23"/>
        <v>F</v>
      </c>
      <c r="J64" s="71" t="str">
        <f t="shared" si="24"/>
        <v>HCV2</v>
      </c>
      <c r="K64" s="71" t="str">
        <f t="shared" si="25"/>
        <v/>
      </c>
      <c r="L64" s="74" t="str">
        <f t="shared" si="26"/>
        <v>TFHCV2GAS-N</v>
      </c>
      <c r="M64" s="74" t="str">
        <f t="shared" si="27"/>
        <v>TFHCV2GAS-E</v>
      </c>
      <c r="N64" s="75" cm="1">
        <f t="array" ref="N64">INDEX(VehicleCostData2022!$T$16:$T$86,MATCH(1,(VehicleCostData2022!$R$16:$R$86=$E64)*(VehicleCostData2022!$S$16:$S$86=$F64),0))</f>
        <v>648193.49071566667</v>
      </c>
      <c r="O64" s="73">
        <f t="shared" si="29"/>
        <v>632837.20983460394</v>
      </c>
      <c r="P64" s="73">
        <f t="shared" si="29"/>
        <v>639190.94609896734</v>
      </c>
      <c r="Q64" s="73">
        <f t="shared" si="29"/>
        <v>645608.47438423231</v>
      </c>
      <c r="R64" s="73">
        <f t="shared" si="29"/>
        <v>652090.43516739714</v>
      </c>
      <c r="S64" s="73">
        <f t="shared" si="29"/>
        <v>658637.47535590071</v>
      </c>
      <c r="T64" s="73">
        <f t="shared" si="29"/>
        <v>665250.24835218408</v>
      </c>
      <c r="U64" s="73">
        <f t="shared" si="29"/>
        <v>671929.4141189009</v>
      </c>
      <c r="V64" s="73">
        <f t="shared" si="29"/>
        <v>678675.63924478367</v>
      </c>
      <c r="W64" s="73">
        <f t="shared" si="29"/>
        <v>685489.59701116814</v>
      </c>
      <c r="X64" s="92">
        <v>2.7E-2</v>
      </c>
      <c r="Y64" s="94">
        <f t="shared" si="21"/>
        <v>17501.224249323001</v>
      </c>
      <c r="Z64" s="94">
        <f t="shared" si="10"/>
        <v>17086.604665534305</v>
      </c>
      <c r="AA64" s="94">
        <f t="shared" si="11"/>
        <v>17258.155544672118</v>
      </c>
      <c r="AB64" s="94">
        <f t="shared" si="12"/>
        <v>17431.428808374272</v>
      </c>
      <c r="AC64" s="94">
        <f t="shared" si="13"/>
        <v>17606.441749519723</v>
      </c>
      <c r="AD64" s="94">
        <f t="shared" si="14"/>
        <v>17783.211834609319</v>
      </c>
      <c r="AE64" s="94">
        <f t="shared" si="15"/>
        <v>17961.756705508971</v>
      </c>
      <c r="AF64" s="94">
        <f t="shared" si="16"/>
        <v>18142.094181210323</v>
      </c>
      <c r="AG64" s="94">
        <f t="shared" si="17"/>
        <v>18324.24225960916</v>
      </c>
      <c r="AH64" s="94">
        <f t="shared" si="18"/>
        <v>18508.219119301539</v>
      </c>
    </row>
    <row r="65" spans="1:34" x14ac:dyDescent="0.25">
      <c r="A65" s="71" t="s">
        <v>13</v>
      </c>
      <c r="B65" s="71" t="s">
        <v>27</v>
      </c>
      <c r="C65" s="71" t="s">
        <v>52</v>
      </c>
      <c r="D65" s="71" t="s">
        <v>36</v>
      </c>
      <c r="E65" s="71" t="s">
        <v>50</v>
      </c>
      <c r="F65" s="71" t="s">
        <v>36</v>
      </c>
      <c r="G65" s="74" t="str">
        <f t="shared" si="19"/>
        <v>ICE</v>
      </c>
      <c r="H65" s="72" t="s">
        <v>75</v>
      </c>
      <c r="I65" s="71" t="str">
        <f t="shared" si="23"/>
        <v>F</v>
      </c>
      <c r="J65" s="71" t="str">
        <f t="shared" si="24"/>
        <v>HCV3</v>
      </c>
      <c r="K65" s="71" t="str">
        <f t="shared" si="25"/>
        <v/>
      </c>
      <c r="L65" s="74" t="str">
        <f t="shared" si="26"/>
        <v>TFHCV3ODS-N</v>
      </c>
      <c r="M65" s="74" t="str">
        <f t="shared" si="27"/>
        <v>TFHCV3ODS-E</v>
      </c>
      <c r="N65" s="75" cm="1">
        <f t="array" ref="N65">INDEX(VehicleCostData2022!$T$16:$T$86,MATCH(1,(VehicleCostData2022!$R$16:$R$86=$E65)*(VehicleCostData2022!$S$16:$S$86=$F65),0))</f>
        <v>524668.23529411759</v>
      </c>
      <c r="O65" s="73">
        <f t="shared" si="29"/>
        <v>512238.37768840115</v>
      </c>
      <c r="P65" s="73">
        <f t="shared" si="29"/>
        <v>517381.29202045838</v>
      </c>
      <c r="Q65" s="73">
        <f t="shared" si="29"/>
        <v>522575.84162425413</v>
      </c>
      <c r="R65" s="73">
        <f t="shared" si="29"/>
        <v>527822.5449220516</v>
      </c>
      <c r="S65" s="73">
        <f t="shared" si="29"/>
        <v>533121.92554111534</v>
      </c>
      <c r="T65" s="73">
        <f t="shared" si="29"/>
        <v>538474.51236596901</v>
      </c>
      <c r="U65" s="73">
        <f t="shared" si="29"/>
        <v>543880.83959117939</v>
      </c>
      <c r="V65" s="73">
        <f t="shared" si="29"/>
        <v>549341.44677466981</v>
      </c>
      <c r="W65" s="73">
        <f t="shared" si="29"/>
        <v>554856.87889156805</v>
      </c>
      <c r="X65" s="92">
        <v>2.7E-2</v>
      </c>
      <c r="Y65" s="94">
        <f t="shared" si="21"/>
        <v>14166.042352941175</v>
      </c>
      <c r="Z65" s="94">
        <f t="shared" si="10"/>
        <v>13830.436197586831</v>
      </c>
      <c r="AA65" s="94">
        <f t="shared" si="11"/>
        <v>13969.294884552377</v>
      </c>
      <c r="AB65" s="94">
        <f t="shared" si="12"/>
        <v>14109.547723854861</v>
      </c>
      <c r="AC65" s="94">
        <f t="shared" si="13"/>
        <v>14251.208712895394</v>
      </c>
      <c r="AD65" s="94">
        <f t="shared" si="14"/>
        <v>14394.291989610114</v>
      </c>
      <c r="AE65" s="94">
        <f t="shared" si="15"/>
        <v>14538.811833881164</v>
      </c>
      <c r="AF65" s="94">
        <f t="shared" si="16"/>
        <v>14684.782668961843</v>
      </c>
      <c r="AG65" s="94">
        <f t="shared" si="17"/>
        <v>14832.219062916085</v>
      </c>
      <c r="AH65" s="94">
        <f t="shared" si="18"/>
        <v>14981.135730072338</v>
      </c>
    </row>
    <row r="66" spans="1:34" x14ac:dyDescent="0.25">
      <c r="A66" s="71" t="s">
        <v>9</v>
      </c>
      <c r="B66" s="71" t="s">
        <v>27</v>
      </c>
      <c r="C66" s="71" t="s">
        <v>52</v>
      </c>
      <c r="D66" s="71" t="s">
        <v>36</v>
      </c>
      <c r="E66" s="71" t="s">
        <v>50</v>
      </c>
      <c r="F66" s="71" t="s">
        <v>41</v>
      </c>
      <c r="G66" s="74" t="str">
        <f t="shared" si="19"/>
        <v>BEV</v>
      </c>
      <c r="H66" s="72" t="s">
        <v>75</v>
      </c>
      <c r="I66" s="71" t="str">
        <f t="shared" si="23"/>
        <v>F</v>
      </c>
      <c r="J66" s="71" t="str">
        <f t="shared" si="24"/>
        <v>HCV3</v>
      </c>
      <c r="K66" s="71" t="str">
        <f t="shared" si="25"/>
        <v/>
      </c>
      <c r="L66" s="74" t="str">
        <f t="shared" si="26"/>
        <v>TFHCV3ELC-N</v>
      </c>
      <c r="M66" s="74" t="str">
        <f t="shared" si="27"/>
        <v>TFHCV3ELC-E</v>
      </c>
      <c r="N66" s="75" cm="1">
        <f t="array" ref="N66">INDEX(VehicleCostData2022!$T$16:$T$86,MATCH(1,(VehicleCostData2022!$R$16:$R$86=$E66)*(VehicleCostData2022!$S$16:$S$86=$F66),0))</f>
        <v>814322.82352941181</v>
      </c>
      <c r="O66" s="73">
        <f t="shared" si="29"/>
        <v>2899889.1021249047</v>
      </c>
      <c r="P66" s="73">
        <f t="shared" si="29"/>
        <v>2030903.1527101083</v>
      </c>
      <c r="Q66" s="73">
        <f t="shared" si="29"/>
        <v>1161917.2032953119</v>
      </c>
      <c r="R66" s="73">
        <f t="shared" si="29"/>
        <v>741331.69239598559</v>
      </c>
      <c r="S66" s="73">
        <f t="shared" si="29"/>
        <v>619679.80717360461</v>
      </c>
      <c r="T66" s="73">
        <f t="shared" si="29"/>
        <v>600811.35150645662</v>
      </c>
      <c r="U66" s="73">
        <f t="shared" si="29"/>
        <v>581942.89583931153</v>
      </c>
      <c r="V66" s="73">
        <f t="shared" si="29"/>
        <v>563074.44017216645</v>
      </c>
      <c r="W66" s="73">
        <f t="shared" si="29"/>
        <v>544205.98450502136</v>
      </c>
      <c r="X66" s="92">
        <v>2.0250000000000001E-2</v>
      </c>
      <c r="Y66" s="94">
        <f t="shared" si="21"/>
        <v>16490.037176470589</v>
      </c>
      <c r="Z66" s="94">
        <f t="shared" si="10"/>
        <v>58722.754318029321</v>
      </c>
      <c r="AA66" s="94">
        <f t="shared" si="11"/>
        <v>41125.788842379698</v>
      </c>
      <c r="AB66" s="94">
        <f t="shared" si="12"/>
        <v>23528.823366730066</v>
      </c>
      <c r="AC66" s="94">
        <f t="shared" si="13"/>
        <v>15011.96677101871</v>
      </c>
      <c r="AD66" s="94">
        <f t="shared" si="14"/>
        <v>12548.516095265493</v>
      </c>
      <c r="AE66" s="94">
        <f t="shared" si="15"/>
        <v>12166.429868005747</v>
      </c>
      <c r="AF66" s="94">
        <f t="shared" si="16"/>
        <v>11784.343640746059</v>
      </c>
      <c r="AG66" s="94">
        <f t="shared" si="17"/>
        <v>11402.257413486372</v>
      </c>
      <c r="AH66" s="94">
        <f t="shared" si="18"/>
        <v>11020.171186226682</v>
      </c>
    </row>
    <row r="67" spans="1:34" x14ac:dyDescent="0.25">
      <c r="A67" s="95" t="s">
        <v>10</v>
      </c>
      <c r="B67" s="71" t="s">
        <v>27</v>
      </c>
      <c r="C67" s="71" t="s">
        <v>52</v>
      </c>
      <c r="D67" s="71" t="s">
        <v>36</v>
      </c>
      <c r="E67" s="71" t="s">
        <v>50</v>
      </c>
      <c r="F67" s="71" t="s">
        <v>44</v>
      </c>
      <c r="G67" s="95" t="s">
        <v>264</v>
      </c>
      <c r="H67" s="72" t="s">
        <v>75</v>
      </c>
      <c r="I67" s="71" t="str">
        <f t="shared" si="23"/>
        <v>F</v>
      </c>
      <c r="J67" s="71" t="str">
        <f t="shared" si="24"/>
        <v>HCV3</v>
      </c>
      <c r="K67" s="71" t="str">
        <f t="shared" si="25"/>
        <v/>
      </c>
      <c r="L67" s="74" t="str">
        <f t="shared" si="26"/>
        <v>TFHCV3HGN-N</v>
      </c>
      <c r="M67" s="74" t="str">
        <f t="shared" si="27"/>
        <v>TFHCV3HGN-E</v>
      </c>
      <c r="N67" s="75" cm="1">
        <f t="array" ref="N67">INDEX(VehicleCostData2022!$T$16:$T$86,MATCH(1,(VehicleCostData2022!$R$16:$R$86=$E67)*(VehicleCostData2022!$S$16:$S$86=$F67),0))</f>
        <v>1189638.0676295361</v>
      </c>
      <c r="O67" s="73">
        <f t="shared" si="29"/>
        <v>4236426.1053616675</v>
      </c>
      <c r="P67" s="73">
        <f t="shared" si="29"/>
        <v>2966931.0896399347</v>
      </c>
      <c r="Q67" s="73">
        <f t="shared" si="29"/>
        <v>1697436.0739182022</v>
      </c>
      <c r="R67" s="73">
        <f t="shared" si="29"/>
        <v>1083005.8749822585</v>
      </c>
      <c r="S67" s="73">
        <f t="shared" si="29"/>
        <v>905285.55390345689</v>
      </c>
      <c r="T67" s="73">
        <f t="shared" si="29"/>
        <v>877720.76940959727</v>
      </c>
      <c r="U67" s="73">
        <f t="shared" si="29"/>
        <v>850155.98491574195</v>
      </c>
      <c r="V67" s="73">
        <f t="shared" si="29"/>
        <v>822591.20042188652</v>
      </c>
      <c r="W67" s="73">
        <f t="shared" si="29"/>
        <v>795026.41592803109</v>
      </c>
      <c r="X67" s="92">
        <v>2.0250000000000001E-2</v>
      </c>
      <c r="Y67" s="94">
        <f t="shared" si="21"/>
        <v>24090.170869498106</v>
      </c>
      <c r="Z67" s="94">
        <f t="shared" si="10"/>
        <v>85787.628633573768</v>
      </c>
      <c r="AA67" s="94">
        <f t="shared" si="11"/>
        <v>60080.354565208683</v>
      </c>
      <c r="AB67" s="94">
        <f t="shared" si="12"/>
        <v>34373.080496843599</v>
      </c>
      <c r="AC67" s="94">
        <f t="shared" si="13"/>
        <v>21930.868968390736</v>
      </c>
      <c r="AD67" s="94">
        <f t="shared" si="14"/>
        <v>18332.032466545003</v>
      </c>
      <c r="AE67" s="94">
        <f t="shared" si="15"/>
        <v>17773.845580544345</v>
      </c>
      <c r="AF67" s="94">
        <f t="shared" si="16"/>
        <v>17215.658694543774</v>
      </c>
      <c r="AG67" s="94">
        <f t="shared" si="17"/>
        <v>16657.471808543203</v>
      </c>
      <c r="AH67" s="94">
        <f t="shared" si="18"/>
        <v>16099.284922542631</v>
      </c>
    </row>
    <row r="68" spans="1:34" x14ac:dyDescent="0.25">
      <c r="A68" s="71" t="s">
        <v>12</v>
      </c>
      <c r="B68" s="71" t="s">
        <v>27</v>
      </c>
      <c r="C68" s="71" t="s">
        <v>52</v>
      </c>
      <c r="D68" s="71" t="s">
        <v>36</v>
      </c>
      <c r="E68" s="71" t="s">
        <v>50</v>
      </c>
      <c r="F68" s="71" t="s">
        <v>45</v>
      </c>
      <c r="G68" s="74" t="str">
        <f t="shared" si="19"/>
        <v>ICE</v>
      </c>
      <c r="H68" s="72" t="s">
        <v>75</v>
      </c>
      <c r="I68" s="71" t="str">
        <f t="shared" si="23"/>
        <v>F</v>
      </c>
      <c r="J68" s="71" t="str">
        <f t="shared" si="24"/>
        <v>HCV3</v>
      </c>
      <c r="K68" s="71" t="str">
        <f t="shared" si="25"/>
        <v/>
      </c>
      <c r="L68" s="74" t="str">
        <f t="shared" si="26"/>
        <v>TFHCV3GAS-N</v>
      </c>
      <c r="M68" s="74" t="str">
        <f t="shared" si="27"/>
        <v>TFHCV3GAS-E</v>
      </c>
      <c r="N68" s="75" cm="1">
        <f t="array" ref="N68">INDEX(VehicleCostData2022!$T$16:$T$86,MATCH(1,(VehicleCostData2022!$R$16:$R$86=$E68)*(VehicleCostData2022!$S$16:$S$86=$F68),0))</f>
        <v>648193.49071566667</v>
      </c>
      <c r="O68" s="73">
        <f t="shared" si="29"/>
        <v>632837.20983460394</v>
      </c>
      <c r="P68" s="73">
        <f t="shared" si="29"/>
        <v>639190.94609896734</v>
      </c>
      <c r="Q68" s="73">
        <f t="shared" si="29"/>
        <v>645608.47438423231</v>
      </c>
      <c r="R68" s="73">
        <f t="shared" si="29"/>
        <v>652090.43516739714</v>
      </c>
      <c r="S68" s="73">
        <f t="shared" si="29"/>
        <v>658637.47535590071</v>
      </c>
      <c r="T68" s="73">
        <f t="shared" si="29"/>
        <v>665250.24835218408</v>
      </c>
      <c r="U68" s="73">
        <f t="shared" si="29"/>
        <v>671929.4141189009</v>
      </c>
      <c r="V68" s="73">
        <f t="shared" si="29"/>
        <v>678675.63924478367</v>
      </c>
      <c r="W68" s="73">
        <f t="shared" si="29"/>
        <v>685489.59701116814</v>
      </c>
      <c r="X68" s="92">
        <v>2.7E-2</v>
      </c>
      <c r="Y68" s="94">
        <f t="shared" si="21"/>
        <v>17501.224249323001</v>
      </c>
      <c r="Z68" s="94">
        <f t="shared" si="10"/>
        <v>17086.604665534305</v>
      </c>
      <c r="AA68" s="94">
        <f t="shared" si="11"/>
        <v>17258.155544672118</v>
      </c>
      <c r="AB68" s="94">
        <f t="shared" si="12"/>
        <v>17431.428808374272</v>
      </c>
      <c r="AC68" s="94">
        <f t="shared" si="13"/>
        <v>17606.441749519723</v>
      </c>
      <c r="AD68" s="94">
        <f t="shared" si="14"/>
        <v>17783.211834609319</v>
      </c>
      <c r="AE68" s="94">
        <f t="shared" si="15"/>
        <v>17961.756705508971</v>
      </c>
      <c r="AF68" s="94">
        <f t="shared" si="16"/>
        <v>18142.094181210323</v>
      </c>
      <c r="AG68" s="94">
        <f t="shared" si="17"/>
        <v>18324.24225960916</v>
      </c>
      <c r="AH68" s="94">
        <f t="shared" si="18"/>
        <v>18508.219119301539</v>
      </c>
    </row>
    <row r="69" spans="1:34" x14ac:dyDescent="0.25">
      <c r="A69" s="71" t="s">
        <v>13</v>
      </c>
      <c r="B69" s="71" t="s">
        <v>27</v>
      </c>
      <c r="C69" s="71" t="s">
        <v>53</v>
      </c>
      <c r="D69" s="71" t="s">
        <v>36</v>
      </c>
      <c r="E69" s="71" t="s">
        <v>54</v>
      </c>
      <c r="F69" s="71" t="s">
        <v>36</v>
      </c>
      <c r="G69" s="74" t="str">
        <f t="shared" si="19"/>
        <v>ICE</v>
      </c>
      <c r="H69" s="72" t="s">
        <v>75</v>
      </c>
      <c r="I69" s="71" t="str">
        <f t="shared" si="23"/>
        <v>F</v>
      </c>
      <c r="J69" s="71" t="str">
        <f t="shared" si="24"/>
        <v>HCV4</v>
      </c>
      <c r="K69" s="71" t="str">
        <f t="shared" si="25"/>
        <v/>
      </c>
      <c r="L69" s="74" t="str">
        <f t="shared" si="26"/>
        <v>TFHCV4ODS-N</v>
      </c>
      <c r="M69" s="74" t="str">
        <f t="shared" si="27"/>
        <v>TFHCV4ODS-E</v>
      </c>
      <c r="N69" s="75" cm="1">
        <f t="array" ref="N69">INDEX(VehicleCostData2022!$T$16:$T$86,MATCH(1,(VehicleCostData2022!$R$16:$R$86=$E69)*(VehicleCostData2022!$S$16:$S$86=$F69),0))</f>
        <v>906349.91499240114</v>
      </c>
      <c r="O69" s="73">
        <f t="shared" si="29"/>
        <v>884877.6785838193</v>
      </c>
      <c r="P69" s="73">
        <f t="shared" si="29"/>
        <v>893761.92133783363</v>
      </c>
      <c r="Q69" s="73">
        <f t="shared" si="29"/>
        <v>902735.36260054866</v>
      </c>
      <c r="R69" s="73">
        <f t="shared" si="29"/>
        <v>911798.89793213469</v>
      </c>
      <c r="S69" s="73">
        <f t="shared" si="29"/>
        <v>920953.43188425817</v>
      </c>
      <c r="T69" s="73">
        <f t="shared" si="29"/>
        <v>930199.87809035648</v>
      </c>
      <c r="U69" s="73">
        <f t="shared" si="29"/>
        <v>939539.15935681935</v>
      </c>
      <c r="V69" s="73">
        <f t="shared" si="29"/>
        <v>948972.20775508776</v>
      </c>
      <c r="W69" s="73">
        <f t="shared" si="29"/>
        <v>958499.96471467346</v>
      </c>
      <c r="X69" s="92">
        <v>2.7E-2</v>
      </c>
      <c r="Y69" s="94">
        <f t="shared" si="21"/>
        <v>24471.447704794831</v>
      </c>
      <c r="Z69" s="94">
        <f t="shared" si="10"/>
        <v>23891.69732176312</v>
      </c>
      <c r="AA69" s="94">
        <f t="shared" si="11"/>
        <v>24131.571876121507</v>
      </c>
      <c r="AB69" s="94">
        <f t="shared" si="12"/>
        <v>24373.854790214813</v>
      </c>
      <c r="AC69" s="94">
        <f t="shared" si="13"/>
        <v>24618.570244167637</v>
      </c>
      <c r="AD69" s="94">
        <f t="shared" si="14"/>
        <v>24865.74266087497</v>
      </c>
      <c r="AE69" s="94">
        <f t="shared" si="15"/>
        <v>25115.396708439624</v>
      </c>
      <c r="AF69" s="94">
        <f t="shared" si="16"/>
        <v>25367.557302634123</v>
      </c>
      <c r="AG69" s="94">
        <f t="shared" si="17"/>
        <v>25622.249609387371</v>
      </c>
      <c r="AH69" s="94">
        <f t="shared" si="18"/>
        <v>25879.499047296184</v>
      </c>
    </row>
    <row r="70" spans="1:34" x14ac:dyDescent="0.25">
      <c r="A70" s="71" t="s">
        <v>9</v>
      </c>
      <c r="B70" s="71" t="s">
        <v>27</v>
      </c>
      <c r="C70" s="71" t="s">
        <v>53</v>
      </c>
      <c r="D70" s="71" t="s">
        <v>36</v>
      </c>
      <c r="E70" s="71" t="s">
        <v>54</v>
      </c>
      <c r="F70" s="71" t="s">
        <v>41</v>
      </c>
      <c r="G70" s="74" t="str">
        <f t="shared" si="19"/>
        <v>BEV</v>
      </c>
      <c r="H70" s="72" t="s">
        <v>75</v>
      </c>
      <c r="I70" s="71" t="str">
        <f t="shared" si="23"/>
        <v>F</v>
      </c>
      <c r="J70" s="71" t="str">
        <f t="shared" si="24"/>
        <v>HCV4</v>
      </c>
      <c r="K70" s="71" t="str">
        <f t="shared" si="25"/>
        <v/>
      </c>
      <c r="L70" s="74" t="str">
        <f t="shared" si="26"/>
        <v>TFHCV4ELC-N</v>
      </c>
      <c r="M70" s="74" t="str">
        <f t="shared" si="27"/>
        <v>TFHCV4ELC-E</v>
      </c>
      <c r="N70" s="75" cm="1">
        <f t="array" ref="N70">INDEX(VehicleCostData2022!$T$16:$T$86,MATCH(1,(VehicleCostData2022!$R$16:$R$86=$E70)*(VehicleCostData2022!$S$16:$S$86=$F70),0))</f>
        <v>1406720.2323931679</v>
      </c>
      <c r="O70" s="73">
        <f t="shared" si="29"/>
        <v>5009478.4940142641</v>
      </c>
      <c r="P70" s="73">
        <f t="shared" si="29"/>
        <v>3508329.2183387941</v>
      </c>
      <c r="Q70" s="73">
        <f t="shared" si="29"/>
        <v>2007179.9426633241</v>
      </c>
      <c r="R70" s="73">
        <f t="shared" si="29"/>
        <v>1280630.065221346</v>
      </c>
      <c r="S70" s="73">
        <f t="shared" si="29"/>
        <v>1070479.7866016361</v>
      </c>
      <c r="T70" s="73">
        <f t="shared" si="29"/>
        <v>1037885.049509594</v>
      </c>
      <c r="U70" s="73">
        <f t="shared" si="29"/>
        <v>1005290.3124175569</v>
      </c>
      <c r="V70" s="73">
        <f t="shared" si="29"/>
        <v>972695.57532551966</v>
      </c>
      <c r="W70" s="73">
        <f t="shared" si="29"/>
        <v>940100.83823348256</v>
      </c>
      <c r="X70" s="92">
        <v>2.0250000000000001E-2</v>
      </c>
      <c r="Y70" s="94">
        <f t="shared" si="21"/>
        <v>28486.08470596165</v>
      </c>
      <c r="Z70" s="94">
        <f t="shared" si="10"/>
        <v>101441.93950378885</v>
      </c>
      <c r="AA70" s="94">
        <f t="shared" si="11"/>
        <v>71043.666671360581</v>
      </c>
      <c r="AB70" s="94">
        <f t="shared" si="12"/>
        <v>40645.393838932316</v>
      </c>
      <c r="AC70" s="94">
        <f t="shared" si="13"/>
        <v>25932.758820732259</v>
      </c>
      <c r="AD70" s="94">
        <f t="shared" si="14"/>
        <v>21677.215678683133</v>
      </c>
      <c r="AE70" s="94">
        <f t="shared" si="15"/>
        <v>21017.172252569278</v>
      </c>
      <c r="AF70" s="94">
        <f t="shared" si="16"/>
        <v>20357.128826455526</v>
      </c>
      <c r="AG70" s="94">
        <f t="shared" si="17"/>
        <v>19697.085400341773</v>
      </c>
      <c r="AH70" s="94">
        <f t="shared" si="18"/>
        <v>19037.041974228021</v>
      </c>
    </row>
    <row r="71" spans="1:34" x14ac:dyDescent="0.25">
      <c r="A71" s="95" t="s">
        <v>10</v>
      </c>
      <c r="B71" s="71" t="s">
        <v>27</v>
      </c>
      <c r="C71" s="71" t="s">
        <v>53</v>
      </c>
      <c r="D71" s="71" t="s">
        <v>36</v>
      </c>
      <c r="E71" s="71" t="s">
        <v>54</v>
      </c>
      <c r="F71" s="71" t="s">
        <v>44</v>
      </c>
      <c r="G71" s="95" t="s">
        <v>264</v>
      </c>
      <c r="H71" s="72" t="s">
        <v>75</v>
      </c>
      <c r="I71" s="71" t="str">
        <f t="shared" si="23"/>
        <v>F</v>
      </c>
      <c r="J71" s="71" t="str">
        <f t="shared" si="24"/>
        <v>HCV4</v>
      </c>
      <c r="K71" s="71" t="str">
        <f t="shared" si="25"/>
        <v/>
      </c>
      <c r="L71" s="74" t="str">
        <f t="shared" si="26"/>
        <v>TFHCV4HGN-N</v>
      </c>
      <c r="M71" s="74" t="str">
        <f t="shared" si="27"/>
        <v>TFHCV4HGN-E</v>
      </c>
      <c r="N71" s="75" cm="1">
        <f t="array" ref="N71">INDEX(VehicleCostData2022!$T$16:$T$86,MATCH(1,(VehicleCostData2022!$R$16:$R$86=$E71)*(VehicleCostData2022!$S$16:$S$86=$F71),0))</f>
        <v>1854400.0079945058</v>
      </c>
      <c r="O71" s="73">
        <f t="shared" si="29"/>
        <v>6603713.1943034343</v>
      </c>
      <c r="P71" s="73">
        <f t="shared" si="29"/>
        <v>4624832.70000803</v>
      </c>
      <c r="Q71" s="73">
        <f t="shared" si="29"/>
        <v>2645952.2057126253</v>
      </c>
      <c r="R71" s="73">
        <f t="shared" si="29"/>
        <v>1688182.4463023215</v>
      </c>
      <c r="S71" s="73">
        <f t="shared" si="29"/>
        <v>1411153.1768153391</v>
      </c>
      <c r="T71" s="73">
        <f t="shared" si="29"/>
        <v>1368185.3717520447</v>
      </c>
      <c r="U71" s="73">
        <f t="shared" si="29"/>
        <v>1325217.5666887569</v>
      </c>
      <c r="V71" s="73">
        <f t="shared" si="29"/>
        <v>1282249.7616254692</v>
      </c>
      <c r="W71" s="73">
        <f t="shared" si="29"/>
        <v>1239281.9565621815</v>
      </c>
      <c r="X71" s="92">
        <v>2.0250000000000001E-2</v>
      </c>
      <c r="Y71" s="94">
        <f t="shared" si="21"/>
        <v>37551.600161888746</v>
      </c>
      <c r="Z71" s="94">
        <f t="shared" si="10"/>
        <v>133725.19218464455</v>
      </c>
      <c r="AA71" s="94">
        <f t="shared" si="11"/>
        <v>93652.862175162605</v>
      </c>
      <c r="AB71" s="94">
        <f t="shared" si="12"/>
        <v>53580.532165680663</v>
      </c>
      <c r="AC71" s="94">
        <f t="shared" si="13"/>
        <v>34185.69453762201</v>
      </c>
      <c r="AD71" s="94">
        <f t="shared" si="14"/>
        <v>28575.851830510619</v>
      </c>
      <c r="AE71" s="94">
        <f t="shared" si="15"/>
        <v>27705.753777978905</v>
      </c>
      <c r="AF71" s="94">
        <f t="shared" si="16"/>
        <v>26835.65572544733</v>
      </c>
      <c r="AG71" s="94">
        <f t="shared" si="17"/>
        <v>25965.557672915751</v>
      </c>
      <c r="AH71" s="94">
        <f t="shared" si="18"/>
        <v>25095.459620384176</v>
      </c>
    </row>
    <row r="72" spans="1:34" x14ac:dyDescent="0.25">
      <c r="A72" s="71" t="s">
        <v>12</v>
      </c>
      <c r="B72" s="71" t="s">
        <v>27</v>
      </c>
      <c r="C72" s="71" t="s">
        <v>53</v>
      </c>
      <c r="D72" s="71" t="s">
        <v>36</v>
      </c>
      <c r="E72" s="71" t="s">
        <v>54</v>
      </c>
      <c r="F72" s="71" t="s">
        <v>45</v>
      </c>
      <c r="G72" s="74" t="str">
        <f t="shared" si="19"/>
        <v>ICE</v>
      </c>
      <c r="H72" s="72" t="s">
        <v>75</v>
      </c>
      <c r="I72" s="71" t="str">
        <f t="shared" si="23"/>
        <v>F</v>
      </c>
      <c r="J72" s="71" t="str">
        <f t="shared" si="24"/>
        <v>HCV4</v>
      </c>
      <c r="K72" s="71" t="str">
        <f t="shared" si="25"/>
        <v/>
      </c>
      <c r="L72" s="74" t="str">
        <f t="shared" si="26"/>
        <v>TFHCV4GAS-N</v>
      </c>
      <c r="M72" s="74" t="str">
        <f t="shared" si="27"/>
        <v>TFHCV4GAS-E</v>
      </c>
      <c r="N72" s="75" cm="1">
        <f t="array" ref="N72">INDEX(VehicleCostData2022!$T$16:$T$86,MATCH(1,(VehicleCostData2022!$R$16:$R$86=$E72)*(VehicleCostData2022!$S$16:$S$86=$F72),0))</f>
        <v>1090585.1281432109</v>
      </c>
      <c r="O72" s="73">
        <f t="shared" si="29"/>
        <v>1064748.1955106626</v>
      </c>
      <c r="P72" s="73">
        <f t="shared" si="29"/>
        <v>1075438.3526586592</v>
      </c>
      <c r="Q72" s="73">
        <f t="shared" si="29"/>
        <v>1086235.8398404897</v>
      </c>
      <c r="R72" s="73">
        <f t="shared" si="29"/>
        <v>1097141.7346582888</v>
      </c>
      <c r="S72" s="73">
        <f t="shared" si="29"/>
        <v>1108157.1255334031</v>
      </c>
      <c r="T72" s="73">
        <f t="shared" si="29"/>
        <v>1119283.1118150167</v>
      </c>
      <c r="U72" s="73">
        <f t="shared" si="29"/>
        <v>1130520.8038898665</v>
      </c>
      <c r="V72" s="73">
        <f t="shared" si="29"/>
        <v>1141871.3232930629</v>
      </c>
      <c r="W72" s="73">
        <f t="shared" si="29"/>
        <v>1153335.8028200171</v>
      </c>
      <c r="X72" s="92">
        <v>2.7E-2</v>
      </c>
      <c r="Y72" s="94">
        <f t="shared" si="21"/>
        <v>29445.798459866695</v>
      </c>
      <c r="Z72" s="94">
        <f t="shared" si="10"/>
        <v>28748.201278787892</v>
      </c>
      <c r="AA72" s="94">
        <f t="shared" si="11"/>
        <v>29036.8355217838</v>
      </c>
      <c r="AB72" s="94">
        <f t="shared" si="12"/>
        <v>29328.367675693222</v>
      </c>
      <c r="AC72" s="94">
        <f t="shared" si="13"/>
        <v>29622.826835773798</v>
      </c>
      <c r="AD72" s="94">
        <f t="shared" si="14"/>
        <v>29920.242389401883</v>
      </c>
      <c r="AE72" s="94">
        <f t="shared" si="15"/>
        <v>30220.644019005453</v>
      </c>
      <c r="AF72" s="94">
        <f t="shared" si="16"/>
        <v>30524.061705026394</v>
      </c>
      <c r="AG72" s="94">
        <f t="shared" si="17"/>
        <v>30830.525728912697</v>
      </c>
      <c r="AH72" s="94">
        <f t="shared" si="18"/>
        <v>31140.066676140461</v>
      </c>
    </row>
    <row r="73" spans="1:34" x14ac:dyDescent="0.25">
      <c r="A73" s="71" t="s">
        <v>13</v>
      </c>
      <c r="B73" s="71" t="s">
        <v>27</v>
      </c>
      <c r="C73" s="71" t="s">
        <v>55</v>
      </c>
      <c r="D73" s="71" t="s">
        <v>36</v>
      </c>
      <c r="E73" s="71" t="s">
        <v>56</v>
      </c>
      <c r="F73" s="71" t="s">
        <v>36</v>
      </c>
      <c r="G73" s="74" t="str">
        <f t="shared" si="19"/>
        <v>ICE</v>
      </c>
      <c r="H73" s="72" t="s">
        <v>75</v>
      </c>
      <c r="I73" s="71" t="str">
        <f t="shared" si="23"/>
        <v>F</v>
      </c>
      <c r="J73" s="71" t="str">
        <f t="shared" si="24"/>
        <v>HCV5</v>
      </c>
      <c r="K73" s="71" t="str">
        <f t="shared" si="25"/>
        <v/>
      </c>
      <c r="L73" s="74" t="str">
        <f t="shared" si="26"/>
        <v>TFHCV5ODS-N</v>
      </c>
      <c r="M73" s="74" t="str">
        <f t="shared" si="27"/>
        <v>TFHCV5ODS-E</v>
      </c>
      <c r="N73" s="75" cm="1">
        <f t="array" ref="N73">INDEX(VehicleCostData2022!$T$16:$T$86,MATCH(1,(VehicleCostData2022!$R$16:$R$86=$E73)*(VehicleCostData2022!$S$16:$S$86=$F73),0))</f>
        <v>861659.92260461533</v>
      </c>
      <c r="O73" s="73">
        <f t="shared" si="29"/>
        <v>841246.43190315517</v>
      </c>
      <c r="P73" s="73">
        <f t="shared" si="29"/>
        <v>849692.61344650399</v>
      </c>
      <c r="Q73" s="73">
        <f t="shared" si="29"/>
        <v>858223.59532891843</v>
      </c>
      <c r="R73" s="73">
        <f t="shared" si="29"/>
        <v>866840.22895259364</v>
      </c>
      <c r="S73" s="73">
        <f t="shared" si="29"/>
        <v>875543.37426787091</v>
      </c>
      <c r="T73" s="73">
        <f t="shared" si="29"/>
        <v>884333.8998590617</v>
      </c>
      <c r="U73" s="73">
        <f t="shared" si="29"/>
        <v>893212.68303113349</v>
      </c>
      <c r="V73" s="73">
        <f t="shared" si="29"/>
        <v>902180.60989726614</v>
      </c>
      <c r="W73" s="73">
        <f t="shared" si="29"/>
        <v>911238.57546728675</v>
      </c>
      <c r="X73" s="92">
        <v>2.7E-2</v>
      </c>
      <c r="Y73" s="94">
        <f t="shared" si="21"/>
        <v>23264.817910324615</v>
      </c>
      <c r="Z73" s="94">
        <f t="shared" si="10"/>
        <v>22713.653661385189</v>
      </c>
      <c r="AA73" s="94">
        <f t="shared" si="11"/>
        <v>22941.700563055609</v>
      </c>
      <c r="AB73" s="94">
        <f t="shared" si="12"/>
        <v>23172.037073880798</v>
      </c>
      <c r="AC73" s="94">
        <f t="shared" si="13"/>
        <v>23404.68618172003</v>
      </c>
      <c r="AD73" s="94">
        <f t="shared" si="14"/>
        <v>23639.671105232515</v>
      </c>
      <c r="AE73" s="94">
        <f t="shared" si="15"/>
        <v>23877.015296194666</v>
      </c>
      <c r="AF73" s="94">
        <f t="shared" si="16"/>
        <v>24116.742441840604</v>
      </c>
      <c r="AG73" s="94">
        <f t="shared" si="17"/>
        <v>24358.876467226186</v>
      </c>
      <c r="AH73" s="94">
        <f t="shared" si="18"/>
        <v>24603.441537616742</v>
      </c>
    </row>
    <row r="74" spans="1:34" x14ac:dyDescent="0.25">
      <c r="A74" s="71" t="s">
        <v>9</v>
      </c>
      <c r="B74" s="71" t="s">
        <v>27</v>
      </c>
      <c r="C74" s="71" t="s">
        <v>55</v>
      </c>
      <c r="D74" s="71" t="s">
        <v>36</v>
      </c>
      <c r="E74" s="71" t="s">
        <v>56</v>
      </c>
      <c r="F74" s="71" t="s">
        <v>41</v>
      </c>
      <c r="G74" s="74" t="str">
        <f t="shared" si="19"/>
        <v>BEV</v>
      </c>
      <c r="H74" s="72" t="s">
        <v>75</v>
      </c>
      <c r="I74" s="71" t="str">
        <f t="shared" si="23"/>
        <v>F</v>
      </c>
      <c r="J74" s="71" t="str">
        <f t="shared" si="24"/>
        <v>HCV5</v>
      </c>
      <c r="K74" s="71" t="str">
        <f t="shared" si="25"/>
        <v/>
      </c>
      <c r="L74" s="74" t="str">
        <f t="shared" si="26"/>
        <v>TFHCV5ELC-N</v>
      </c>
      <c r="M74" s="74" t="str">
        <f t="shared" si="27"/>
        <v>TFHCV5ELC-E</v>
      </c>
      <c r="N74" s="75" cm="1">
        <f t="array" ref="N74">INDEX(VehicleCostData2022!$T$16:$T$86,MATCH(1,(VehicleCostData2022!$R$16:$R$86=$E74)*(VehicleCostData2022!$S$16:$S$86=$F74),0))</f>
        <v>1337358.1511070214</v>
      </c>
      <c r="O74" s="73">
        <f t="shared" si="29"/>
        <v>4762472.8375221454</v>
      </c>
      <c r="P74" s="73">
        <f t="shared" si="29"/>
        <v>3335341.7181824977</v>
      </c>
      <c r="Q74" s="73">
        <f t="shared" si="29"/>
        <v>1908210.59884285</v>
      </c>
      <c r="R74" s="73">
        <f t="shared" si="29"/>
        <v>1217485.1948797503</v>
      </c>
      <c r="S74" s="73">
        <f t="shared" si="29"/>
        <v>1017696.9345009585</v>
      </c>
      <c r="T74" s="73">
        <f t="shared" si="29"/>
        <v>986709.36758505902</v>
      </c>
      <c r="U74" s="73">
        <f t="shared" si="29"/>
        <v>955721.80066916428</v>
      </c>
      <c r="V74" s="73">
        <f t="shared" si="29"/>
        <v>924734.23375326954</v>
      </c>
      <c r="W74" s="73">
        <f t="shared" si="29"/>
        <v>893746.66683737491</v>
      </c>
      <c r="X74" s="92">
        <v>2.0250000000000001E-2</v>
      </c>
      <c r="Y74" s="94">
        <f t="shared" si="21"/>
        <v>27081.502559917182</v>
      </c>
      <c r="Z74" s="94">
        <f t="shared" si="10"/>
        <v>96440.07495982344</v>
      </c>
      <c r="AA74" s="94">
        <f t="shared" si="11"/>
        <v>67540.669793195586</v>
      </c>
      <c r="AB74" s="94">
        <f t="shared" si="12"/>
        <v>38641.26462656771</v>
      </c>
      <c r="AC74" s="94">
        <f t="shared" si="13"/>
        <v>24654.075196314945</v>
      </c>
      <c r="AD74" s="94">
        <f t="shared" si="14"/>
        <v>20608.36292364441</v>
      </c>
      <c r="AE74" s="94">
        <f t="shared" si="15"/>
        <v>19980.864693597447</v>
      </c>
      <c r="AF74" s="94">
        <f t="shared" si="16"/>
        <v>19353.366463550577</v>
      </c>
      <c r="AG74" s="94">
        <f t="shared" si="17"/>
        <v>18725.868233503708</v>
      </c>
      <c r="AH74" s="94">
        <f t="shared" si="18"/>
        <v>18098.370003456843</v>
      </c>
    </row>
    <row r="75" spans="1:34" x14ac:dyDescent="0.25">
      <c r="A75" s="95" t="s">
        <v>10</v>
      </c>
      <c r="B75" s="71" t="s">
        <v>27</v>
      </c>
      <c r="C75" s="71" t="s">
        <v>55</v>
      </c>
      <c r="D75" s="71" t="s">
        <v>36</v>
      </c>
      <c r="E75" s="71" t="s">
        <v>56</v>
      </c>
      <c r="F75" s="71" t="s">
        <v>44</v>
      </c>
      <c r="G75" s="95" t="s">
        <v>264</v>
      </c>
      <c r="H75" s="72" t="s">
        <v>75</v>
      </c>
      <c r="I75" s="71" t="str">
        <f t="shared" ref="I75:I92" si="30">IF(B75="PAS","P","F")</f>
        <v>F</v>
      </c>
      <c r="J75" s="71" t="str">
        <f t="shared" ref="J75:J106" si="31">IF(I75="P",IF(OR(C75="CAR",C75="SUV",C75="MOT"),"PR","PU"),C75)</f>
        <v>HCV5</v>
      </c>
      <c r="K75" s="71" t="str">
        <f t="shared" ref="K75:K92" si="32">IF(I75="P",C75,"")</f>
        <v/>
      </c>
      <c r="L75" s="74" t="str">
        <f t="shared" ref="L75:L106" si="33">H75&amp;I75&amp;J75&amp;K75&amp;A75&amp;"-N"</f>
        <v>TFHCV5HGN-N</v>
      </c>
      <c r="M75" s="74" t="str">
        <f t="shared" ref="M75:M92" si="34">H75&amp;I75&amp;J75&amp;K75&amp;A75&amp;"-E"</f>
        <v>TFHCV5HGN-E</v>
      </c>
      <c r="N75" s="75" cm="1">
        <f t="array" ref="N75">INDEX(VehicleCostData2022!$T$16:$T$86,MATCH(1,(VehicleCostData2022!$R$16:$R$86=$E75)*(VehicleCostData2022!$S$16:$S$86=$F75),0))</f>
        <v>1887434.9410157723</v>
      </c>
      <c r="O75" s="73">
        <f t="shared" si="29"/>
        <v>6721354.0604191525</v>
      </c>
      <c r="P75" s="73">
        <f t="shared" si="29"/>
        <v>4707221.0940010594</v>
      </c>
      <c r="Q75" s="73">
        <f t="shared" si="29"/>
        <v>2693088.1275829664</v>
      </c>
      <c r="R75" s="73">
        <f t="shared" si="29"/>
        <v>1718256.3213027795</v>
      </c>
      <c r="S75" s="73">
        <f t="shared" si="29"/>
        <v>1436291.9551144494</v>
      </c>
      <c r="T75" s="73">
        <f t="shared" si="29"/>
        <v>1392558.7064811499</v>
      </c>
      <c r="U75" s="73">
        <f t="shared" si="29"/>
        <v>1348825.4578478571</v>
      </c>
      <c r="V75" s="73">
        <f t="shared" si="29"/>
        <v>1305092.2092145644</v>
      </c>
      <c r="W75" s="73">
        <f t="shared" si="29"/>
        <v>1261358.9605812717</v>
      </c>
      <c r="X75" s="92">
        <v>2.0250000000000001E-2</v>
      </c>
      <c r="Y75" s="94">
        <f t="shared" si="21"/>
        <v>38220.557555569387</v>
      </c>
      <c r="Z75" s="94">
        <f t="shared" ref="Z75:Z92" si="35">O75*$X75</f>
        <v>136107.41972348784</v>
      </c>
      <c r="AA75" s="94">
        <f t="shared" ref="AA75:AA92" si="36">P75*$X75</f>
        <v>95321.227153521453</v>
      </c>
      <c r="AB75" s="94">
        <f t="shared" ref="AB75:AB92" si="37">Q75*$X75</f>
        <v>54535.034583555069</v>
      </c>
      <c r="AC75" s="94">
        <f t="shared" ref="AC75:AC92" si="38">R75*$X75</f>
        <v>34794.690506381288</v>
      </c>
      <c r="AD75" s="94">
        <f t="shared" ref="AD75:AD92" si="39">S75*$X75</f>
        <v>29084.912091067599</v>
      </c>
      <c r="AE75" s="94">
        <f t="shared" ref="AE75:AE92" si="40">T75*$X75</f>
        <v>28199.313806243284</v>
      </c>
      <c r="AF75" s="94">
        <f t="shared" ref="AF75:AF92" si="41">U75*$X75</f>
        <v>27313.715521419108</v>
      </c>
      <c r="AG75" s="94">
        <f t="shared" ref="AG75:AG92" si="42">V75*$X75</f>
        <v>26428.117236594931</v>
      </c>
      <c r="AH75" s="94">
        <f t="shared" ref="AH75:AH92" si="43">W75*$X75</f>
        <v>25542.518951770751</v>
      </c>
    </row>
    <row r="76" spans="1:34" x14ac:dyDescent="0.25">
      <c r="A76" s="71" t="s">
        <v>12</v>
      </c>
      <c r="B76" s="71" t="s">
        <v>27</v>
      </c>
      <c r="C76" s="71" t="s">
        <v>55</v>
      </c>
      <c r="D76" s="71" t="s">
        <v>36</v>
      </c>
      <c r="E76" s="71" t="s">
        <v>56</v>
      </c>
      <c r="F76" s="71" t="s">
        <v>45</v>
      </c>
      <c r="G76" s="74" t="str">
        <f t="shared" ref="G76:G92" si="44">IF(A76="HGN",A76,RIGHT(F76,3))</f>
        <v>ICE</v>
      </c>
      <c r="H76" s="72" t="s">
        <v>75</v>
      </c>
      <c r="I76" s="71" t="str">
        <f t="shared" si="30"/>
        <v>F</v>
      </c>
      <c r="J76" s="71" t="str">
        <f t="shared" si="31"/>
        <v>HCV5</v>
      </c>
      <c r="K76" s="71" t="str">
        <f t="shared" si="32"/>
        <v/>
      </c>
      <c r="L76" s="74" t="str">
        <f t="shared" si="33"/>
        <v>TFHCV5GAS-N</v>
      </c>
      <c r="M76" s="74" t="str">
        <f t="shared" si="34"/>
        <v>TFHCV5GAS-E</v>
      </c>
      <c r="N76" s="75" cm="1">
        <f t="array" ref="N76">INDEX(VehicleCostData2022!$T$16:$T$86,MATCH(1,(VehicleCostData2022!$R$16:$R$86=$E76)*(VehicleCostData2022!$S$16:$S$86=$F76),0))</f>
        <v>995097.14073852904</v>
      </c>
      <c r="O76" s="73">
        <f t="shared" ref="O76:W91" si="45">$N76*INDEX($O$3:$W$6,MATCH($G76,$K$3:$K$6,0),MATCH(O$10,$O$2:$W$2,0))</f>
        <v>971522.4035404562</v>
      </c>
      <c r="P76" s="73">
        <f t="shared" si="45"/>
        <v>981276.56627154758</v>
      </c>
      <c r="Q76" s="73">
        <f t="shared" si="45"/>
        <v>991128.66157757246</v>
      </c>
      <c r="R76" s="73">
        <f t="shared" si="45"/>
        <v>1001079.6727094261</v>
      </c>
      <c r="S76" s="73">
        <f t="shared" si="45"/>
        <v>1011130.592789921</v>
      </c>
      <c r="T76" s="73">
        <f t="shared" si="45"/>
        <v>1021282.4249129019</v>
      </c>
      <c r="U76" s="73">
        <f t="shared" si="45"/>
        <v>1031536.1822433565</v>
      </c>
      <c r="V76" s="73">
        <f t="shared" si="45"/>
        <v>1041892.8881185302</v>
      </c>
      <c r="W76" s="73">
        <f t="shared" si="45"/>
        <v>1052353.576150056</v>
      </c>
      <c r="X76" s="92">
        <v>2.7E-2</v>
      </c>
      <c r="Y76" s="94">
        <f t="shared" ref="Y76:Y92" si="46">N76*$X76</f>
        <v>26867.622799940284</v>
      </c>
      <c r="Z76" s="94">
        <f t="shared" si="35"/>
        <v>26231.104895592318</v>
      </c>
      <c r="AA76" s="94">
        <f t="shared" si="36"/>
        <v>26494.467289331784</v>
      </c>
      <c r="AB76" s="94">
        <f t="shared" si="37"/>
        <v>26760.473862594456</v>
      </c>
      <c r="AC76" s="94">
        <f t="shared" si="38"/>
        <v>27029.151163154507</v>
      </c>
      <c r="AD76" s="94">
        <f t="shared" si="39"/>
        <v>27300.526005327865</v>
      </c>
      <c r="AE76" s="94">
        <f t="shared" si="40"/>
        <v>27574.625472648353</v>
      </c>
      <c r="AF76" s="94">
        <f t="shared" si="41"/>
        <v>27851.476920570625</v>
      </c>
      <c r="AG76" s="94">
        <f t="shared" si="42"/>
        <v>28131.107979200315</v>
      </c>
      <c r="AH76" s="94">
        <f t="shared" si="43"/>
        <v>28413.546556051511</v>
      </c>
    </row>
    <row r="77" spans="1:34" x14ac:dyDescent="0.25">
      <c r="A77" s="71" t="s">
        <v>13</v>
      </c>
      <c r="B77" s="71" t="s">
        <v>27</v>
      </c>
      <c r="C77" s="71" t="s">
        <v>57</v>
      </c>
      <c r="D77" s="71" t="s">
        <v>36</v>
      </c>
      <c r="E77" s="71" t="s">
        <v>56</v>
      </c>
      <c r="F77" s="71" t="s">
        <v>36</v>
      </c>
      <c r="G77" s="74" t="str">
        <f t="shared" si="44"/>
        <v>ICE</v>
      </c>
      <c r="H77" s="72" t="s">
        <v>75</v>
      </c>
      <c r="I77" s="71" t="str">
        <f t="shared" si="30"/>
        <v>F</v>
      </c>
      <c r="J77" s="71" t="str">
        <f t="shared" si="31"/>
        <v>HCV6</v>
      </c>
      <c r="K77" s="71" t="str">
        <f t="shared" si="32"/>
        <v/>
      </c>
      <c r="L77" s="74" t="str">
        <f t="shared" si="33"/>
        <v>TFHCV6ODS-N</v>
      </c>
      <c r="M77" s="74" t="str">
        <f t="shared" si="34"/>
        <v>TFHCV6ODS-E</v>
      </c>
      <c r="N77" s="75" cm="1">
        <f t="array" ref="N77">INDEX(VehicleCostData2022!$T$16:$T$86,MATCH(1,(VehicleCostData2022!$R$16:$R$86=$E77)*(VehicleCostData2022!$S$16:$S$86=$F77),0))</f>
        <v>861659.92260461533</v>
      </c>
      <c r="O77" s="73">
        <f t="shared" si="45"/>
        <v>841246.43190315517</v>
      </c>
      <c r="P77" s="73">
        <f t="shared" si="45"/>
        <v>849692.61344650399</v>
      </c>
      <c r="Q77" s="73">
        <f t="shared" si="45"/>
        <v>858223.59532891843</v>
      </c>
      <c r="R77" s="73">
        <f t="shared" si="45"/>
        <v>866840.22895259364</v>
      </c>
      <c r="S77" s="73">
        <f t="shared" si="45"/>
        <v>875543.37426787091</v>
      </c>
      <c r="T77" s="73">
        <f t="shared" si="45"/>
        <v>884333.8998590617</v>
      </c>
      <c r="U77" s="73">
        <f t="shared" si="45"/>
        <v>893212.68303113349</v>
      </c>
      <c r="V77" s="73">
        <f t="shared" si="45"/>
        <v>902180.60989726614</v>
      </c>
      <c r="W77" s="73">
        <f t="shared" si="45"/>
        <v>911238.57546728675</v>
      </c>
      <c r="X77" s="92">
        <v>2.7E-2</v>
      </c>
      <c r="Y77" s="94">
        <f t="shared" si="46"/>
        <v>23264.817910324615</v>
      </c>
      <c r="Z77" s="94">
        <f t="shared" si="35"/>
        <v>22713.653661385189</v>
      </c>
      <c r="AA77" s="94">
        <f t="shared" si="36"/>
        <v>22941.700563055609</v>
      </c>
      <c r="AB77" s="94">
        <f t="shared" si="37"/>
        <v>23172.037073880798</v>
      </c>
      <c r="AC77" s="94">
        <f t="shared" si="38"/>
        <v>23404.68618172003</v>
      </c>
      <c r="AD77" s="94">
        <f t="shared" si="39"/>
        <v>23639.671105232515</v>
      </c>
      <c r="AE77" s="94">
        <f t="shared" si="40"/>
        <v>23877.015296194666</v>
      </c>
      <c r="AF77" s="94">
        <f t="shared" si="41"/>
        <v>24116.742441840604</v>
      </c>
      <c r="AG77" s="94">
        <f t="shared" si="42"/>
        <v>24358.876467226186</v>
      </c>
      <c r="AH77" s="94">
        <f t="shared" si="43"/>
        <v>24603.441537616742</v>
      </c>
    </row>
    <row r="78" spans="1:34" x14ac:dyDescent="0.25">
      <c r="A78" s="71" t="s">
        <v>9</v>
      </c>
      <c r="B78" s="71" t="s">
        <v>27</v>
      </c>
      <c r="C78" s="71" t="s">
        <v>57</v>
      </c>
      <c r="D78" s="71" t="s">
        <v>36</v>
      </c>
      <c r="E78" s="71" t="s">
        <v>56</v>
      </c>
      <c r="F78" s="71" t="s">
        <v>41</v>
      </c>
      <c r="G78" s="74" t="str">
        <f t="shared" si="44"/>
        <v>BEV</v>
      </c>
      <c r="H78" s="72" t="s">
        <v>75</v>
      </c>
      <c r="I78" s="71" t="str">
        <f t="shared" si="30"/>
        <v>F</v>
      </c>
      <c r="J78" s="71" t="str">
        <f t="shared" si="31"/>
        <v>HCV6</v>
      </c>
      <c r="K78" s="71" t="str">
        <f t="shared" si="32"/>
        <v/>
      </c>
      <c r="L78" s="74" t="str">
        <f t="shared" si="33"/>
        <v>TFHCV6ELC-N</v>
      </c>
      <c r="M78" s="74" t="str">
        <f t="shared" si="34"/>
        <v>TFHCV6ELC-E</v>
      </c>
      <c r="N78" s="75" cm="1">
        <f t="array" ref="N78">INDEX(VehicleCostData2022!$T$16:$T$86,MATCH(1,(VehicleCostData2022!$R$16:$R$86=$E78)*(VehicleCostData2022!$S$16:$S$86=$F78),0))</f>
        <v>1337358.1511070214</v>
      </c>
      <c r="O78" s="73">
        <f t="shared" si="45"/>
        <v>4762472.8375221454</v>
      </c>
      <c r="P78" s="73">
        <f t="shared" si="45"/>
        <v>3335341.7181824977</v>
      </c>
      <c r="Q78" s="73">
        <f t="shared" si="45"/>
        <v>1908210.59884285</v>
      </c>
      <c r="R78" s="73">
        <f t="shared" si="45"/>
        <v>1217485.1948797503</v>
      </c>
      <c r="S78" s="73">
        <f t="shared" si="45"/>
        <v>1017696.9345009585</v>
      </c>
      <c r="T78" s="73">
        <f t="shared" si="45"/>
        <v>986709.36758505902</v>
      </c>
      <c r="U78" s="73">
        <f t="shared" si="45"/>
        <v>955721.80066916428</v>
      </c>
      <c r="V78" s="73">
        <f t="shared" si="45"/>
        <v>924734.23375326954</v>
      </c>
      <c r="W78" s="73">
        <f t="shared" si="45"/>
        <v>893746.66683737491</v>
      </c>
      <c r="X78" s="92">
        <v>2.0250000000000001E-2</v>
      </c>
      <c r="Y78" s="94">
        <f t="shared" si="46"/>
        <v>27081.502559917182</v>
      </c>
      <c r="Z78" s="94">
        <f t="shared" si="35"/>
        <v>96440.07495982344</v>
      </c>
      <c r="AA78" s="94">
        <f t="shared" si="36"/>
        <v>67540.669793195586</v>
      </c>
      <c r="AB78" s="94">
        <f t="shared" si="37"/>
        <v>38641.26462656771</v>
      </c>
      <c r="AC78" s="94">
        <f t="shared" si="38"/>
        <v>24654.075196314945</v>
      </c>
      <c r="AD78" s="94">
        <f t="shared" si="39"/>
        <v>20608.36292364441</v>
      </c>
      <c r="AE78" s="94">
        <f t="shared" si="40"/>
        <v>19980.864693597447</v>
      </c>
      <c r="AF78" s="94">
        <f t="shared" si="41"/>
        <v>19353.366463550577</v>
      </c>
      <c r="AG78" s="94">
        <f t="shared" si="42"/>
        <v>18725.868233503708</v>
      </c>
      <c r="AH78" s="94">
        <f t="shared" si="43"/>
        <v>18098.370003456843</v>
      </c>
    </row>
    <row r="79" spans="1:34" x14ac:dyDescent="0.25">
      <c r="A79" s="95" t="s">
        <v>10</v>
      </c>
      <c r="B79" s="71" t="s">
        <v>27</v>
      </c>
      <c r="C79" s="71" t="s">
        <v>57</v>
      </c>
      <c r="D79" s="71" t="s">
        <v>36</v>
      </c>
      <c r="E79" s="71" t="s">
        <v>56</v>
      </c>
      <c r="F79" s="71" t="s">
        <v>44</v>
      </c>
      <c r="G79" s="95" t="s">
        <v>264</v>
      </c>
      <c r="H79" s="72" t="s">
        <v>75</v>
      </c>
      <c r="I79" s="71" t="str">
        <f t="shared" si="30"/>
        <v>F</v>
      </c>
      <c r="J79" s="71" t="str">
        <f t="shared" si="31"/>
        <v>HCV6</v>
      </c>
      <c r="K79" s="71" t="str">
        <f t="shared" si="32"/>
        <v/>
      </c>
      <c r="L79" s="74" t="str">
        <f t="shared" si="33"/>
        <v>TFHCV6HGN-N</v>
      </c>
      <c r="M79" s="74" t="str">
        <f t="shared" si="34"/>
        <v>TFHCV6HGN-E</v>
      </c>
      <c r="N79" s="75" cm="1">
        <f t="array" ref="N79">INDEX(VehicleCostData2022!$T$16:$T$86,MATCH(1,(VehicleCostData2022!$R$16:$R$86=$E79)*(VehicleCostData2022!$S$16:$S$86=$F79),0))</f>
        <v>1887434.9410157723</v>
      </c>
      <c r="O79" s="73">
        <f t="shared" si="45"/>
        <v>6721354.0604191525</v>
      </c>
      <c r="P79" s="73">
        <f t="shared" si="45"/>
        <v>4707221.0940010594</v>
      </c>
      <c r="Q79" s="73">
        <f t="shared" si="45"/>
        <v>2693088.1275829664</v>
      </c>
      <c r="R79" s="73">
        <f t="shared" si="45"/>
        <v>1718256.3213027795</v>
      </c>
      <c r="S79" s="73">
        <f t="shared" si="45"/>
        <v>1436291.9551144494</v>
      </c>
      <c r="T79" s="73">
        <f t="shared" si="45"/>
        <v>1392558.7064811499</v>
      </c>
      <c r="U79" s="73">
        <f t="shared" si="45"/>
        <v>1348825.4578478571</v>
      </c>
      <c r="V79" s="73">
        <f t="shared" si="45"/>
        <v>1305092.2092145644</v>
      </c>
      <c r="W79" s="73">
        <f t="shared" si="45"/>
        <v>1261358.9605812717</v>
      </c>
      <c r="X79" s="92">
        <v>2.0250000000000001E-2</v>
      </c>
      <c r="Y79" s="94">
        <f t="shared" si="46"/>
        <v>38220.557555569387</v>
      </c>
      <c r="Z79" s="94">
        <f t="shared" si="35"/>
        <v>136107.41972348784</v>
      </c>
      <c r="AA79" s="94">
        <f t="shared" si="36"/>
        <v>95321.227153521453</v>
      </c>
      <c r="AB79" s="94">
        <f t="shared" si="37"/>
        <v>54535.034583555069</v>
      </c>
      <c r="AC79" s="94">
        <f t="shared" si="38"/>
        <v>34794.690506381288</v>
      </c>
      <c r="AD79" s="94">
        <f t="shared" si="39"/>
        <v>29084.912091067599</v>
      </c>
      <c r="AE79" s="94">
        <f t="shared" si="40"/>
        <v>28199.313806243284</v>
      </c>
      <c r="AF79" s="94">
        <f t="shared" si="41"/>
        <v>27313.715521419108</v>
      </c>
      <c r="AG79" s="94">
        <f t="shared" si="42"/>
        <v>26428.117236594931</v>
      </c>
      <c r="AH79" s="94">
        <f t="shared" si="43"/>
        <v>25542.518951770751</v>
      </c>
    </row>
    <row r="80" spans="1:34" x14ac:dyDescent="0.25">
      <c r="A80" s="71" t="s">
        <v>12</v>
      </c>
      <c r="B80" s="71" t="s">
        <v>27</v>
      </c>
      <c r="C80" s="71" t="s">
        <v>57</v>
      </c>
      <c r="D80" s="71" t="s">
        <v>36</v>
      </c>
      <c r="E80" s="71" t="s">
        <v>56</v>
      </c>
      <c r="F80" s="71" t="s">
        <v>45</v>
      </c>
      <c r="G80" s="74" t="str">
        <f t="shared" si="44"/>
        <v>ICE</v>
      </c>
      <c r="H80" s="72" t="s">
        <v>75</v>
      </c>
      <c r="I80" s="71" t="str">
        <f t="shared" si="30"/>
        <v>F</v>
      </c>
      <c r="J80" s="71" t="str">
        <f t="shared" si="31"/>
        <v>HCV6</v>
      </c>
      <c r="K80" s="71" t="str">
        <f t="shared" si="32"/>
        <v/>
      </c>
      <c r="L80" s="74" t="str">
        <f t="shared" si="33"/>
        <v>TFHCV6GAS-N</v>
      </c>
      <c r="M80" s="74" t="str">
        <f t="shared" si="34"/>
        <v>TFHCV6GAS-E</v>
      </c>
      <c r="N80" s="75" cm="1">
        <f t="array" ref="N80">INDEX(VehicleCostData2022!$T$16:$T$86,MATCH(1,(VehicleCostData2022!$R$16:$R$86=$E80)*(VehicleCostData2022!$S$16:$S$86=$F80),0))</f>
        <v>995097.14073852904</v>
      </c>
      <c r="O80" s="73">
        <f t="shared" si="45"/>
        <v>971522.4035404562</v>
      </c>
      <c r="P80" s="73">
        <f t="shared" si="45"/>
        <v>981276.56627154758</v>
      </c>
      <c r="Q80" s="73">
        <f t="shared" si="45"/>
        <v>991128.66157757246</v>
      </c>
      <c r="R80" s="73">
        <f t="shared" si="45"/>
        <v>1001079.6727094261</v>
      </c>
      <c r="S80" s="73">
        <f t="shared" si="45"/>
        <v>1011130.592789921</v>
      </c>
      <c r="T80" s="73">
        <f t="shared" si="45"/>
        <v>1021282.4249129019</v>
      </c>
      <c r="U80" s="73">
        <f t="shared" si="45"/>
        <v>1031536.1822433565</v>
      </c>
      <c r="V80" s="73">
        <f t="shared" si="45"/>
        <v>1041892.8881185302</v>
      </c>
      <c r="W80" s="73">
        <f t="shared" si="45"/>
        <v>1052353.576150056</v>
      </c>
      <c r="X80" s="92">
        <v>2.7E-2</v>
      </c>
      <c r="Y80" s="94">
        <f t="shared" si="46"/>
        <v>26867.622799940284</v>
      </c>
      <c r="Z80" s="94">
        <f t="shared" si="35"/>
        <v>26231.104895592318</v>
      </c>
      <c r="AA80" s="94">
        <f t="shared" si="36"/>
        <v>26494.467289331784</v>
      </c>
      <c r="AB80" s="94">
        <f t="shared" si="37"/>
        <v>26760.473862594456</v>
      </c>
      <c r="AC80" s="94">
        <f t="shared" si="38"/>
        <v>27029.151163154507</v>
      </c>
      <c r="AD80" s="94">
        <f t="shared" si="39"/>
        <v>27300.526005327865</v>
      </c>
      <c r="AE80" s="94">
        <f t="shared" si="40"/>
        <v>27574.625472648353</v>
      </c>
      <c r="AF80" s="94">
        <f t="shared" si="41"/>
        <v>27851.476920570625</v>
      </c>
      <c r="AG80" s="94">
        <f t="shared" si="42"/>
        <v>28131.107979200315</v>
      </c>
      <c r="AH80" s="94">
        <f t="shared" si="43"/>
        <v>28413.546556051511</v>
      </c>
    </row>
    <row r="81" spans="1:34" x14ac:dyDescent="0.25">
      <c r="A81" s="71" t="s">
        <v>13</v>
      </c>
      <c r="B81" s="71" t="s">
        <v>27</v>
      </c>
      <c r="C81" s="71" t="s">
        <v>58</v>
      </c>
      <c r="D81" s="71" t="s">
        <v>36</v>
      </c>
      <c r="E81" s="71" t="s">
        <v>59</v>
      </c>
      <c r="F81" s="71" t="s">
        <v>36</v>
      </c>
      <c r="G81" s="74" t="str">
        <f t="shared" si="44"/>
        <v>ICE</v>
      </c>
      <c r="H81" s="72" t="s">
        <v>75</v>
      </c>
      <c r="I81" s="71" t="str">
        <f t="shared" si="30"/>
        <v>F</v>
      </c>
      <c r="J81" s="71" t="str">
        <f t="shared" si="31"/>
        <v>HCV7</v>
      </c>
      <c r="K81" s="71" t="str">
        <f t="shared" si="32"/>
        <v/>
      </c>
      <c r="L81" s="74" t="str">
        <f t="shared" si="33"/>
        <v>TFHCV7ODS-N</v>
      </c>
      <c r="M81" s="74" t="str">
        <f t="shared" si="34"/>
        <v>TFHCV7ODS-E</v>
      </c>
      <c r="N81" s="75" cm="1">
        <f t="array" ref="N81">INDEX(VehicleCostData2022!$T$16:$T$86,MATCH(1,(VehicleCostData2022!$R$16:$R$86=$E81)*(VehicleCostData2022!$S$16:$S$86=$F81),0))</f>
        <v>1133048.1053792366</v>
      </c>
      <c r="O81" s="73">
        <f t="shared" si="45"/>
        <v>1106205.1870112212</v>
      </c>
      <c r="P81" s="73">
        <f t="shared" si="45"/>
        <v>1117311.5756737606</v>
      </c>
      <c r="Q81" s="73">
        <f t="shared" si="45"/>
        <v>1128529.4733678717</v>
      </c>
      <c r="R81" s="73">
        <f t="shared" si="45"/>
        <v>1139859.9996531613</v>
      </c>
      <c r="S81" s="73">
        <f t="shared" si="45"/>
        <v>1151304.2853297042</v>
      </c>
      <c r="T81" s="73">
        <f t="shared" si="45"/>
        <v>1162863.4725508986</v>
      </c>
      <c r="U81" s="73">
        <f t="shared" si="45"/>
        <v>1174538.7149374534</v>
      </c>
      <c r="V81" s="73">
        <f t="shared" si="45"/>
        <v>1186331.177692523</v>
      </c>
      <c r="W81" s="73">
        <f t="shared" si="45"/>
        <v>1198242.0377179945</v>
      </c>
      <c r="X81" s="92">
        <v>2.7E-2</v>
      </c>
      <c r="Y81" s="94">
        <f t="shared" si="46"/>
        <v>30592.298845239387</v>
      </c>
      <c r="Z81" s="94">
        <f t="shared" si="35"/>
        <v>29867.54004930297</v>
      </c>
      <c r="AA81" s="94">
        <f t="shared" si="36"/>
        <v>30167.412543191534</v>
      </c>
      <c r="AB81" s="94">
        <f t="shared" si="37"/>
        <v>30470.295780932534</v>
      </c>
      <c r="AC81" s="94">
        <f t="shared" si="38"/>
        <v>30776.219990635353</v>
      </c>
      <c r="AD81" s="94">
        <f t="shared" si="39"/>
        <v>31085.215703902013</v>
      </c>
      <c r="AE81" s="94">
        <f t="shared" si="40"/>
        <v>31397.313758874261</v>
      </c>
      <c r="AF81" s="94">
        <f t="shared" si="41"/>
        <v>31712.545303311243</v>
      </c>
      <c r="AG81" s="94">
        <f t="shared" si="42"/>
        <v>32030.94179769812</v>
      </c>
      <c r="AH81" s="94">
        <f t="shared" si="43"/>
        <v>32352.535018385854</v>
      </c>
    </row>
    <row r="82" spans="1:34" x14ac:dyDescent="0.25">
      <c r="A82" s="71" t="s">
        <v>9</v>
      </c>
      <c r="B82" s="71" t="s">
        <v>27</v>
      </c>
      <c r="C82" s="71" t="s">
        <v>58</v>
      </c>
      <c r="D82" s="71" t="s">
        <v>36</v>
      </c>
      <c r="E82" s="71" t="s">
        <v>59</v>
      </c>
      <c r="F82" s="71" t="s">
        <v>41</v>
      </c>
      <c r="G82" s="74" t="str">
        <f t="shared" si="44"/>
        <v>BEV</v>
      </c>
      <c r="H82" s="72" t="s">
        <v>75</v>
      </c>
      <c r="I82" s="71" t="str">
        <f t="shared" si="30"/>
        <v>F</v>
      </c>
      <c r="J82" s="71" t="str">
        <f t="shared" si="31"/>
        <v>HCV7</v>
      </c>
      <c r="K82" s="71" t="str">
        <f t="shared" si="32"/>
        <v/>
      </c>
      <c r="L82" s="74" t="str">
        <f t="shared" si="33"/>
        <v>TFHCV7ELC-N</v>
      </c>
      <c r="M82" s="74" t="str">
        <f t="shared" si="34"/>
        <v>TFHCV7ELC-E</v>
      </c>
      <c r="N82" s="75" cm="1">
        <f t="array" ref="N82">INDEX(VehicleCostData2022!$T$16:$T$86,MATCH(1,(VehicleCostData2022!$R$16:$R$86=$E82)*(VehicleCostData2022!$S$16:$S$86=$F82),0))</f>
        <v>1758572.1229146707</v>
      </c>
      <c r="O82" s="73">
        <f t="shared" si="45"/>
        <v>6262460.0308242766</v>
      </c>
      <c r="P82" s="73">
        <f t="shared" si="45"/>
        <v>4385840.0691952575</v>
      </c>
      <c r="Q82" s="73">
        <f t="shared" si="45"/>
        <v>2509220.1075662384</v>
      </c>
      <c r="R82" s="73">
        <f t="shared" si="45"/>
        <v>1600944.0118973251</v>
      </c>
      <c r="S82" s="73">
        <f t="shared" si="45"/>
        <v>1338230.4935350739</v>
      </c>
      <c r="T82" s="73">
        <f t="shared" si="45"/>
        <v>1297483.0906870444</v>
      </c>
      <c r="U82" s="73">
        <f t="shared" si="45"/>
        <v>1256735.6878390212</v>
      </c>
      <c r="V82" s="73">
        <f t="shared" si="45"/>
        <v>1215988.2849909978</v>
      </c>
      <c r="W82" s="73">
        <f t="shared" si="45"/>
        <v>1175240.8821429745</v>
      </c>
      <c r="X82" s="92">
        <v>2.0250000000000001E-2</v>
      </c>
      <c r="Y82" s="94">
        <f t="shared" si="46"/>
        <v>35611.08548902208</v>
      </c>
      <c r="Z82" s="94">
        <f t="shared" si="35"/>
        <v>126814.8156241916</v>
      </c>
      <c r="AA82" s="94">
        <f t="shared" si="36"/>
        <v>88813.26140120397</v>
      </c>
      <c r="AB82" s="94">
        <f t="shared" si="37"/>
        <v>50811.707178216326</v>
      </c>
      <c r="AC82" s="94">
        <f t="shared" si="38"/>
        <v>32419.116240920834</v>
      </c>
      <c r="AD82" s="94">
        <f t="shared" si="39"/>
        <v>27099.16749408525</v>
      </c>
      <c r="AE82" s="94">
        <f t="shared" si="40"/>
        <v>26274.03258641265</v>
      </c>
      <c r="AF82" s="94">
        <f t="shared" si="41"/>
        <v>25448.897678740181</v>
      </c>
      <c r="AG82" s="94">
        <f t="shared" si="42"/>
        <v>24623.762771067704</v>
      </c>
      <c r="AH82" s="94">
        <f t="shared" si="43"/>
        <v>23798.627863395235</v>
      </c>
    </row>
    <row r="83" spans="1:34" x14ac:dyDescent="0.25">
      <c r="A83" s="95" t="s">
        <v>10</v>
      </c>
      <c r="B83" s="71" t="s">
        <v>27</v>
      </c>
      <c r="C83" s="71" t="s">
        <v>58</v>
      </c>
      <c r="D83" s="71" t="s">
        <v>36</v>
      </c>
      <c r="E83" s="71" t="s">
        <v>59</v>
      </c>
      <c r="F83" s="71" t="s">
        <v>44</v>
      </c>
      <c r="G83" s="95" t="s">
        <v>264</v>
      </c>
      <c r="H83" s="72" t="s">
        <v>75</v>
      </c>
      <c r="I83" s="71" t="str">
        <f t="shared" si="30"/>
        <v>F</v>
      </c>
      <c r="J83" s="71" t="str">
        <f t="shared" si="31"/>
        <v>HCV7</v>
      </c>
      <c r="K83" s="71" t="str">
        <f t="shared" si="32"/>
        <v/>
      </c>
      <c r="L83" s="74" t="str">
        <f t="shared" si="33"/>
        <v>TFHCV7HGN-N</v>
      </c>
      <c r="M83" s="74" t="str">
        <f t="shared" si="34"/>
        <v>TFHCV7HGN-E</v>
      </c>
      <c r="N83" s="75" cm="1">
        <f t="array" ref="N83">INDEX(VehicleCostData2022!$T$16:$T$86,MATCH(1,(VehicleCostData2022!$R$16:$R$86=$E83)*(VehicleCostData2022!$S$16:$S$86=$F83),0))</f>
        <v>2565517.2470272132</v>
      </c>
      <c r="O83" s="73">
        <f t="shared" si="45"/>
        <v>9136076.3704530932</v>
      </c>
      <c r="P83" s="73">
        <f t="shared" si="45"/>
        <v>6398343.402358952</v>
      </c>
      <c r="Q83" s="73">
        <f t="shared" si="45"/>
        <v>3660610.4342648112</v>
      </c>
      <c r="R83" s="73">
        <f t="shared" si="45"/>
        <v>2335559.2986656362</v>
      </c>
      <c r="S83" s="73">
        <f t="shared" si="45"/>
        <v>1952296.0513963292</v>
      </c>
      <c r="T83" s="73">
        <f t="shared" si="45"/>
        <v>1892851.1395749573</v>
      </c>
      <c r="U83" s="73">
        <f t="shared" si="45"/>
        <v>1833406.2277535943</v>
      </c>
      <c r="V83" s="73">
        <f t="shared" si="45"/>
        <v>1773961.3159322315</v>
      </c>
      <c r="W83" s="73">
        <f t="shared" si="45"/>
        <v>1714516.4041108685</v>
      </c>
      <c r="X83" s="92">
        <v>2.0250000000000001E-2</v>
      </c>
      <c r="Y83" s="94">
        <f t="shared" si="46"/>
        <v>51951.724252301072</v>
      </c>
      <c r="Z83" s="94">
        <f t="shared" si="35"/>
        <v>185005.54650167516</v>
      </c>
      <c r="AA83" s="94">
        <f t="shared" si="36"/>
        <v>129566.45389776878</v>
      </c>
      <c r="AB83" s="94">
        <f t="shared" si="37"/>
        <v>74127.361293862428</v>
      </c>
      <c r="AC83" s="94">
        <f t="shared" si="38"/>
        <v>47295.075797979138</v>
      </c>
      <c r="AD83" s="94">
        <f t="shared" si="39"/>
        <v>39533.99504077567</v>
      </c>
      <c r="AE83" s="94">
        <f t="shared" si="40"/>
        <v>38330.235576392886</v>
      </c>
      <c r="AF83" s="94">
        <f t="shared" si="41"/>
        <v>37126.476112010285</v>
      </c>
      <c r="AG83" s="94">
        <f t="shared" si="42"/>
        <v>35922.716647627691</v>
      </c>
      <c r="AH83" s="94">
        <f t="shared" si="43"/>
        <v>34718.957183245089</v>
      </c>
    </row>
    <row r="84" spans="1:34" x14ac:dyDescent="0.25">
      <c r="A84" s="71" t="s">
        <v>12</v>
      </c>
      <c r="B84" s="71" t="s">
        <v>27</v>
      </c>
      <c r="C84" s="71" t="s">
        <v>58</v>
      </c>
      <c r="D84" s="71" t="s">
        <v>36</v>
      </c>
      <c r="E84" s="71" t="s">
        <v>59</v>
      </c>
      <c r="F84" s="71" t="s">
        <v>45</v>
      </c>
      <c r="G84" s="74" t="str">
        <f t="shared" si="44"/>
        <v>ICE</v>
      </c>
      <c r="H84" s="72" t="s">
        <v>75</v>
      </c>
      <c r="I84" s="71" t="str">
        <f t="shared" si="30"/>
        <v>F</v>
      </c>
      <c r="J84" s="71" t="str">
        <f t="shared" si="31"/>
        <v>HCV7</v>
      </c>
      <c r="K84" s="71" t="str">
        <f t="shared" si="32"/>
        <v/>
      </c>
      <c r="L84" s="74" t="str">
        <f t="shared" si="33"/>
        <v>TFHCV7GAS-N</v>
      </c>
      <c r="M84" s="74" t="str">
        <f t="shared" si="34"/>
        <v>TFHCV7GAS-E</v>
      </c>
      <c r="N84" s="75" cm="1">
        <f t="array" ref="N84">INDEX(VehicleCostData2022!$T$16:$T$86,MATCH(1,(VehicleCostData2022!$R$16:$R$86=$E84)*(VehicleCostData2022!$S$16:$S$86=$F84),0))</f>
        <v>1314023.0851808547</v>
      </c>
      <c r="O84" s="73">
        <f t="shared" si="45"/>
        <v>1282892.7084194976</v>
      </c>
      <c r="P84" s="73">
        <f t="shared" si="45"/>
        <v>1295773.0539461186</v>
      </c>
      <c r="Q84" s="73">
        <f t="shared" si="45"/>
        <v>1308782.7191732849</v>
      </c>
      <c r="R84" s="73">
        <f t="shared" si="45"/>
        <v>1321923.0024811465</v>
      </c>
      <c r="S84" s="73">
        <f t="shared" si="45"/>
        <v>1335195.2152856935</v>
      </c>
      <c r="T84" s="73">
        <f t="shared" si="45"/>
        <v>1348600.6821696374</v>
      </c>
      <c r="U84" s="73">
        <f t="shared" si="45"/>
        <v>1362140.7410146061</v>
      </c>
      <c r="V84" s="73">
        <f t="shared" si="45"/>
        <v>1375816.7431346667</v>
      </c>
      <c r="W84" s="73">
        <f t="shared" si="45"/>
        <v>1389630.0534111874</v>
      </c>
      <c r="X84" s="92">
        <v>2.7E-2</v>
      </c>
      <c r="Y84" s="94">
        <f t="shared" si="46"/>
        <v>35478.623299883075</v>
      </c>
      <c r="Z84" s="94">
        <f t="shared" si="35"/>
        <v>34638.103127326438</v>
      </c>
      <c r="AA84" s="94">
        <f t="shared" si="36"/>
        <v>34985.872456545199</v>
      </c>
      <c r="AB84" s="94">
        <f t="shared" si="37"/>
        <v>35337.133417678691</v>
      </c>
      <c r="AC84" s="94">
        <f t="shared" si="38"/>
        <v>35691.921066990952</v>
      </c>
      <c r="AD84" s="94">
        <f t="shared" si="39"/>
        <v>36050.270812713723</v>
      </c>
      <c r="AE84" s="94">
        <f t="shared" si="40"/>
        <v>36412.218418580211</v>
      </c>
      <c r="AF84" s="94">
        <f t="shared" si="41"/>
        <v>36777.800007394362</v>
      </c>
      <c r="AG84" s="94">
        <f t="shared" si="42"/>
        <v>37147.052064636002</v>
      </c>
      <c r="AH84" s="94">
        <f t="shared" si="43"/>
        <v>37520.011442102055</v>
      </c>
    </row>
    <row r="85" spans="1:34" x14ac:dyDescent="0.25">
      <c r="A85" s="71" t="s">
        <v>13</v>
      </c>
      <c r="B85" s="71" t="s">
        <v>27</v>
      </c>
      <c r="C85" s="71" t="s">
        <v>60</v>
      </c>
      <c r="D85" s="71" t="s">
        <v>36</v>
      </c>
      <c r="E85" s="71" t="s">
        <v>59</v>
      </c>
      <c r="F85" s="71" t="s">
        <v>36</v>
      </c>
      <c r="G85" s="74" t="str">
        <f t="shared" si="44"/>
        <v>ICE</v>
      </c>
      <c r="H85" s="72" t="s">
        <v>75</v>
      </c>
      <c r="I85" s="71" t="str">
        <f t="shared" si="30"/>
        <v>F</v>
      </c>
      <c r="J85" s="71" t="str">
        <f t="shared" si="31"/>
        <v>HCV8</v>
      </c>
      <c r="K85" s="71" t="str">
        <f t="shared" si="32"/>
        <v/>
      </c>
      <c r="L85" s="74" t="str">
        <f t="shared" si="33"/>
        <v>TFHCV8ODS-N</v>
      </c>
      <c r="M85" s="74" t="str">
        <f t="shared" si="34"/>
        <v>TFHCV8ODS-E</v>
      </c>
      <c r="N85" s="75" cm="1">
        <f t="array" ref="N85">INDEX(VehicleCostData2022!$T$16:$T$86,MATCH(1,(VehicleCostData2022!$R$16:$R$86=$E85)*(VehicleCostData2022!$S$16:$S$86=$F85),0))</f>
        <v>1133048.1053792366</v>
      </c>
      <c r="O85" s="73">
        <f t="shared" si="45"/>
        <v>1106205.1870112212</v>
      </c>
      <c r="P85" s="73">
        <f t="shared" si="45"/>
        <v>1117311.5756737606</v>
      </c>
      <c r="Q85" s="73">
        <f t="shared" si="45"/>
        <v>1128529.4733678717</v>
      </c>
      <c r="R85" s="73">
        <f t="shared" si="45"/>
        <v>1139859.9996531613</v>
      </c>
      <c r="S85" s="73">
        <f t="shared" si="45"/>
        <v>1151304.2853297042</v>
      </c>
      <c r="T85" s="73">
        <f t="shared" si="45"/>
        <v>1162863.4725508986</v>
      </c>
      <c r="U85" s="73">
        <f t="shared" si="45"/>
        <v>1174538.7149374534</v>
      </c>
      <c r="V85" s="73">
        <f t="shared" si="45"/>
        <v>1186331.177692523</v>
      </c>
      <c r="W85" s="73">
        <f t="shared" si="45"/>
        <v>1198242.0377179945</v>
      </c>
      <c r="X85" s="92">
        <v>2.7E-2</v>
      </c>
      <c r="Y85" s="94">
        <f t="shared" si="46"/>
        <v>30592.298845239387</v>
      </c>
      <c r="Z85" s="94">
        <f t="shared" si="35"/>
        <v>29867.54004930297</v>
      </c>
      <c r="AA85" s="94">
        <f t="shared" si="36"/>
        <v>30167.412543191534</v>
      </c>
      <c r="AB85" s="94">
        <f t="shared" si="37"/>
        <v>30470.295780932534</v>
      </c>
      <c r="AC85" s="94">
        <f t="shared" si="38"/>
        <v>30776.219990635353</v>
      </c>
      <c r="AD85" s="94">
        <f t="shared" si="39"/>
        <v>31085.215703902013</v>
      </c>
      <c r="AE85" s="94">
        <f t="shared" si="40"/>
        <v>31397.313758874261</v>
      </c>
      <c r="AF85" s="94">
        <f t="shared" si="41"/>
        <v>31712.545303311243</v>
      </c>
      <c r="AG85" s="94">
        <f t="shared" si="42"/>
        <v>32030.94179769812</v>
      </c>
      <c r="AH85" s="94">
        <f t="shared" si="43"/>
        <v>32352.535018385854</v>
      </c>
    </row>
    <row r="86" spans="1:34" x14ac:dyDescent="0.25">
      <c r="A86" s="71" t="s">
        <v>9</v>
      </c>
      <c r="B86" s="71" t="s">
        <v>27</v>
      </c>
      <c r="C86" s="71" t="s">
        <v>60</v>
      </c>
      <c r="D86" s="71" t="s">
        <v>36</v>
      </c>
      <c r="E86" s="71" t="s">
        <v>59</v>
      </c>
      <c r="F86" s="71" t="s">
        <v>41</v>
      </c>
      <c r="G86" s="74" t="str">
        <f t="shared" si="44"/>
        <v>BEV</v>
      </c>
      <c r="H86" s="72" t="s">
        <v>75</v>
      </c>
      <c r="I86" s="71" t="str">
        <f t="shared" si="30"/>
        <v>F</v>
      </c>
      <c r="J86" s="71" t="str">
        <f t="shared" si="31"/>
        <v>HCV8</v>
      </c>
      <c r="K86" s="71" t="str">
        <f t="shared" si="32"/>
        <v/>
      </c>
      <c r="L86" s="74" t="str">
        <f t="shared" si="33"/>
        <v>TFHCV8ELC-N</v>
      </c>
      <c r="M86" s="74" t="str">
        <f t="shared" si="34"/>
        <v>TFHCV8ELC-E</v>
      </c>
      <c r="N86" s="75" cm="1">
        <f t="array" ref="N86">INDEX(VehicleCostData2022!$T$16:$T$86,MATCH(1,(VehicleCostData2022!$R$16:$R$86=$E86)*(VehicleCostData2022!$S$16:$S$86=$F86),0))</f>
        <v>1758572.1229146707</v>
      </c>
      <c r="O86" s="73">
        <f t="shared" si="45"/>
        <v>6262460.0308242766</v>
      </c>
      <c r="P86" s="73">
        <f t="shared" si="45"/>
        <v>4385840.0691952575</v>
      </c>
      <c r="Q86" s="73">
        <f t="shared" si="45"/>
        <v>2509220.1075662384</v>
      </c>
      <c r="R86" s="73">
        <f t="shared" si="45"/>
        <v>1600944.0118973251</v>
      </c>
      <c r="S86" s="73">
        <f t="shared" si="45"/>
        <v>1338230.4935350739</v>
      </c>
      <c r="T86" s="73">
        <f t="shared" si="45"/>
        <v>1297483.0906870444</v>
      </c>
      <c r="U86" s="73">
        <f t="shared" si="45"/>
        <v>1256735.6878390212</v>
      </c>
      <c r="V86" s="73">
        <f t="shared" si="45"/>
        <v>1215988.2849909978</v>
      </c>
      <c r="W86" s="73">
        <f t="shared" si="45"/>
        <v>1175240.8821429745</v>
      </c>
      <c r="X86" s="92">
        <v>2.0250000000000001E-2</v>
      </c>
      <c r="Y86" s="94">
        <f t="shared" si="46"/>
        <v>35611.08548902208</v>
      </c>
      <c r="Z86" s="94">
        <f t="shared" si="35"/>
        <v>126814.8156241916</v>
      </c>
      <c r="AA86" s="94">
        <f t="shared" si="36"/>
        <v>88813.26140120397</v>
      </c>
      <c r="AB86" s="94">
        <f t="shared" si="37"/>
        <v>50811.707178216326</v>
      </c>
      <c r="AC86" s="94">
        <f t="shared" si="38"/>
        <v>32419.116240920834</v>
      </c>
      <c r="AD86" s="94">
        <f t="shared" si="39"/>
        <v>27099.16749408525</v>
      </c>
      <c r="AE86" s="94">
        <f t="shared" si="40"/>
        <v>26274.03258641265</v>
      </c>
      <c r="AF86" s="94">
        <f t="shared" si="41"/>
        <v>25448.897678740181</v>
      </c>
      <c r="AG86" s="94">
        <f t="shared" si="42"/>
        <v>24623.762771067704</v>
      </c>
      <c r="AH86" s="94">
        <f t="shared" si="43"/>
        <v>23798.627863395235</v>
      </c>
    </row>
    <row r="87" spans="1:34" x14ac:dyDescent="0.25">
      <c r="A87" s="95" t="s">
        <v>10</v>
      </c>
      <c r="B87" s="71" t="s">
        <v>27</v>
      </c>
      <c r="C87" s="71" t="s">
        <v>60</v>
      </c>
      <c r="D87" s="71" t="s">
        <v>36</v>
      </c>
      <c r="E87" s="71" t="s">
        <v>59</v>
      </c>
      <c r="F87" s="71" t="s">
        <v>44</v>
      </c>
      <c r="G87" s="95" t="s">
        <v>264</v>
      </c>
      <c r="H87" s="72" t="s">
        <v>75</v>
      </c>
      <c r="I87" s="71" t="str">
        <f t="shared" si="30"/>
        <v>F</v>
      </c>
      <c r="J87" s="71" t="str">
        <f t="shared" si="31"/>
        <v>HCV8</v>
      </c>
      <c r="K87" s="71" t="str">
        <f t="shared" si="32"/>
        <v/>
      </c>
      <c r="L87" s="74" t="str">
        <f t="shared" si="33"/>
        <v>TFHCV8HGN-N</v>
      </c>
      <c r="M87" s="74" t="str">
        <f t="shared" si="34"/>
        <v>TFHCV8HGN-E</v>
      </c>
      <c r="N87" s="75" cm="1">
        <f t="array" ref="N87">INDEX(VehicleCostData2022!$T$16:$T$86,MATCH(1,(VehicleCostData2022!$R$16:$R$86=$E87)*(VehicleCostData2022!$S$16:$S$86=$F87),0))</f>
        <v>2565517.2470272132</v>
      </c>
      <c r="O87" s="73">
        <f t="shared" si="45"/>
        <v>9136076.3704530932</v>
      </c>
      <c r="P87" s="73">
        <f t="shared" si="45"/>
        <v>6398343.402358952</v>
      </c>
      <c r="Q87" s="73">
        <f t="shared" si="45"/>
        <v>3660610.4342648112</v>
      </c>
      <c r="R87" s="73">
        <f t="shared" si="45"/>
        <v>2335559.2986656362</v>
      </c>
      <c r="S87" s="73">
        <f t="shared" si="45"/>
        <v>1952296.0513963292</v>
      </c>
      <c r="T87" s="73">
        <f t="shared" si="45"/>
        <v>1892851.1395749573</v>
      </c>
      <c r="U87" s="73">
        <f t="shared" si="45"/>
        <v>1833406.2277535943</v>
      </c>
      <c r="V87" s="73">
        <f t="shared" si="45"/>
        <v>1773961.3159322315</v>
      </c>
      <c r="W87" s="73">
        <f t="shared" si="45"/>
        <v>1714516.4041108685</v>
      </c>
      <c r="X87" s="92">
        <v>2.0250000000000001E-2</v>
      </c>
      <c r="Y87" s="94">
        <f t="shared" si="46"/>
        <v>51951.724252301072</v>
      </c>
      <c r="Z87" s="94">
        <f t="shared" si="35"/>
        <v>185005.54650167516</v>
      </c>
      <c r="AA87" s="94">
        <f t="shared" si="36"/>
        <v>129566.45389776878</v>
      </c>
      <c r="AB87" s="94">
        <f t="shared" si="37"/>
        <v>74127.361293862428</v>
      </c>
      <c r="AC87" s="94">
        <f t="shared" si="38"/>
        <v>47295.075797979138</v>
      </c>
      <c r="AD87" s="94">
        <f t="shared" si="39"/>
        <v>39533.99504077567</v>
      </c>
      <c r="AE87" s="94">
        <f t="shared" si="40"/>
        <v>38330.235576392886</v>
      </c>
      <c r="AF87" s="94">
        <f t="shared" si="41"/>
        <v>37126.476112010285</v>
      </c>
      <c r="AG87" s="94">
        <f t="shared" si="42"/>
        <v>35922.716647627691</v>
      </c>
      <c r="AH87" s="94">
        <f t="shared" si="43"/>
        <v>34718.957183245089</v>
      </c>
    </row>
    <row r="88" spans="1:34" x14ac:dyDescent="0.25">
      <c r="A88" s="71" t="s">
        <v>12</v>
      </c>
      <c r="B88" s="71" t="s">
        <v>27</v>
      </c>
      <c r="C88" s="71" t="s">
        <v>60</v>
      </c>
      <c r="D88" s="71" t="s">
        <v>36</v>
      </c>
      <c r="E88" s="71" t="s">
        <v>59</v>
      </c>
      <c r="F88" s="71" t="s">
        <v>45</v>
      </c>
      <c r="G88" s="74" t="str">
        <f t="shared" si="44"/>
        <v>ICE</v>
      </c>
      <c r="H88" s="72" t="s">
        <v>75</v>
      </c>
      <c r="I88" s="71" t="str">
        <f t="shared" si="30"/>
        <v>F</v>
      </c>
      <c r="J88" s="71" t="str">
        <f t="shared" si="31"/>
        <v>HCV8</v>
      </c>
      <c r="K88" s="71" t="str">
        <f t="shared" si="32"/>
        <v/>
      </c>
      <c r="L88" s="74" t="str">
        <f t="shared" si="33"/>
        <v>TFHCV8GAS-N</v>
      </c>
      <c r="M88" s="74" t="str">
        <f t="shared" si="34"/>
        <v>TFHCV8GAS-E</v>
      </c>
      <c r="N88" s="75" cm="1">
        <f t="array" ref="N88">INDEX(VehicleCostData2022!$T$16:$T$86,MATCH(1,(VehicleCostData2022!$R$16:$R$86=$E88)*(VehicleCostData2022!$S$16:$S$86=$F88),0))</f>
        <v>1314023.0851808547</v>
      </c>
      <c r="O88" s="73">
        <f t="shared" si="45"/>
        <v>1282892.7084194976</v>
      </c>
      <c r="P88" s="73">
        <f t="shared" si="45"/>
        <v>1295773.0539461186</v>
      </c>
      <c r="Q88" s="73">
        <f t="shared" si="45"/>
        <v>1308782.7191732849</v>
      </c>
      <c r="R88" s="73">
        <f t="shared" si="45"/>
        <v>1321923.0024811465</v>
      </c>
      <c r="S88" s="73">
        <f t="shared" si="45"/>
        <v>1335195.2152856935</v>
      </c>
      <c r="T88" s="73">
        <f t="shared" si="45"/>
        <v>1348600.6821696374</v>
      </c>
      <c r="U88" s="73">
        <f t="shared" si="45"/>
        <v>1362140.7410146061</v>
      </c>
      <c r="V88" s="73">
        <f t="shared" si="45"/>
        <v>1375816.7431346667</v>
      </c>
      <c r="W88" s="73">
        <f t="shared" si="45"/>
        <v>1389630.0534111874</v>
      </c>
      <c r="X88" s="92">
        <v>2.7E-2</v>
      </c>
      <c r="Y88" s="94">
        <f t="shared" si="46"/>
        <v>35478.623299883075</v>
      </c>
      <c r="Z88" s="94">
        <f t="shared" si="35"/>
        <v>34638.103127326438</v>
      </c>
      <c r="AA88" s="94">
        <f t="shared" si="36"/>
        <v>34985.872456545199</v>
      </c>
      <c r="AB88" s="94">
        <f t="shared" si="37"/>
        <v>35337.133417678691</v>
      </c>
      <c r="AC88" s="94">
        <f t="shared" si="38"/>
        <v>35691.921066990952</v>
      </c>
      <c r="AD88" s="94">
        <f t="shared" si="39"/>
        <v>36050.270812713723</v>
      </c>
      <c r="AE88" s="94">
        <f t="shared" si="40"/>
        <v>36412.218418580211</v>
      </c>
      <c r="AF88" s="94">
        <f t="shared" si="41"/>
        <v>36777.800007394362</v>
      </c>
      <c r="AG88" s="94">
        <f t="shared" si="42"/>
        <v>37147.052064636002</v>
      </c>
      <c r="AH88" s="94">
        <f t="shared" si="43"/>
        <v>37520.011442102055</v>
      </c>
    </row>
    <row r="89" spans="1:34" x14ac:dyDescent="0.25">
      <c r="A89" s="71" t="s">
        <v>13</v>
      </c>
      <c r="B89" s="71" t="s">
        <v>27</v>
      </c>
      <c r="C89" s="71" t="s">
        <v>61</v>
      </c>
      <c r="D89" s="71" t="s">
        <v>36</v>
      </c>
      <c r="E89" s="71" t="s">
        <v>59</v>
      </c>
      <c r="F89" s="71" t="s">
        <v>36</v>
      </c>
      <c r="G89" s="74" t="str">
        <f t="shared" si="44"/>
        <v>ICE</v>
      </c>
      <c r="H89" s="72" t="s">
        <v>75</v>
      </c>
      <c r="I89" s="71" t="str">
        <f t="shared" si="30"/>
        <v>F</v>
      </c>
      <c r="J89" s="71" t="str">
        <f t="shared" si="31"/>
        <v>HCV9</v>
      </c>
      <c r="K89" s="71" t="str">
        <f t="shared" si="32"/>
        <v/>
      </c>
      <c r="L89" s="74" t="str">
        <f t="shared" si="33"/>
        <v>TFHCV9ODS-N</v>
      </c>
      <c r="M89" s="74" t="str">
        <f t="shared" si="34"/>
        <v>TFHCV9ODS-E</v>
      </c>
      <c r="N89" s="75" cm="1">
        <f t="array" ref="N89">INDEX(VehicleCostData2022!$T$16:$T$86,MATCH(1,(VehicleCostData2022!$R$16:$R$86=$E89)*(VehicleCostData2022!$S$16:$S$86=$F89),0))</f>
        <v>1133048.1053792366</v>
      </c>
      <c r="O89" s="73">
        <f t="shared" si="45"/>
        <v>1106205.1870112212</v>
      </c>
      <c r="P89" s="73">
        <f t="shared" si="45"/>
        <v>1117311.5756737606</v>
      </c>
      <c r="Q89" s="73">
        <f t="shared" si="45"/>
        <v>1128529.4733678717</v>
      </c>
      <c r="R89" s="73">
        <f t="shared" si="45"/>
        <v>1139859.9996531613</v>
      </c>
      <c r="S89" s="73">
        <f t="shared" si="45"/>
        <v>1151304.2853297042</v>
      </c>
      <c r="T89" s="73">
        <f t="shared" si="45"/>
        <v>1162863.4725508986</v>
      </c>
      <c r="U89" s="73">
        <f t="shared" si="45"/>
        <v>1174538.7149374534</v>
      </c>
      <c r="V89" s="73">
        <f t="shared" si="45"/>
        <v>1186331.177692523</v>
      </c>
      <c r="W89" s="73">
        <f t="shared" si="45"/>
        <v>1198242.0377179945</v>
      </c>
      <c r="X89" s="92">
        <v>2.7E-2</v>
      </c>
      <c r="Y89" s="94">
        <f t="shared" si="46"/>
        <v>30592.298845239387</v>
      </c>
      <c r="Z89" s="94">
        <f t="shared" si="35"/>
        <v>29867.54004930297</v>
      </c>
      <c r="AA89" s="94">
        <f t="shared" si="36"/>
        <v>30167.412543191534</v>
      </c>
      <c r="AB89" s="94">
        <f t="shared" si="37"/>
        <v>30470.295780932534</v>
      </c>
      <c r="AC89" s="94">
        <f t="shared" si="38"/>
        <v>30776.219990635353</v>
      </c>
      <c r="AD89" s="94">
        <f t="shared" si="39"/>
        <v>31085.215703902013</v>
      </c>
      <c r="AE89" s="94">
        <f t="shared" si="40"/>
        <v>31397.313758874261</v>
      </c>
      <c r="AF89" s="94">
        <f t="shared" si="41"/>
        <v>31712.545303311243</v>
      </c>
      <c r="AG89" s="94">
        <f t="shared" si="42"/>
        <v>32030.94179769812</v>
      </c>
      <c r="AH89" s="94">
        <f t="shared" si="43"/>
        <v>32352.535018385854</v>
      </c>
    </row>
    <row r="90" spans="1:34" x14ac:dyDescent="0.25">
      <c r="A90" s="71" t="s">
        <v>9</v>
      </c>
      <c r="B90" s="71" t="s">
        <v>27</v>
      </c>
      <c r="C90" s="71" t="s">
        <v>61</v>
      </c>
      <c r="D90" s="71" t="s">
        <v>36</v>
      </c>
      <c r="E90" s="71" t="s">
        <v>59</v>
      </c>
      <c r="F90" s="71" t="s">
        <v>41</v>
      </c>
      <c r="G90" s="74" t="str">
        <f t="shared" si="44"/>
        <v>BEV</v>
      </c>
      <c r="H90" s="72" t="s">
        <v>75</v>
      </c>
      <c r="I90" s="71" t="str">
        <f t="shared" si="30"/>
        <v>F</v>
      </c>
      <c r="J90" s="71" t="str">
        <f t="shared" si="31"/>
        <v>HCV9</v>
      </c>
      <c r="K90" s="71" t="str">
        <f t="shared" si="32"/>
        <v/>
      </c>
      <c r="L90" s="74" t="str">
        <f t="shared" si="33"/>
        <v>TFHCV9ELC-N</v>
      </c>
      <c r="M90" s="74" t="str">
        <f t="shared" si="34"/>
        <v>TFHCV9ELC-E</v>
      </c>
      <c r="N90" s="75" cm="1">
        <f t="array" ref="N90">INDEX(VehicleCostData2022!$T$16:$T$86,MATCH(1,(VehicleCostData2022!$R$16:$R$86=$E90)*(VehicleCostData2022!$S$16:$S$86=$F90),0))</f>
        <v>1758572.1229146707</v>
      </c>
      <c r="O90" s="73">
        <f t="shared" si="45"/>
        <v>6262460.0308242766</v>
      </c>
      <c r="P90" s="73">
        <f t="shared" si="45"/>
        <v>4385840.0691952575</v>
      </c>
      <c r="Q90" s="73">
        <f t="shared" si="45"/>
        <v>2509220.1075662384</v>
      </c>
      <c r="R90" s="73">
        <f t="shared" si="45"/>
        <v>1600944.0118973251</v>
      </c>
      <c r="S90" s="73">
        <f t="shared" si="45"/>
        <v>1338230.4935350739</v>
      </c>
      <c r="T90" s="73">
        <f t="shared" si="45"/>
        <v>1297483.0906870444</v>
      </c>
      <c r="U90" s="73">
        <f t="shared" si="45"/>
        <v>1256735.6878390212</v>
      </c>
      <c r="V90" s="73">
        <f t="shared" si="45"/>
        <v>1215988.2849909978</v>
      </c>
      <c r="W90" s="73">
        <f t="shared" si="45"/>
        <v>1175240.8821429745</v>
      </c>
      <c r="X90" s="92">
        <v>2.0250000000000001E-2</v>
      </c>
      <c r="Y90" s="94">
        <f t="shared" si="46"/>
        <v>35611.08548902208</v>
      </c>
      <c r="Z90" s="94">
        <f t="shared" si="35"/>
        <v>126814.8156241916</v>
      </c>
      <c r="AA90" s="94">
        <f t="shared" si="36"/>
        <v>88813.26140120397</v>
      </c>
      <c r="AB90" s="94">
        <f t="shared" si="37"/>
        <v>50811.707178216326</v>
      </c>
      <c r="AC90" s="94">
        <f t="shared" si="38"/>
        <v>32419.116240920834</v>
      </c>
      <c r="AD90" s="94">
        <f t="shared" si="39"/>
        <v>27099.16749408525</v>
      </c>
      <c r="AE90" s="94">
        <f t="shared" si="40"/>
        <v>26274.03258641265</v>
      </c>
      <c r="AF90" s="94">
        <f t="shared" si="41"/>
        <v>25448.897678740181</v>
      </c>
      <c r="AG90" s="94">
        <f t="shared" si="42"/>
        <v>24623.762771067704</v>
      </c>
      <c r="AH90" s="94">
        <f t="shared" si="43"/>
        <v>23798.627863395235</v>
      </c>
    </row>
    <row r="91" spans="1:34" x14ac:dyDescent="0.25">
      <c r="A91" s="95" t="s">
        <v>10</v>
      </c>
      <c r="B91" s="71" t="s">
        <v>27</v>
      </c>
      <c r="C91" s="71" t="s">
        <v>61</v>
      </c>
      <c r="D91" s="71" t="s">
        <v>36</v>
      </c>
      <c r="E91" s="71" t="s">
        <v>59</v>
      </c>
      <c r="F91" s="71" t="s">
        <v>44</v>
      </c>
      <c r="G91" s="95" t="s">
        <v>264</v>
      </c>
      <c r="H91" s="72" t="s">
        <v>75</v>
      </c>
      <c r="I91" s="71" t="str">
        <f t="shared" si="30"/>
        <v>F</v>
      </c>
      <c r="J91" s="71" t="str">
        <f t="shared" si="31"/>
        <v>HCV9</v>
      </c>
      <c r="K91" s="71" t="str">
        <f t="shared" si="32"/>
        <v/>
      </c>
      <c r="L91" s="74" t="str">
        <f t="shared" si="33"/>
        <v>TFHCV9HGN-N</v>
      </c>
      <c r="M91" s="74" t="str">
        <f t="shared" si="34"/>
        <v>TFHCV9HGN-E</v>
      </c>
      <c r="N91" s="75" cm="1">
        <f t="array" ref="N91">INDEX(VehicleCostData2022!$T$16:$T$86,MATCH(1,(VehicleCostData2022!$R$16:$R$86=$E91)*(VehicleCostData2022!$S$16:$S$86=$F91),0))</f>
        <v>2565517.2470272132</v>
      </c>
      <c r="O91" s="73">
        <f t="shared" si="45"/>
        <v>9136076.3704530932</v>
      </c>
      <c r="P91" s="73">
        <f t="shared" si="45"/>
        <v>6398343.402358952</v>
      </c>
      <c r="Q91" s="73">
        <f t="shared" si="45"/>
        <v>3660610.4342648112</v>
      </c>
      <c r="R91" s="73">
        <f t="shared" si="45"/>
        <v>2335559.2986656362</v>
      </c>
      <c r="S91" s="73">
        <f t="shared" si="45"/>
        <v>1952296.0513963292</v>
      </c>
      <c r="T91" s="73">
        <f t="shared" si="45"/>
        <v>1892851.1395749573</v>
      </c>
      <c r="U91" s="73">
        <f t="shared" si="45"/>
        <v>1833406.2277535943</v>
      </c>
      <c r="V91" s="73">
        <f t="shared" si="45"/>
        <v>1773961.3159322315</v>
      </c>
      <c r="W91" s="73">
        <f t="shared" si="45"/>
        <v>1714516.4041108685</v>
      </c>
      <c r="X91" s="92">
        <v>2.0250000000000001E-2</v>
      </c>
      <c r="Y91" s="94">
        <f t="shared" si="46"/>
        <v>51951.724252301072</v>
      </c>
      <c r="Z91" s="94">
        <f t="shared" si="35"/>
        <v>185005.54650167516</v>
      </c>
      <c r="AA91" s="94">
        <f t="shared" si="36"/>
        <v>129566.45389776878</v>
      </c>
      <c r="AB91" s="94">
        <f t="shared" si="37"/>
        <v>74127.361293862428</v>
      </c>
      <c r="AC91" s="94">
        <f t="shared" si="38"/>
        <v>47295.075797979138</v>
      </c>
      <c r="AD91" s="94">
        <f t="shared" si="39"/>
        <v>39533.99504077567</v>
      </c>
      <c r="AE91" s="94">
        <f t="shared" si="40"/>
        <v>38330.235576392886</v>
      </c>
      <c r="AF91" s="94">
        <f t="shared" si="41"/>
        <v>37126.476112010285</v>
      </c>
      <c r="AG91" s="94">
        <f t="shared" si="42"/>
        <v>35922.716647627691</v>
      </c>
      <c r="AH91" s="94">
        <f t="shared" si="43"/>
        <v>34718.957183245089</v>
      </c>
    </row>
    <row r="92" spans="1:34" x14ac:dyDescent="0.25">
      <c r="A92" s="71" t="s">
        <v>12</v>
      </c>
      <c r="B92" s="71" t="s">
        <v>27</v>
      </c>
      <c r="C92" s="71" t="s">
        <v>61</v>
      </c>
      <c r="D92" s="71" t="s">
        <v>36</v>
      </c>
      <c r="E92" s="71" t="s">
        <v>59</v>
      </c>
      <c r="F92" s="71" t="s">
        <v>45</v>
      </c>
      <c r="G92" s="74" t="str">
        <f t="shared" si="44"/>
        <v>ICE</v>
      </c>
      <c r="H92" s="72" t="s">
        <v>75</v>
      </c>
      <c r="I92" s="71" t="str">
        <f t="shared" si="30"/>
        <v>F</v>
      </c>
      <c r="J92" s="71" t="str">
        <f t="shared" si="31"/>
        <v>HCV9</v>
      </c>
      <c r="K92" s="71" t="str">
        <f t="shared" si="32"/>
        <v/>
      </c>
      <c r="L92" s="74" t="str">
        <f t="shared" si="33"/>
        <v>TFHCV9GAS-N</v>
      </c>
      <c r="M92" s="74" t="str">
        <f t="shared" si="34"/>
        <v>TFHCV9GAS-E</v>
      </c>
      <c r="N92" s="75" cm="1">
        <f t="array" ref="N92">INDEX(VehicleCostData2022!$T$16:$T$86,MATCH(1,(VehicleCostData2022!$R$16:$R$86=$E92)*(VehicleCostData2022!$S$16:$S$86=$F92),0))</f>
        <v>1314023.0851808547</v>
      </c>
      <c r="O92" s="73">
        <f t="shared" ref="O92:W92" si="47">$N92*INDEX($O$3:$W$6,MATCH($G92,$K$3:$K$6,0),MATCH(O$10,$O$2:$W$2,0))</f>
        <v>1282892.7084194976</v>
      </c>
      <c r="P92" s="73">
        <f t="shared" si="47"/>
        <v>1295773.0539461186</v>
      </c>
      <c r="Q92" s="73">
        <f t="shared" si="47"/>
        <v>1308782.7191732849</v>
      </c>
      <c r="R92" s="73">
        <f t="shared" si="47"/>
        <v>1321923.0024811465</v>
      </c>
      <c r="S92" s="73">
        <f t="shared" si="47"/>
        <v>1335195.2152856935</v>
      </c>
      <c r="T92" s="73">
        <f t="shared" si="47"/>
        <v>1348600.6821696374</v>
      </c>
      <c r="U92" s="73">
        <f t="shared" si="47"/>
        <v>1362140.7410146061</v>
      </c>
      <c r="V92" s="73">
        <f t="shared" si="47"/>
        <v>1375816.7431346667</v>
      </c>
      <c r="W92" s="73">
        <f t="shared" si="47"/>
        <v>1389630.0534111874</v>
      </c>
      <c r="X92" s="92">
        <v>2.7E-2</v>
      </c>
      <c r="Y92" s="94">
        <f t="shared" si="46"/>
        <v>35478.623299883075</v>
      </c>
      <c r="Z92" s="94">
        <f t="shared" si="35"/>
        <v>34638.103127326438</v>
      </c>
      <c r="AA92" s="94">
        <f t="shared" si="36"/>
        <v>34985.872456545199</v>
      </c>
      <c r="AB92" s="94">
        <f t="shared" si="37"/>
        <v>35337.133417678691</v>
      </c>
      <c r="AC92" s="94">
        <f t="shared" si="38"/>
        <v>35691.921066990952</v>
      </c>
      <c r="AD92" s="94">
        <f t="shared" si="39"/>
        <v>36050.270812713723</v>
      </c>
      <c r="AE92" s="94">
        <f t="shared" si="40"/>
        <v>36412.218418580211</v>
      </c>
      <c r="AF92" s="94">
        <f t="shared" si="41"/>
        <v>36777.800007394362</v>
      </c>
      <c r="AG92" s="94">
        <f t="shared" si="42"/>
        <v>37147.052064636002</v>
      </c>
      <c r="AH92" s="94">
        <f t="shared" si="43"/>
        <v>37520.011442102055</v>
      </c>
    </row>
  </sheetData>
  <autoFilter ref="A10:M92" xr:uid="{B9C6A63D-5EDE-454A-A2B0-BB26FFBE1563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F7A254-7833-4CAF-AB18-CE769DEC6255}">
          <x14:formula1>
            <xm:f>'IEAWEO2023 cost data'!$B$17:$B$19</xm:f>
          </x14:formula1>
          <xm:sqref>M4</xm:sqref>
        </x14:dataValidation>
        <x14:dataValidation type="list" allowBlank="1" showInputMessage="1" showErrorMessage="1" xr:uid="{8A2AB8E2-EB49-4CFA-907A-AB1EF4300778}">
          <x14:formula1>
            <xm:f>'IEAWEO2023 cost data'!$B$11:$B$13</xm:f>
          </x14:formula1>
          <xm:sqref>M5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56AF-A44E-47B5-BBD2-AA3F7A346D9E}">
  <sheetPr>
    <tabColor rgb="FFFF0066"/>
  </sheetPr>
  <dimension ref="A1:T131"/>
  <sheetViews>
    <sheetView topLeftCell="G33" zoomScale="70" zoomScaleNormal="70" workbookViewId="0">
      <selection activeCell="M4" sqref="M4"/>
    </sheetView>
    <sheetView topLeftCell="A69" workbookViewId="1">
      <selection activeCell="M4" sqref="M4:M5"/>
    </sheetView>
  </sheetViews>
  <sheetFormatPr defaultRowHeight="15" x14ac:dyDescent="0.25"/>
  <cols>
    <col min="1" max="2" width="9.140625" style="31"/>
    <col min="3" max="3" width="17" style="31" customWidth="1"/>
    <col min="4" max="4" width="21.7109375" style="31" customWidth="1"/>
    <col min="5" max="5" width="15.5703125" style="31" customWidth="1"/>
    <col min="6" max="6" width="23.140625" style="31" customWidth="1"/>
    <col min="7" max="16" width="15.5703125" style="31" customWidth="1"/>
    <col min="17" max="17" width="9.140625" style="31"/>
    <col min="18" max="18" width="17.7109375" style="31" customWidth="1"/>
    <col min="19" max="19" width="14.5703125" style="31" customWidth="1"/>
    <col min="20" max="20" width="27.28515625" style="31" customWidth="1"/>
    <col min="21" max="16384" width="9.140625" style="31"/>
  </cols>
  <sheetData>
    <row r="1" spans="2:20" x14ac:dyDescent="0.25">
      <c r="B1" s="31" t="s">
        <v>165</v>
      </c>
      <c r="R1" s="9"/>
      <c r="S1" s="9"/>
      <c r="T1" s="9"/>
    </row>
    <row r="2" spans="2:20" x14ac:dyDescent="0.25">
      <c r="B2" s="31" t="s">
        <v>164</v>
      </c>
    </row>
    <row r="3" spans="2:20" x14ac:dyDescent="0.25">
      <c r="B3" s="35" t="s">
        <v>163</v>
      </c>
    </row>
    <row r="4" spans="2:20" x14ac:dyDescent="0.25">
      <c r="B4" s="36">
        <v>43831</v>
      </c>
      <c r="C4" s="34">
        <v>327723</v>
      </c>
      <c r="E4" s="36">
        <v>43831</v>
      </c>
      <c r="F4" s="36">
        <v>43862</v>
      </c>
      <c r="G4" s="36">
        <v>43891</v>
      </c>
      <c r="H4" s="36">
        <v>43922</v>
      </c>
      <c r="I4" s="36">
        <v>43952</v>
      </c>
      <c r="J4" s="36">
        <v>43983</v>
      </c>
      <c r="K4" s="36">
        <v>44013</v>
      </c>
      <c r="L4" s="36">
        <v>44044</v>
      </c>
      <c r="M4" s="104">
        <v>44075</v>
      </c>
      <c r="N4" s="36">
        <v>44105</v>
      </c>
      <c r="O4" s="36">
        <v>44136</v>
      </c>
      <c r="P4" s="36">
        <v>44166</v>
      </c>
    </row>
    <row r="5" spans="2:20" x14ac:dyDescent="0.25">
      <c r="B5" s="36">
        <v>44197</v>
      </c>
      <c r="C5" s="34">
        <v>358390</v>
      </c>
      <c r="E5" s="34">
        <f t="shared" ref="E5:P5" si="0">_xlfn.FORECAST.LINEAR(E4,$C$4:$C$5,$B$4:$B$5)</f>
        <v>327723</v>
      </c>
      <c r="F5" s="34">
        <f t="shared" si="0"/>
        <v>330320.47814207664</v>
      </c>
      <c r="G5" s="34">
        <f t="shared" si="0"/>
        <v>332750.37704918068</v>
      </c>
      <c r="H5" s="34">
        <f t="shared" si="0"/>
        <v>335347.85519125685</v>
      </c>
      <c r="I5" s="34">
        <f t="shared" si="0"/>
        <v>337861.54371584719</v>
      </c>
      <c r="J5" s="34">
        <f t="shared" si="0"/>
        <v>340459.02185792383</v>
      </c>
      <c r="K5" s="34">
        <f t="shared" si="0"/>
        <v>342972.7103825137</v>
      </c>
      <c r="L5" s="34">
        <f t="shared" si="0"/>
        <v>345570.18852459034</v>
      </c>
      <c r="M5" s="105">
        <f t="shared" si="0"/>
        <v>348167.66666666698</v>
      </c>
      <c r="N5" s="34">
        <f t="shared" si="0"/>
        <v>350681.35519125685</v>
      </c>
      <c r="O5" s="34">
        <f t="shared" si="0"/>
        <v>353278.83333333349</v>
      </c>
      <c r="P5" s="34">
        <f t="shared" si="0"/>
        <v>355792.52185792383</v>
      </c>
    </row>
    <row r="6" spans="2:20" x14ac:dyDescent="0.25">
      <c r="C6" s="31" t="s">
        <v>162</v>
      </c>
      <c r="E6" s="31">
        <f>'[6]CPI-hist'!B23</f>
        <v>91.9</v>
      </c>
      <c r="F6" s="31">
        <f>'[6]CPI-hist'!C23</f>
        <v>92.8</v>
      </c>
      <c r="G6" s="31">
        <f>'[6]CPI-hist'!D23</f>
        <v>93.1</v>
      </c>
      <c r="H6" s="31">
        <f>'[6]CPI-hist'!E23</f>
        <v>92.6</v>
      </c>
      <c r="I6" s="31">
        <f>'[6]CPI-hist'!F23</f>
        <v>92</v>
      </c>
      <c r="J6" s="31">
        <f>'[6]CPI-hist'!G23</f>
        <v>92.5</v>
      </c>
      <c r="K6" s="31">
        <f>'[6]CPI-hist'!H23</f>
        <v>93.7</v>
      </c>
      <c r="L6" s="31">
        <f>'[6]CPI-hist'!I23</f>
        <v>93.9</v>
      </c>
      <c r="M6" s="31">
        <f>'[6]CPI-hist'!J23</f>
        <v>94</v>
      </c>
      <c r="N6" s="31">
        <f>'[6]CPI-hist'!K23</f>
        <v>94.3</v>
      </c>
      <c r="O6" s="31">
        <f>'[6]CPI-hist'!L23</f>
        <v>94.3</v>
      </c>
      <c r="P6" s="31">
        <f>'[6]CPI-hist'!M23</f>
        <v>94.4</v>
      </c>
    </row>
    <row r="7" spans="2:20" x14ac:dyDescent="0.25">
      <c r="C7" s="31" t="s">
        <v>161</v>
      </c>
      <c r="E7" s="31">
        <f t="shared" ref="E7:P7" si="1">E6/$E6</f>
        <v>1</v>
      </c>
      <c r="F7" s="31">
        <f t="shared" si="1"/>
        <v>1.0097932535364527</v>
      </c>
      <c r="G7" s="31">
        <f t="shared" si="1"/>
        <v>1.0130576713819368</v>
      </c>
      <c r="H7" s="31">
        <f t="shared" si="1"/>
        <v>1.0076169749727963</v>
      </c>
      <c r="I7" s="31">
        <f t="shared" si="1"/>
        <v>1.001088139281828</v>
      </c>
      <c r="J7" s="31">
        <f t="shared" si="1"/>
        <v>1.0065288356909683</v>
      </c>
      <c r="K7" s="31">
        <f t="shared" si="1"/>
        <v>1.0195865070729053</v>
      </c>
      <c r="L7" s="31">
        <f t="shared" si="1"/>
        <v>1.0217627856365614</v>
      </c>
      <c r="M7" s="31">
        <f t="shared" si="1"/>
        <v>1.0228509249183895</v>
      </c>
      <c r="N7" s="31">
        <f t="shared" si="1"/>
        <v>1.0261153427638736</v>
      </c>
      <c r="O7" s="31">
        <f t="shared" si="1"/>
        <v>1.0261153427638736</v>
      </c>
      <c r="P7" s="31">
        <f t="shared" si="1"/>
        <v>1.0272034820457019</v>
      </c>
    </row>
    <row r="8" spans="2:20" x14ac:dyDescent="0.25">
      <c r="C8" s="31" t="s">
        <v>160</v>
      </c>
      <c r="E8" s="34">
        <f t="shared" ref="E8:P8" si="2">E5/E7</f>
        <v>327723</v>
      </c>
      <c r="F8" s="34">
        <f t="shared" si="2"/>
        <v>327116.93902216427</v>
      </c>
      <c r="G8" s="34">
        <f t="shared" si="2"/>
        <v>328461.43556197319</v>
      </c>
      <c r="H8" s="34">
        <f t="shared" si="2"/>
        <v>332812.82820816967</v>
      </c>
      <c r="I8" s="34">
        <f t="shared" si="2"/>
        <v>337494.30290746043</v>
      </c>
      <c r="J8" s="34">
        <f t="shared" si="2"/>
        <v>338250.63901344006</v>
      </c>
      <c r="K8" s="34">
        <f t="shared" si="2"/>
        <v>336384.1204285273</v>
      </c>
      <c r="L8" s="34">
        <f t="shared" si="2"/>
        <v>338209.80112257565</v>
      </c>
      <c r="M8" s="34">
        <f t="shared" si="2"/>
        <v>340389.45283687976</v>
      </c>
      <c r="N8" s="34">
        <f t="shared" si="2"/>
        <v>341756.27298066288</v>
      </c>
      <c r="O8" s="34">
        <f t="shared" si="2"/>
        <v>344287.64351360925</v>
      </c>
      <c r="P8" s="34">
        <f t="shared" si="2"/>
        <v>346370.05041041522</v>
      </c>
    </row>
    <row r="9" spans="2:20" x14ac:dyDescent="0.25">
      <c r="C9" s="31" t="s">
        <v>159</v>
      </c>
      <c r="E9" s="34">
        <f>AVERAGE(E8:P8)</f>
        <v>336604.70716715645</v>
      </c>
    </row>
    <row r="10" spans="2:20" x14ac:dyDescent="0.25">
      <c r="C10" s="31" t="s">
        <v>158</v>
      </c>
      <c r="E10" s="31">
        <f>AVERAGE(E7:P7)</f>
        <v>1.0151432716721069</v>
      </c>
    </row>
    <row r="11" spans="2:20" x14ac:dyDescent="0.25">
      <c r="C11" s="31" t="s">
        <v>157</v>
      </c>
      <c r="E11" s="34">
        <f>E9*E10</f>
        <v>341702.00369389867</v>
      </c>
    </row>
    <row r="14" spans="2:20" x14ac:dyDescent="0.25">
      <c r="B14" s="31" t="s">
        <v>166</v>
      </c>
      <c r="F14" s="31" t="s">
        <v>156</v>
      </c>
      <c r="G14" s="35" t="s">
        <v>155</v>
      </c>
    </row>
    <row r="15" spans="2:20" x14ac:dyDescent="0.25">
      <c r="B15" s="50" t="s">
        <v>7</v>
      </c>
      <c r="C15" s="50">
        <v>1</v>
      </c>
      <c r="D15" s="50">
        <v>179000</v>
      </c>
      <c r="F15" s="31" t="s">
        <v>204</v>
      </c>
      <c r="G15" s="31">
        <v>1.1157057808455564</v>
      </c>
      <c r="H15" s="31" t="s">
        <v>168</v>
      </c>
      <c r="R15" s="11" t="s">
        <v>242</v>
      </c>
      <c r="S15" s="11" t="s">
        <v>241</v>
      </c>
      <c r="T15" s="11" t="s">
        <v>243</v>
      </c>
    </row>
    <row r="16" spans="2:20" x14ac:dyDescent="0.25">
      <c r="B16" s="50" t="s">
        <v>154</v>
      </c>
      <c r="C16" s="50">
        <v>47</v>
      </c>
      <c r="D16" s="50">
        <v>229900</v>
      </c>
      <c r="F16" s="31" t="s">
        <v>205</v>
      </c>
      <c r="G16" s="31">
        <v>1.13076</v>
      </c>
      <c r="H16" s="31" t="s">
        <v>206</v>
      </c>
      <c r="R16" s="9" t="s">
        <v>35</v>
      </c>
      <c r="S16" s="8" t="s">
        <v>34</v>
      </c>
      <c r="T16" s="34">
        <f>D25</f>
        <v>263435.29411764705</v>
      </c>
    </row>
    <row r="17" spans="2:20" x14ac:dyDescent="0.25">
      <c r="B17" s="50" t="s">
        <v>153</v>
      </c>
      <c r="C17" s="50">
        <v>94</v>
      </c>
      <c r="D17" s="50">
        <v>273900</v>
      </c>
      <c r="F17" s="31" t="s">
        <v>205</v>
      </c>
      <c r="G17" s="31">
        <v>16.584166666666668</v>
      </c>
      <c r="H17" s="31" t="s">
        <v>207</v>
      </c>
      <c r="I17" s="31">
        <v>18.503050620506183</v>
      </c>
      <c r="J17" s="31" t="s">
        <v>168</v>
      </c>
      <c r="R17" s="9" t="s">
        <v>35</v>
      </c>
      <c r="S17" s="8" t="s">
        <v>36</v>
      </c>
      <c r="T17" s="34">
        <f>D29</f>
        <v>658729.4117647059</v>
      </c>
    </row>
    <row r="18" spans="2:20" x14ac:dyDescent="0.25">
      <c r="B18" s="50" t="s">
        <v>152</v>
      </c>
      <c r="C18" s="50">
        <f>+C16+C17</f>
        <v>141</v>
      </c>
      <c r="D18" s="50">
        <v>310000</v>
      </c>
      <c r="F18" s="38" t="s">
        <v>209</v>
      </c>
      <c r="G18" s="38">
        <v>1.0625</v>
      </c>
      <c r="H18" s="38" t="s">
        <v>150</v>
      </c>
      <c r="I18" s="38" t="s">
        <v>210</v>
      </c>
      <c r="R18" s="9" t="s">
        <v>35</v>
      </c>
      <c r="S18" s="8" t="s">
        <v>37</v>
      </c>
      <c r="T18" s="34">
        <f>D33</f>
        <v>478870.5882352941</v>
      </c>
    </row>
    <row r="19" spans="2:20" x14ac:dyDescent="0.25">
      <c r="B19" s="50" t="s">
        <v>6</v>
      </c>
      <c r="C19" s="50">
        <v>187</v>
      </c>
      <c r="D19" s="50">
        <v>412500</v>
      </c>
      <c r="F19" s="38" t="s">
        <v>220</v>
      </c>
      <c r="G19" s="31">
        <v>1.0472999999999999</v>
      </c>
      <c r="H19" s="38" t="s">
        <v>221</v>
      </c>
      <c r="R19" s="9" t="s">
        <v>35</v>
      </c>
      <c r="S19" s="8" t="s">
        <v>38</v>
      </c>
      <c r="T19" s="34">
        <f>D35</f>
        <v>1197433.100056743</v>
      </c>
    </row>
    <row r="20" spans="2:20" x14ac:dyDescent="0.25">
      <c r="B20" s="50"/>
      <c r="C20" s="50"/>
      <c r="D20" s="50"/>
      <c r="F20" s="31" t="s">
        <v>222</v>
      </c>
      <c r="G20" s="31">
        <v>16.450808333333331</v>
      </c>
      <c r="H20" s="31" t="s">
        <v>223</v>
      </c>
      <c r="I20" s="31">
        <v>16.450808333333331</v>
      </c>
      <c r="J20" s="31" t="s">
        <v>168</v>
      </c>
      <c r="R20" s="9" t="s">
        <v>35</v>
      </c>
      <c r="S20" s="8" t="s">
        <v>40</v>
      </c>
      <c r="T20" s="34">
        <f>D37</f>
        <v>0</v>
      </c>
    </row>
    <row r="21" spans="2:20" x14ac:dyDescent="0.25">
      <c r="B21" s="50" t="s">
        <v>151</v>
      </c>
      <c r="C21" s="50" t="s">
        <v>150</v>
      </c>
      <c r="D21" s="51">
        <f>D17</f>
        <v>273900</v>
      </c>
      <c r="R21" s="9" t="s">
        <v>35</v>
      </c>
      <c r="S21" s="8" t="s">
        <v>43</v>
      </c>
      <c r="T21" s="34">
        <f>D38</f>
        <v>0</v>
      </c>
    </row>
    <row r="22" spans="2:20" x14ac:dyDescent="0.25">
      <c r="B22" s="50" t="s">
        <v>149</v>
      </c>
      <c r="C22" s="50"/>
      <c r="D22" s="50">
        <f>AVERAGE('[6]CPI-hist'!$B$26:$H$26)</f>
        <v>109.08571428571427</v>
      </c>
      <c r="R22" s="9" t="s">
        <v>35</v>
      </c>
      <c r="S22" s="8" t="s">
        <v>70</v>
      </c>
      <c r="T22" s="34">
        <f>D40</f>
        <v>0</v>
      </c>
    </row>
    <row r="23" spans="2:20" x14ac:dyDescent="0.25">
      <c r="B23" s="50" t="s">
        <v>148</v>
      </c>
      <c r="C23" s="50"/>
      <c r="D23" s="50">
        <f>AVERAGE('[6]CPI-hist'!$B$25:$M$25)</f>
        <v>104.24166666666667</v>
      </c>
      <c r="R23" s="9" t="s">
        <v>35</v>
      </c>
      <c r="S23" s="8" t="s">
        <v>69</v>
      </c>
      <c r="T23" s="34">
        <f>D41</f>
        <v>0</v>
      </c>
    </row>
    <row r="24" spans="2:20" x14ac:dyDescent="0.25">
      <c r="B24" s="52" t="s">
        <v>184</v>
      </c>
      <c r="C24" s="50"/>
      <c r="D24" s="50">
        <f>AVERAGE('[6]CPI-hist'!$B$23:$M$23)</f>
        <v>93.291666666666671</v>
      </c>
      <c r="R24" s="9" t="s">
        <v>35</v>
      </c>
      <c r="S24" s="8" t="s">
        <v>41</v>
      </c>
      <c r="T24" s="34">
        <f>D44</f>
        <v>698448.9411764706</v>
      </c>
    </row>
    <row r="25" spans="2:20" x14ac:dyDescent="0.25">
      <c r="B25" s="38" t="s">
        <v>208</v>
      </c>
      <c r="D25" s="33">
        <f>279900/G18</f>
        <v>263435.29411764705</v>
      </c>
      <c r="E25" s="32"/>
      <c r="F25" s="38" t="s">
        <v>211</v>
      </c>
      <c r="G25" s="53"/>
      <c r="R25" s="9" t="s">
        <v>35</v>
      </c>
      <c r="S25" s="8" t="s">
        <v>44</v>
      </c>
      <c r="T25" s="34">
        <f>D46</f>
        <v>1783500</v>
      </c>
    </row>
    <row r="26" spans="2:20" x14ac:dyDescent="0.25">
      <c r="R26" s="9" t="s">
        <v>35</v>
      </c>
      <c r="S26" s="8" t="s">
        <v>68</v>
      </c>
      <c r="T26" s="34">
        <f>D47</f>
        <v>0</v>
      </c>
    </row>
    <row r="27" spans="2:20" x14ac:dyDescent="0.25">
      <c r="B27" s="31" t="s">
        <v>167</v>
      </c>
      <c r="R27" s="9" t="s">
        <v>35</v>
      </c>
      <c r="S27" s="8" t="s">
        <v>67</v>
      </c>
      <c r="T27" s="34">
        <f>D48</f>
        <v>0</v>
      </c>
    </row>
    <row r="28" spans="2:20" x14ac:dyDescent="0.25">
      <c r="B28" s="38"/>
      <c r="C28" s="38" t="s">
        <v>150</v>
      </c>
      <c r="D28" s="31">
        <v>699900</v>
      </c>
      <c r="E28" s="38"/>
      <c r="F28" s="38" t="s">
        <v>212</v>
      </c>
      <c r="R28" s="9" t="s">
        <v>35</v>
      </c>
      <c r="S28" s="8" t="s">
        <v>45</v>
      </c>
      <c r="T28" s="34">
        <f>D50</f>
        <v>724602.3529411765</v>
      </c>
    </row>
    <row r="29" spans="2:20" x14ac:dyDescent="0.25">
      <c r="C29" s="38" t="s">
        <v>168</v>
      </c>
      <c r="D29" s="37">
        <f>D28/G18</f>
        <v>658729.4117647059</v>
      </c>
      <c r="E29" s="38"/>
      <c r="R29" s="9" t="s">
        <v>48</v>
      </c>
      <c r="S29" s="15" t="s">
        <v>34</v>
      </c>
      <c r="T29" s="34">
        <f>D55</f>
        <v>141176.4705882353</v>
      </c>
    </row>
    <row r="30" spans="2:20" x14ac:dyDescent="0.25">
      <c r="D30" s="34"/>
      <c r="R30" s="9" t="s">
        <v>48</v>
      </c>
      <c r="S30" s="15" t="s">
        <v>37</v>
      </c>
      <c r="T30" s="34">
        <f>D56</f>
        <v>0</v>
      </c>
    </row>
    <row r="31" spans="2:20" x14ac:dyDescent="0.25">
      <c r="B31" s="38" t="s">
        <v>169</v>
      </c>
      <c r="R31" s="9" t="s">
        <v>48</v>
      </c>
      <c r="S31" s="15" t="s">
        <v>41</v>
      </c>
      <c r="T31" s="34">
        <f>D57</f>
        <v>141176.4705882353</v>
      </c>
    </row>
    <row r="32" spans="2:20" x14ac:dyDescent="0.25">
      <c r="B32" s="38" t="s">
        <v>170</v>
      </c>
      <c r="C32" s="38" t="s">
        <v>150</v>
      </c>
      <c r="D32" s="31">
        <f>(504900+512700)/2</f>
        <v>508800</v>
      </c>
      <c r="F32" s="38" t="s">
        <v>213</v>
      </c>
      <c r="R32" s="9" t="s">
        <v>48</v>
      </c>
      <c r="S32" s="15" t="s">
        <v>44</v>
      </c>
      <c r="T32" s="34">
        <f>D58</f>
        <v>0</v>
      </c>
    </row>
    <row r="33" spans="2:20" x14ac:dyDescent="0.25">
      <c r="C33" s="38" t="s">
        <v>168</v>
      </c>
      <c r="D33" s="37">
        <f>D32/G18</f>
        <v>478870.5882352941</v>
      </c>
      <c r="E33" s="42"/>
      <c r="F33" s="38"/>
      <c r="R33" s="9" t="s">
        <v>46</v>
      </c>
      <c r="S33" s="8" t="s">
        <v>34</v>
      </c>
      <c r="T33" s="34">
        <f t="shared" ref="T33:T45" si="3">D61</f>
        <v>440658.82352941175</v>
      </c>
    </row>
    <row r="34" spans="2:20" x14ac:dyDescent="0.25">
      <c r="B34" s="38"/>
      <c r="R34" s="9" t="s">
        <v>46</v>
      </c>
      <c r="S34" s="8" t="s">
        <v>36</v>
      </c>
      <c r="T34" s="34">
        <f t="shared" si="3"/>
        <v>838990</v>
      </c>
    </row>
    <row r="35" spans="2:20" x14ac:dyDescent="0.25">
      <c r="B35" s="38" t="s">
        <v>38</v>
      </c>
      <c r="D35" s="43">
        <f>D33*$D$29/$D$25</f>
        <v>1197433.100056743</v>
      </c>
      <c r="E35" s="44" t="s">
        <v>5</v>
      </c>
      <c r="F35" s="38" t="s">
        <v>214</v>
      </c>
      <c r="R35" s="9" t="s">
        <v>46</v>
      </c>
      <c r="S35" s="8" t="s">
        <v>37</v>
      </c>
      <c r="T35" s="34">
        <f t="shared" si="3"/>
        <v>496188.23529411765</v>
      </c>
    </row>
    <row r="36" spans="2:20" x14ac:dyDescent="0.25">
      <c r="B36" s="38"/>
      <c r="R36" s="9" t="s">
        <v>46</v>
      </c>
      <c r="S36" s="8" t="s">
        <v>38</v>
      </c>
      <c r="T36" s="34">
        <f t="shared" si="3"/>
        <v>944714.92524562147</v>
      </c>
    </row>
    <row r="37" spans="2:20" x14ac:dyDescent="0.25">
      <c r="B37" s="38" t="s">
        <v>171</v>
      </c>
      <c r="D37" s="58"/>
      <c r="E37" s="57"/>
      <c r="F37" s="60" t="s">
        <v>215</v>
      </c>
      <c r="G37" s="31" t="s">
        <v>216</v>
      </c>
      <c r="R37" s="9" t="s">
        <v>46</v>
      </c>
      <c r="S37" s="8" t="s">
        <v>40</v>
      </c>
      <c r="T37" s="34">
        <f t="shared" si="3"/>
        <v>0</v>
      </c>
    </row>
    <row r="38" spans="2:20" x14ac:dyDescent="0.25">
      <c r="B38" s="38" t="s">
        <v>43</v>
      </c>
      <c r="D38" s="58">
        <f>D37*$D$29/$D$25</f>
        <v>0</v>
      </c>
      <c r="E38" s="61" t="s">
        <v>5</v>
      </c>
      <c r="F38" s="60" t="s">
        <v>214</v>
      </c>
      <c r="R38" s="9" t="s">
        <v>46</v>
      </c>
      <c r="S38" s="8" t="s">
        <v>43</v>
      </c>
      <c r="T38" s="34">
        <f t="shared" si="3"/>
        <v>0</v>
      </c>
    </row>
    <row r="39" spans="2:20" x14ac:dyDescent="0.25">
      <c r="D39" s="57"/>
      <c r="E39" s="57"/>
      <c r="F39" s="57"/>
      <c r="R39" s="9" t="s">
        <v>46</v>
      </c>
      <c r="S39" s="8" t="s">
        <v>70</v>
      </c>
      <c r="T39" s="34">
        <f t="shared" si="3"/>
        <v>0</v>
      </c>
    </row>
    <row r="40" spans="2:20" x14ac:dyDescent="0.25">
      <c r="B40" s="38" t="s">
        <v>70</v>
      </c>
      <c r="D40" s="58"/>
      <c r="E40" s="57"/>
      <c r="F40" s="60" t="s">
        <v>217</v>
      </c>
      <c r="G40" s="31" t="s">
        <v>218</v>
      </c>
      <c r="R40" s="9" t="s">
        <v>46</v>
      </c>
      <c r="S40" s="8" t="s">
        <v>69</v>
      </c>
      <c r="T40" s="34">
        <f t="shared" si="3"/>
        <v>0</v>
      </c>
    </row>
    <row r="41" spans="2:20" x14ac:dyDescent="0.25">
      <c r="B41" s="38" t="s">
        <v>69</v>
      </c>
      <c r="D41" s="58">
        <f>D40*$D$29/$D$25</f>
        <v>0</v>
      </c>
      <c r="E41" s="61" t="s">
        <v>5</v>
      </c>
      <c r="F41" s="60" t="s">
        <v>214</v>
      </c>
      <c r="R41" s="9" t="s">
        <v>46</v>
      </c>
      <c r="S41" s="8" t="s">
        <v>41</v>
      </c>
      <c r="T41" s="34">
        <f t="shared" si="3"/>
        <v>1063008</v>
      </c>
    </row>
    <row r="42" spans="2:20" x14ac:dyDescent="0.25">
      <c r="D42" s="57"/>
      <c r="E42" s="57"/>
      <c r="F42" s="57"/>
      <c r="R42" s="9" t="s">
        <v>46</v>
      </c>
      <c r="S42" s="8" t="s">
        <v>44</v>
      </c>
      <c r="T42" s="34">
        <f t="shared" si="3"/>
        <v>2714407.1044142176</v>
      </c>
    </row>
    <row r="43" spans="2:20" x14ac:dyDescent="0.25">
      <c r="B43" s="38" t="s">
        <v>172</v>
      </c>
      <c r="D43" s="38" t="s">
        <v>173</v>
      </c>
      <c r="R43" s="9" t="s">
        <v>46</v>
      </c>
      <c r="S43" s="8" t="s">
        <v>68</v>
      </c>
      <c r="T43" s="34">
        <f t="shared" si="3"/>
        <v>0</v>
      </c>
    </row>
    <row r="44" spans="2:20" x14ac:dyDescent="0.25">
      <c r="D44" s="41">
        <f>742102/G18</f>
        <v>698448.9411764706</v>
      </c>
      <c r="E44" s="40" t="s">
        <v>191</v>
      </c>
      <c r="F44" s="31" t="s">
        <v>219</v>
      </c>
      <c r="R44" s="9" t="s">
        <v>46</v>
      </c>
      <c r="S44" s="8" t="s">
        <v>67</v>
      </c>
      <c r="T44" s="34">
        <f t="shared" si="3"/>
        <v>0</v>
      </c>
    </row>
    <row r="45" spans="2:20" x14ac:dyDescent="0.25">
      <c r="R45" s="9" t="s">
        <v>46</v>
      </c>
      <c r="S45" s="8" t="s">
        <v>45</v>
      </c>
      <c r="T45" s="34">
        <f t="shared" si="3"/>
        <v>922889.00000000012</v>
      </c>
    </row>
    <row r="46" spans="2:20" x14ac:dyDescent="0.25">
      <c r="B46" s="38" t="s">
        <v>44</v>
      </c>
      <c r="D46" s="37">
        <f>145000*12.3</f>
        <v>1783500</v>
      </c>
      <c r="F46" s="38" t="s">
        <v>226</v>
      </c>
      <c r="H46" s="31" t="s">
        <v>225</v>
      </c>
      <c r="I46" s="38" t="s">
        <v>224</v>
      </c>
      <c r="R46" s="9" t="s">
        <v>50</v>
      </c>
      <c r="S46" s="8" t="s">
        <v>36</v>
      </c>
      <c r="T46" s="34">
        <f t="shared" ref="T46:T54" si="4">D77</f>
        <v>524668.23529411759</v>
      </c>
    </row>
    <row r="47" spans="2:20" x14ac:dyDescent="0.25">
      <c r="B47" s="38" t="s">
        <v>68</v>
      </c>
      <c r="D47" s="55"/>
      <c r="E47" s="56"/>
      <c r="F47" s="38" t="s">
        <v>227</v>
      </c>
      <c r="R47" s="9" t="s">
        <v>50</v>
      </c>
      <c r="S47" s="14" t="s">
        <v>34</v>
      </c>
      <c r="T47" s="34">
        <f t="shared" si="4"/>
        <v>413379.15922975913</v>
      </c>
    </row>
    <row r="48" spans="2:20" x14ac:dyDescent="0.25">
      <c r="B48" s="38" t="s">
        <v>67</v>
      </c>
      <c r="D48" s="55"/>
      <c r="E48" s="56"/>
      <c r="R48" s="9" t="s">
        <v>50</v>
      </c>
      <c r="S48" s="8" t="s">
        <v>65</v>
      </c>
      <c r="T48" s="34">
        <f t="shared" si="4"/>
        <v>0</v>
      </c>
    </row>
    <row r="49" spans="2:20" x14ac:dyDescent="0.25">
      <c r="R49" s="9" t="s">
        <v>50</v>
      </c>
      <c r="S49" s="8" t="s">
        <v>64</v>
      </c>
      <c r="T49" s="34">
        <f t="shared" si="4"/>
        <v>0</v>
      </c>
    </row>
    <row r="50" spans="2:20" x14ac:dyDescent="0.25">
      <c r="B50" s="38" t="s">
        <v>17</v>
      </c>
      <c r="D50" s="55">
        <f>D29*1.1</f>
        <v>724602.3529411765</v>
      </c>
      <c r="E50" s="56"/>
      <c r="F50" s="38" t="s">
        <v>227</v>
      </c>
      <c r="R50" s="9" t="s">
        <v>50</v>
      </c>
      <c r="S50" s="8" t="s">
        <v>38</v>
      </c>
      <c r="T50" s="34">
        <f t="shared" si="4"/>
        <v>0</v>
      </c>
    </row>
    <row r="51" spans="2:20" x14ac:dyDescent="0.25">
      <c r="D51" s="38"/>
      <c r="R51" s="9" t="s">
        <v>50</v>
      </c>
      <c r="S51" s="8" t="s">
        <v>41</v>
      </c>
      <c r="T51" s="34">
        <f t="shared" si="4"/>
        <v>814322.82352941181</v>
      </c>
    </row>
    <row r="52" spans="2:20" x14ac:dyDescent="0.25">
      <c r="E52" s="38"/>
      <c r="R52" s="9" t="s">
        <v>50</v>
      </c>
      <c r="S52" s="8" t="s">
        <v>44</v>
      </c>
      <c r="T52" s="34">
        <f t="shared" si="4"/>
        <v>1189638.0676295361</v>
      </c>
    </row>
    <row r="53" spans="2:20" x14ac:dyDescent="0.25">
      <c r="E53" s="38"/>
      <c r="R53" s="9" t="s">
        <v>50</v>
      </c>
      <c r="S53" s="8" t="s">
        <v>63</v>
      </c>
      <c r="T53" s="34">
        <f t="shared" si="4"/>
        <v>0</v>
      </c>
    </row>
    <row r="54" spans="2:20" x14ac:dyDescent="0.25">
      <c r="B54" s="38" t="s">
        <v>174</v>
      </c>
      <c r="R54" s="9" t="s">
        <v>50</v>
      </c>
      <c r="S54" s="8" t="s">
        <v>45</v>
      </c>
      <c r="T54" s="34">
        <f t="shared" si="4"/>
        <v>648193.49071566667</v>
      </c>
    </row>
    <row r="55" spans="2:20" x14ac:dyDescent="0.25">
      <c r="B55" s="31" t="s">
        <v>48</v>
      </c>
      <c r="C55" s="31" t="s">
        <v>34</v>
      </c>
      <c r="D55" s="37">
        <f>150000/G18</f>
        <v>141176.4705882353</v>
      </c>
      <c r="E55" s="46"/>
      <c r="F55" s="38" t="s">
        <v>228</v>
      </c>
      <c r="H55" s="31" t="s">
        <v>229</v>
      </c>
      <c r="R55" s="9" t="s">
        <v>56</v>
      </c>
      <c r="S55" s="8" t="s">
        <v>36</v>
      </c>
      <c r="T55" s="34">
        <f t="shared" ref="T55:T62" si="5">D88</f>
        <v>861659.92260461533</v>
      </c>
    </row>
    <row r="56" spans="2:20" x14ac:dyDescent="0.25">
      <c r="B56" s="57" t="s">
        <v>48</v>
      </c>
      <c r="C56" s="57" t="s">
        <v>37</v>
      </c>
      <c r="D56" s="58"/>
      <c r="E56" s="57"/>
      <c r="F56" s="57"/>
      <c r="R56" s="9" t="s">
        <v>56</v>
      </c>
      <c r="S56" s="8" t="s">
        <v>65</v>
      </c>
      <c r="T56" s="34">
        <f t="shared" si="5"/>
        <v>0</v>
      </c>
    </row>
    <row r="57" spans="2:20" x14ac:dyDescent="0.25">
      <c r="B57" s="31" t="s">
        <v>48</v>
      </c>
      <c r="C57" s="31" t="s">
        <v>41</v>
      </c>
      <c r="D57" s="43">
        <f>D55</f>
        <v>141176.4705882353</v>
      </c>
      <c r="E57" s="46"/>
      <c r="F57" s="45" t="s">
        <v>230</v>
      </c>
      <c r="R57" s="9" t="s">
        <v>56</v>
      </c>
      <c r="S57" s="8" t="s">
        <v>64</v>
      </c>
      <c r="T57" s="34">
        <f t="shared" si="5"/>
        <v>0</v>
      </c>
    </row>
    <row r="58" spans="2:20" x14ac:dyDescent="0.25">
      <c r="B58" s="57" t="s">
        <v>48</v>
      </c>
      <c r="C58" s="57" t="s">
        <v>44</v>
      </c>
      <c r="D58" s="58"/>
      <c r="E58" s="57"/>
      <c r="F58" s="57"/>
      <c r="R58" s="9" t="s">
        <v>56</v>
      </c>
      <c r="S58" s="8" t="s">
        <v>38</v>
      </c>
      <c r="T58" s="34">
        <f t="shared" si="5"/>
        <v>0</v>
      </c>
    </row>
    <row r="59" spans="2:20" x14ac:dyDescent="0.25">
      <c r="R59" s="9" t="s">
        <v>56</v>
      </c>
      <c r="S59" s="8" t="s">
        <v>41</v>
      </c>
      <c r="T59" s="34">
        <f t="shared" si="5"/>
        <v>1337358.1511070214</v>
      </c>
    </row>
    <row r="60" spans="2:20" x14ac:dyDescent="0.25">
      <c r="B60" s="38" t="s">
        <v>175</v>
      </c>
      <c r="G60" s="40" t="s">
        <v>193</v>
      </c>
      <c r="R60" s="9" t="s">
        <v>56</v>
      </c>
      <c r="S60" s="8" t="s">
        <v>44</v>
      </c>
      <c r="T60" s="34">
        <f t="shared" si="5"/>
        <v>1887434.9410157723</v>
      </c>
    </row>
    <row r="61" spans="2:20" x14ac:dyDescent="0.25">
      <c r="C61" s="38" t="s">
        <v>34</v>
      </c>
      <c r="D61" s="37">
        <f>468200/G18</f>
        <v>440658.82352941175</v>
      </c>
      <c r="E61" s="38"/>
      <c r="F61" s="38" t="s">
        <v>231</v>
      </c>
      <c r="H61" s="31" t="s">
        <v>233</v>
      </c>
      <c r="R61" s="9" t="s">
        <v>56</v>
      </c>
      <c r="S61" s="8" t="s">
        <v>63</v>
      </c>
      <c r="T61" s="34">
        <f t="shared" si="5"/>
        <v>0</v>
      </c>
    </row>
    <row r="62" spans="2:20" x14ac:dyDescent="0.25">
      <c r="C62" s="38" t="s">
        <v>36</v>
      </c>
      <c r="D62" s="37">
        <v>838990</v>
      </c>
      <c r="E62" s="38"/>
      <c r="F62" s="38" t="s">
        <v>232</v>
      </c>
      <c r="H62" s="31" t="s">
        <v>234</v>
      </c>
      <c r="R62" s="9" t="s">
        <v>56</v>
      </c>
      <c r="S62" s="8" t="s">
        <v>45</v>
      </c>
      <c r="T62" s="34">
        <f t="shared" si="5"/>
        <v>995097.14073852904</v>
      </c>
    </row>
    <row r="63" spans="2:20" x14ac:dyDescent="0.25">
      <c r="C63" s="38" t="s">
        <v>37</v>
      </c>
      <c r="D63" s="59">
        <f>527200/G18</f>
        <v>496188.23529411765</v>
      </c>
      <c r="E63" s="40"/>
      <c r="F63" s="38" t="s">
        <v>235</v>
      </c>
      <c r="R63" s="9" t="s">
        <v>59</v>
      </c>
      <c r="S63" s="13" t="s">
        <v>36</v>
      </c>
      <c r="T63" s="34">
        <f t="shared" ref="T63:T70" si="6">D100</f>
        <v>1133048.1053792366</v>
      </c>
    </row>
    <row r="64" spans="2:20" x14ac:dyDescent="0.25">
      <c r="C64" s="38" t="s">
        <v>38</v>
      </c>
      <c r="D64" s="43">
        <f>D63*D62/D61</f>
        <v>944714.92524562147</v>
      </c>
      <c r="E64" s="44" t="s">
        <v>5</v>
      </c>
      <c r="F64" s="38" t="s">
        <v>214</v>
      </c>
      <c r="R64" s="9" t="s">
        <v>59</v>
      </c>
      <c r="S64" s="13" t="s">
        <v>65</v>
      </c>
      <c r="T64" s="34">
        <f t="shared" si="6"/>
        <v>0</v>
      </c>
    </row>
    <row r="65" spans="1:20" x14ac:dyDescent="0.25">
      <c r="C65" s="38" t="s">
        <v>40</v>
      </c>
      <c r="D65" s="43">
        <f>D61*D37/D25</f>
        <v>0</v>
      </c>
      <c r="E65" s="44" t="s">
        <v>236</v>
      </c>
      <c r="F65" s="38" t="s">
        <v>237</v>
      </c>
      <c r="R65" s="9" t="s">
        <v>59</v>
      </c>
      <c r="S65" s="13" t="s">
        <v>64</v>
      </c>
      <c r="T65" s="34">
        <f t="shared" si="6"/>
        <v>0</v>
      </c>
    </row>
    <row r="66" spans="1:20" x14ac:dyDescent="0.25">
      <c r="C66" s="38" t="s">
        <v>43</v>
      </c>
      <c r="D66" s="43">
        <f>D65*D62/D61</f>
        <v>0</v>
      </c>
      <c r="E66" s="44" t="s">
        <v>5</v>
      </c>
      <c r="F66" s="38" t="s">
        <v>214</v>
      </c>
      <c r="R66" s="9" t="s">
        <v>59</v>
      </c>
      <c r="S66" s="13" t="s">
        <v>38</v>
      </c>
      <c r="T66" s="34">
        <f t="shared" si="6"/>
        <v>0</v>
      </c>
    </row>
    <row r="67" spans="1:20" x14ac:dyDescent="0.25">
      <c r="C67" s="38" t="s">
        <v>70</v>
      </c>
      <c r="D67" s="43"/>
      <c r="E67" s="45" t="s">
        <v>176</v>
      </c>
      <c r="F67" s="46"/>
      <c r="R67" s="9" t="s">
        <v>59</v>
      </c>
      <c r="S67" s="13" t="s">
        <v>41</v>
      </c>
      <c r="T67" s="34">
        <f t="shared" si="6"/>
        <v>1758572.1229146707</v>
      </c>
    </row>
    <row r="68" spans="1:20" x14ac:dyDescent="0.25">
      <c r="C68" s="38" t="s">
        <v>69</v>
      </c>
      <c r="D68" s="43"/>
      <c r="E68" s="45" t="s">
        <v>176</v>
      </c>
      <c r="F68" s="46"/>
      <c r="R68" s="9" t="s">
        <v>59</v>
      </c>
      <c r="S68" s="13" t="s">
        <v>44</v>
      </c>
      <c r="T68" s="34">
        <f t="shared" si="6"/>
        <v>2565517.2470272132</v>
      </c>
    </row>
    <row r="69" spans="1:20" x14ac:dyDescent="0.25">
      <c r="C69" s="38" t="s">
        <v>41</v>
      </c>
      <c r="D69" s="41">
        <f>1129446/G18</f>
        <v>1063008</v>
      </c>
      <c r="E69" s="40"/>
      <c r="F69" s="40" t="s">
        <v>192</v>
      </c>
      <c r="R69" s="9" t="s">
        <v>59</v>
      </c>
      <c r="S69" s="13" t="s">
        <v>63</v>
      </c>
      <c r="T69" s="34">
        <f t="shared" si="6"/>
        <v>0</v>
      </c>
    </row>
    <row r="70" spans="1:20" x14ac:dyDescent="0.25">
      <c r="C70" s="38" t="s">
        <v>44</v>
      </c>
      <c r="D70" s="43">
        <f>D46/D44*D69</f>
        <v>2714407.1044142176</v>
      </c>
      <c r="E70" s="45"/>
      <c r="F70" s="45" t="s">
        <v>238</v>
      </c>
      <c r="R70" s="9" t="s">
        <v>59</v>
      </c>
      <c r="S70" s="13" t="s">
        <v>45</v>
      </c>
      <c r="T70" s="34">
        <f t="shared" si="6"/>
        <v>1314023.0851808547</v>
      </c>
    </row>
    <row r="71" spans="1:20" x14ac:dyDescent="0.25">
      <c r="C71" s="38" t="s">
        <v>68</v>
      </c>
      <c r="D71" s="43"/>
      <c r="E71" s="45"/>
      <c r="F71" s="46"/>
      <c r="R71" s="9" t="s">
        <v>54</v>
      </c>
      <c r="S71" s="12" t="s">
        <v>36</v>
      </c>
      <c r="T71" s="34">
        <f t="shared" ref="T71:T78" si="7">D112</f>
        <v>906349.91499240114</v>
      </c>
    </row>
    <row r="72" spans="1:20" x14ac:dyDescent="0.25">
      <c r="C72" s="38" t="s">
        <v>67</v>
      </c>
      <c r="D72" s="43">
        <f>D71</f>
        <v>0</v>
      </c>
      <c r="E72" s="45"/>
      <c r="F72" s="46"/>
      <c r="R72" s="9" t="s">
        <v>54</v>
      </c>
      <c r="S72" s="12" t="s">
        <v>65</v>
      </c>
      <c r="T72" s="34">
        <f t="shared" si="7"/>
        <v>0</v>
      </c>
    </row>
    <row r="73" spans="1:20" x14ac:dyDescent="0.25">
      <c r="B73" s="57"/>
      <c r="C73" s="60" t="s">
        <v>17</v>
      </c>
      <c r="D73" s="58">
        <f>1.1*D62</f>
        <v>922889.00000000012</v>
      </c>
      <c r="E73" s="60"/>
      <c r="F73" s="57"/>
      <c r="R73" s="9" t="s">
        <v>54</v>
      </c>
      <c r="S73" s="12" t="s">
        <v>64</v>
      </c>
      <c r="T73" s="34">
        <f t="shared" si="7"/>
        <v>0</v>
      </c>
    </row>
    <row r="74" spans="1:20" x14ac:dyDescent="0.25">
      <c r="R74" s="9" t="s">
        <v>54</v>
      </c>
      <c r="S74" s="12" t="s">
        <v>38</v>
      </c>
      <c r="T74" s="34">
        <f t="shared" si="7"/>
        <v>0</v>
      </c>
    </row>
    <row r="75" spans="1:20" x14ac:dyDescent="0.25">
      <c r="G75" s="38" t="s">
        <v>180</v>
      </c>
      <c r="R75" s="9" t="s">
        <v>54</v>
      </c>
      <c r="S75" s="12" t="s">
        <v>41</v>
      </c>
      <c r="T75" s="34">
        <f t="shared" si="7"/>
        <v>1406720.2323931679</v>
      </c>
    </row>
    <row r="76" spans="1:20" x14ac:dyDescent="0.25">
      <c r="B76" s="38" t="s">
        <v>177</v>
      </c>
      <c r="G76" s="31" t="s">
        <v>179</v>
      </c>
      <c r="R76" s="9" t="s">
        <v>54</v>
      </c>
      <c r="S76" s="12" t="s">
        <v>44</v>
      </c>
      <c r="T76" s="34">
        <f t="shared" si="7"/>
        <v>1854400.0079945058</v>
      </c>
    </row>
    <row r="77" spans="1:20" x14ac:dyDescent="0.25">
      <c r="B77" s="31" t="s">
        <v>50</v>
      </c>
      <c r="C77" s="31" t="s">
        <v>36</v>
      </c>
      <c r="D77" s="37">
        <f>557460/G18</f>
        <v>524668.23529411759</v>
      </c>
      <c r="E77" s="38"/>
      <c r="G77" s="31">
        <v>800945.7513197927</v>
      </c>
      <c r="H77" s="38" t="s">
        <v>239</v>
      </c>
      <c r="R77" s="9" t="s">
        <v>54</v>
      </c>
      <c r="S77" s="12" t="s">
        <v>63</v>
      </c>
      <c r="T77" s="34">
        <f t="shared" si="7"/>
        <v>0</v>
      </c>
    </row>
    <row r="78" spans="1:20" x14ac:dyDescent="0.25">
      <c r="B78" s="31" t="s">
        <v>50</v>
      </c>
      <c r="C78" s="31" t="s">
        <v>34</v>
      </c>
      <c r="D78" s="43">
        <f>G78/G$77*D$77</f>
        <v>413379.15922975913</v>
      </c>
      <c r="E78" s="38" t="s">
        <v>178</v>
      </c>
      <c r="F78" s="46"/>
      <c r="G78" s="46">
        <v>631054.55790289911</v>
      </c>
      <c r="H78" s="46"/>
      <c r="R78" s="9" t="s">
        <v>54</v>
      </c>
      <c r="S78" s="12" t="s">
        <v>45</v>
      </c>
      <c r="T78" s="34">
        <f t="shared" si="7"/>
        <v>1090585.1281432109</v>
      </c>
    </row>
    <row r="79" spans="1:20" x14ac:dyDescent="0.25">
      <c r="A79" s="62"/>
      <c r="B79" s="62" t="s">
        <v>50</v>
      </c>
      <c r="C79" s="62" t="s">
        <v>65</v>
      </c>
      <c r="D79" s="63"/>
      <c r="E79" s="64"/>
      <c r="F79" s="62"/>
      <c r="G79" s="62">
        <v>905485.27878454118</v>
      </c>
      <c r="H79" s="62"/>
      <c r="R79" s="9" t="s">
        <v>1</v>
      </c>
      <c r="S79" s="10" t="s">
        <v>36</v>
      </c>
      <c r="T79" s="34">
        <f t="shared" ref="T79:T86" si="8">D124</f>
        <v>1681623.7261979403</v>
      </c>
    </row>
    <row r="80" spans="1:20" x14ac:dyDescent="0.25">
      <c r="A80" s="62"/>
      <c r="B80" s="62" t="s">
        <v>50</v>
      </c>
      <c r="C80" s="62" t="s">
        <v>64</v>
      </c>
      <c r="D80" s="63"/>
      <c r="E80" s="64"/>
      <c r="F80" s="62"/>
      <c r="G80" s="62">
        <v>867855.65580572386</v>
      </c>
      <c r="H80" s="62"/>
      <c r="R80" s="9" t="s">
        <v>1</v>
      </c>
      <c r="S80" s="10" t="s">
        <v>65</v>
      </c>
      <c r="T80" s="34">
        <f t="shared" si="8"/>
        <v>0</v>
      </c>
    </row>
    <row r="81" spans="1:20" x14ac:dyDescent="0.25">
      <c r="A81" s="62"/>
      <c r="B81" s="62" t="s">
        <v>50</v>
      </c>
      <c r="C81" s="62" t="s">
        <v>38</v>
      </c>
      <c r="D81" s="63"/>
      <c r="E81" s="64"/>
      <c r="F81" s="62"/>
      <c r="G81" s="62">
        <v>885377.7159720764</v>
      </c>
      <c r="H81" s="62"/>
      <c r="R81" s="9" t="s">
        <v>1</v>
      </c>
      <c r="S81" s="10" t="s">
        <v>64</v>
      </c>
      <c r="T81" s="34">
        <f t="shared" si="8"/>
        <v>0</v>
      </c>
    </row>
    <row r="82" spans="1:20" x14ac:dyDescent="0.25">
      <c r="B82" s="31" t="s">
        <v>50</v>
      </c>
      <c r="C82" s="31" t="s">
        <v>41</v>
      </c>
      <c r="D82" s="54">
        <f>865218/G18</f>
        <v>814322.82352941181</v>
      </c>
      <c r="E82" s="38"/>
      <c r="F82" s="46"/>
      <c r="G82" s="31">
        <v>1464212.0349055484</v>
      </c>
      <c r="H82" s="38" t="s">
        <v>240</v>
      </c>
      <c r="R82" s="9" t="s">
        <v>1</v>
      </c>
      <c r="S82" s="10" t="s">
        <v>38</v>
      </c>
      <c r="T82" s="34">
        <f t="shared" si="8"/>
        <v>0</v>
      </c>
    </row>
    <row r="83" spans="1:20" x14ac:dyDescent="0.25">
      <c r="B83" s="31" t="s">
        <v>50</v>
      </c>
      <c r="C83" s="31" t="s">
        <v>44</v>
      </c>
      <c r="D83" s="43">
        <f t="shared" ref="D83:D85" si="9">G83/G$77*D$77</f>
        <v>1189638.0676295361</v>
      </c>
      <c r="E83" s="38" t="s">
        <v>178</v>
      </c>
      <c r="F83" s="46"/>
      <c r="G83" s="31">
        <v>1816072.504069217</v>
      </c>
      <c r="R83" s="9" t="s">
        <v>1</v>
      </c>
      <c r="S83" s="10" t="s">
        <v>41</v>
      </c>
      <c r="T83" s="34">
        <f t="shared" si="8"/>
        <v>2022014.0410005269</v>
      </c>
    </row>
    <row r="84" spans="1:20" x14ac:dyDescent="0.25">
      <c r="B84" s="31" t="s">
        <v>50</v>
      </c>
      <c r="C84" s="31" t="s">
        <v>63</v>
      </c>
      <c r="D84" s="43"/>
      <c r="E84" s="38"/>
      <c r="G84" s="31">
        <v>1031864.0418883342</v>
      </c>
      <c r="R84" s="9" t="s">
        <v>1</v>
      </c>
      <c r="S84" s="10" t="s">
        <v>44</v>
      </c>
      <c r="T84" s="34">
        <f t="shared" si="8"/>
        <v>2416886.24070324</v>
      </c>
    </row>
    <row r="85" spans="1:20" x14ac:dyDescent="0.25">
      <c r="B85" s="31" t="s">
        <v>50</v>
      </c>
      <c r="C85" s="31" t="s">
        <v>45</v>
      </c>
      <c r="D85" s="43">
        <f t="shared" si="9"/>
        <v>648193.49071566667</v>
      </c>
      <c r="E85" s="38" t="s">
        <v>178</v>
      </c>
      <c r="G85" s="31">
        <v>989516.39816888212</v>
      </c>
      <c r="R85" s="9" t="s">
        <v>1</v>
      </c>
      <c r="S85" s="10" t="s">
        <v>63</v>
      </c>
      <c r="T85" s="34">
        <f t="shared" si="8"/>
        <v>0</v>
      </c>
    </row>
    <row r="86" spans="1:20" x14ac:dyDescent="0.25">
      <c r="R86" s="9" t="s">
        <v>1</v>
      </c>
      <c r="S86" s="10" t="s">
        <v>45</v>
      </c>
      <c r="T86" s="34">
        <f t="shared" si="8"/>
        <v>1783011.9060877543</v>
      </c>
    </row>
    <row r="87" spans="1:20" x14ac:dyDescent="0.25">
      <c r="B87" s="38" t="s">
        <v>181</v>
      </c>
    </row>
    <row r="88" spans="1:20" x14ac:dyDescent="0.25">
      <c r="B88" s="38" t="s">
        <v>56</v>
      </c>
      <c r="C88" s="31" t="s">
        <v>36</v>
      </c>
      <c r="D88" s="43">
        <f t="shared" ref="D88" si="10">G88/G$77*D$77</f>
        <v>861659.92260461533</v>
      </c>
      <c r="E88" s="38" t="s">
        <v>182</v>
      </c>
      <c r="G88" s="31">
        <v>1315389.054772544</v>
      </c>
    </row>
    <row r="89" spans="1:20" x14ac:dyDescent="0.25">
      <c r="A89" s="57"/>
      <c r="B89" s="60" t="s">
        <v>56</v>
      </c>
      <c r="C89" s="57" t="s">
        <v>65</v>
      </c>
      <c r="D89" s="58"/>
      <c r="E89" s="60" t="s">
        <v>178</v>
      </c>
      <c r="F89" s="57"/>
      <c r="G89" s="57">
        <v>1438328.6388271647</v>
      </c>
      <c r="H89" s="57"/>
    </row>
    <row r="90" spans="1:20" x14ac:dyDescent="0.25">
      <c r="A90" s="57"/>
      <c r="B90" s="60" t="s">
        <v>56</v>
      </c>
      <c r="C90" s="57" t="s">
        <v>64</v>
      </c>
      <c r="D90" s="58"/>
      <c r="E90" s="60" t="s">
        <v>178</v>
      </c>
      <c r="F90" s="57"/>
      <c r="G90" s="57">
        <v>1372038.5110622062</v>
      </c>
      <c r="H90" s="57"/>
      <c r="R90"/>
      <c r="S90"/>
      <c r="T90"/>
    </row>
    <row r="91" spans="1:20" x14ac:dyDescent="0.25">
      <c r="A91" s="57"/>
      <c r="B91" s="60" t="s">
        <v>56</v>
      </c>
      <c r="C91" s="57" t="s">
        <v>38</v>
      </c>
      <c r="D91" s="58"/>
      <c r="E91" s="60" t="s">
        <v>178</v>
      </c>
      <c r="F91" s="57"/>
      <c r="G91" s="57">
        <v>1464573.7294294063</v>
      </c>
      <c r="H91" s="57"/>
      <c r="R91"/>
      <c r="S91"/>
      <c r="T91"/>
    </row>
    <row r="92" spans="1:20" x14ac:dyDescent="0.25">
      <c r="B92" s="39" t="s">
        <v>56</v>
      </c>
      <c r="C92" s="39" t="s">
        <v>41</v>
      </c>
      <c r="D92" s="43">
        <f>D88*D82/D77</f>
        <v>1337358.1511070214</v>
      </c>
      <c r="E92" s="38"/>
      <c r="F92" s="39"/>
      <c r="G92" s="65"/>
      <c r="R92"/>
      <c r="S92"/>
      <c r="T92"/>
    </row>
    <row r="93" spans="1:20" x14ac:dyDescent="0.25">
      <c r="B93" s="38" t="s">
        <v>56</v>
      </c>
      <c r="C93" s="31" t="s">
        <v>44</v>
      </c>
      <c r="D93" s="43">
        <f t="shared" ref="D93:D95" si="11">G93/G$77*D$77</f>
        <v>1887434.9410157723</v>
      </c>
      <c r="E93" s="38" t="s">
        <v>178</v>
      </c>
      <c r="G93" s="31">
        <v>2881312.2182852593</v>
      </c>
      <c r="R93"/>
      <c r="S93"/>
      <c r="T93"/>
    </row>
    <row r="94" spans="1:20" x14ac:dyDescent="0.25">
      <c r="B94" s="38" t="s">
        <v>56</v>
      </c>
      <c r="C94" s="31" t="s">
        <v>63</v>
      </c>
      <c r="D94" s="43"/>
      <c r="E94" s="38" t="s">
        <v>178</v>
      </c>
      <c r="G94" s="31">
        <v>1591595.5728002738</v>
      </c>
    </row>
    <row r="95" spans="1:20" x14ac:dyDescent="0.25">
      <c r="B95" s="38" t="s">
        <v>56</v>
      </c>
      <c r="C95" s="31" t="s">
        <v>45</v>
      </c>
      <c r="D95" s="43">
        <f t="shared" si="11"/>
        <v>995097.14073852904</v>
      </c>
      <c r="E95" s="38" t="s">
        <v>178</v>
      </c>
      <c r="G95" s="31">
        <v>1519091.0625229813</v>
      </c>
    </row>
    <row r="96" spans="1:20" x14ac:dyDescent="0.25">
      <c r="D96" s="43"/>
      <c r="E96" s="38"/>
    </row>
    <row r="97" spans="2:20" x14ac:dyDescent="0.25">
      <c r="B97" s="38" t="s">
        <v>183</v>
      </c>
    </row>
    <row r="98" spans="2:20" x14ac:dyDescent="0.25">
      <c r="G98" s="31">
        <v>2020</v>
      </c>
    </row>
    <row r="99" spans="2:20" x14ac:dyDescent="0.25">
      <c r="G99" s="31" t="s">
        <v>179</v>
      </c>
    </row>
    <row r="100" spans="2:20" x14ac:dyDescent="0.25">
      <c r="B100" s="31" t="s">
        <v>59</v>
      </c>
      <c r="C100" s="31" t="s">
        <v>36</v>
      </c>
      <c r="D100" s="43">
        <f>G100/G88*D88</f>
        <v>1133048.1053792366</v>
      </c>
      <c r="E100" s="46"/>
      <c r="G100" s="31">
        <v>1729683.6457722846</v>
      </c>
    </row>
    <row r="101" spans="2:20" x14ac:dyDescent="0.25">
      <c r="B101" s="31" t="s">
        <v>59</v>
      </c>
      <c r="C101" s="31" t="s">
        <v>65</v>
      </c>
      <c r="D101" s="43">
        <f t="shared" ref="D101:D106" si="12">G101/G89*D89</f>
        <v>0</v>
      </c>
      <c r="E101" s="46"/>
      <c r="G101" s="31">
        <v>1881307.4022600672</v>
      </c>
    </row>
    <row r="102" spans="2:20" x14ac:dyDescent="0.25">
      <c r="B102" s="31" t="s">
        <v>59</v>
      </c>
      <c r="C102" s="31" t="s">
        <v>64</v>
      </c>
      <c r="D102" s="43">
        <f t="shared" si="12"/>
        <v>0</v>
      </c>
      <c r="E102" s="46"/>
      <c r="G102" s="31">
        <v>1830898.431238617</v>
      </c>
      <c r="T102" s="34"/>
    </row>
    <row r="103" spans="2:20" x14ac:dyDescent="0.25">
      <c r="B103" s="31" t="s">
        <v>59</v>
      </c>
      <c r="C103" s="31" t="s">
        <v>38</v>
      </c>
      <c r="D103" s="43">
        <f t="shared" si="12"/>
        <v>0</v>
      </c>
      <c r="E103" s="46"/>
      <c r="G103" s="31">
        <v>1896564.6673059126</v>
      </c>
    </row>
    <row r="104" spans="2:20" x14ac:dyDescent="0.25">
      <c r="B104" s="31" t="s">
        <v>59</v>
      </c>
      <c r="C104" s="31" t="s">
        <v>41</v>
      </c>
      <c r="D104" s="43">
        <f>D100*D92/D88</f>
        <v>1758572.1229146707</v>
      </c>
      <c r="E104" s="46"/>
    </row>
    <row r="105" spans="2:20" x14ac:dyDescent="0.25">
      <c r="B105" s="31" t="s">
        <v>59</v>
      </c>
      <c r="C105" s="31" t="s">
        <v>44</v>
      </c>
      <c r="D105" s="43">
        <f>G105/G93*D93</f>
        <v>2565517.2470272132</v>
      </c>
      <c r="E105" s="46"/>
      <c r="G105" s="31">
        <v>3916456.1540345564</v>
      </c>
    </row>
    <row r="106" spans="2:20" x14ac:dyDescent="0.25">
      <c r="B106" s="31" t="s">
        <v>59</v>
      </c>
      <c r="C106" s="31" t="s">
        <v>63</v>
      </c>
      <c r="D106" s="43">
        <f t="shared" si="12"/>
        <v>0</v>
      </c>
      <c r="E106" s="46"/>
      <c r="G106" s="31">
        <v>2108333.6144666532</v>
      </c>
    </row>
    <row r="107" spans="2:20" x14ac:dyDescent="0.25">
      <c r="B107" s="31" t="s">
        <v>59</v>
      </c>
      <c r="C107" s="31" t="s">
        <v>45</v>
      </c>
      <c r="D107" s="43">
        <f>G107/G95*D95</f>
        <v>1314023.0851808547</v>
      </c>
      <c r="E107" s="46"/>
      <c r="G107" s="31">
        <v>2005955.6428487513</v>
      </c>
    </row>
    <row r="108" spans="2:20" x14ac:dyDescent="0.25">
      <c r="D108" s="46"/>
      <c r="E108" s="46"/>
    </row>
    <row r="109" spans="2:20" x14ac:dyDescent="0.25">
      <c r="D109" s="46"/>
      <c r="E109" s="46"/>
    </row>
    <row r="110" spans="2:20" x14ac:dyDescent="0.25">
      <c r="B110" s="31" t="s">
        <v>54</v>
      </c>
      <c r="C110" s="31" t="s">
        <v>54</v>
      </c>
      <c r="D110" s="46"/>
      <c r="E110" s="46"/>
      <c r="G110" s="31">
        <v>2020</v>
      </c>
    </row>
    <row r="111" spans="2:20" x14ac:dyDescent="0.25">
      <c r="B111" s="31" t="s">
        <v>54</v>
      </c>
      <c r="C111" s="31" t="s">
        <v>62</v>
      </c>
      <c r="D111" s="46"/>
      <c r="E111" s="46"/>
      <c r="G111" s="31" t="s">
        <v>179</v>
      </c>
    </row>
    <row r="112" spans="2:20" x14ac:dyDescent="0.25">
      <c r="B112" s="31" t="s">
        <v>54</v>
      </c>
      <c r="C112" s="31" t="s">
        <v>36</v>
      </c>
      <c r="D112" s="43">
        <f>G112/G100*D100</f>
        <v>906349.91499240114</v>
      </c>
      <c r="E112" s="46"/>
      <c r="G112" s="31">
        <v>1383611.7088645061</v>
      </c>
    </row>
    <row r="113" spans="2:7" x14ac:dyDescent="0.25">
      <c r="B113" s="31" t="s">
        <v>54</v>
      </c>
      <c r="C113" s="31" t="s">
        <v>65</v>
      </c>
      <c r="D113" s="43">
        <f t="shared" ref="D113:D118" si="13">G113/G101*D101</f>
        <v>0</v>
      </c>
      <c r="E113" s="46"/>
      <c r="G113" s="31">
        <v>1554634.2240061136</v>
      </c>
    </row>
    <row r="114" spans="2:7" x14ac:dyDescent="0.25">
      <c r="B114" s="31" t="s">
        <v>54</v>
      </c>
      <c r="C114" s="31" t="s">
        <v>64</v>
      </c>
      <c r="D114" s="43">
        <f t="shared" si="13"/>
        <v>0</v>
      </c>
      <c r="E114" s="46"/>
      <c r="G114" s="31">
        <v>1491260.0402134496</v>
      </c>
    </row>
    <row r="115" spans="2:7" x14ac:dyDescent="0.25">
      <c r="B115" s="31" t="s">
        <v>54</v>
      </c>
      <c r="C115" s="31" t="s">
        <v>38</v>
      </c>
      <c r="D115" s="43">
        <f t="shared" si="13"/>
        <v>0</v>
      </c>
      <c r="E115" s="46"/>
      <c r="G115" s="31">
        <v>1502505.4928576599</v>
      </c>
    </row>
    <row r="116" spans="2:7" x14ac:dyDescent="0.25">
      <c r="B116" s="31" t="s">
        <v>54</v>
      </c>
      <c r="C116" s="31" t="s">
        <v>41</v>
      </c>
      <c r="D116" s="43">
        <f>D112*D104/D100</f>
        <v>1406720.2323931679</v>
      </c>
      <c r="E116" s="46"/>
      <c r="G116" s="31">
        <f>D116/D82*G82</f>
        <v>2529385.9320901283</v>
      </c>
    </row>
    <row r="117" spans="2:7" x14ac:dyDescent="0.25">
      <c r="B117" s="31" t="s">
        <v>54</v>
      </c>
      <c r="C117" s="31" t="s">
        <v>44</v>
      </c>
      <c r="D117" s="43">
        <f>G117/G105*D105</f>
        <v>1854400.0079945058</v>
      </c>
      <c r="E117" s="46"/>
      <c r="G117" s="31">
        <v>2830881.8939991225</v>
      </c>
    </row>
    <row r="118" spans="2:7" x14ac:dyDescent="0.25">
      <c r="B118" s="31" t="s">
        <v>54</v>
      </c>
      <c r="C118" s="31" t="s">
        <v>63</v>
      </c>
      <c r="D118" s="43">
        <f t="shared" si="13"/>
        <v>0</v>
      </c>
      <c r="E118" s="46"/>
      <c r="G118" s="31">
        <v>1732356.5987769766</v>
      </c>
    </row>
    <row r="119" spans="2:7" x14ac:dyDescent="0.25">
      <c r="B119" s="31" t="s">
        <v>54</v>
      </c>
      <c r="C119" s="31" t="s">
        <v>45</v>
      </c>
      <c r="D119" s="43">
        <f>G119/G107*D107</f>
        <v>1090585.1281432109</v>
      </c>
      <c r="E119" s="46"/>
      <c r="G119" s="31">
        <v>1664860.6987788989</v>
      </c>
    </row>
    <row r="120" spans="2:7" x14ac:dyDescent="0.25">
      <c r="B120" s="31" t="s">
        <v>54</v>
      </c>
      <c r="D120" s="46"/>
      <c r="E120" s="46"/>
    </row>
    <row r="121" spans="2:7" x14ac:dyDescent="0.25">
      <c r="B121" s="31" t="s">
        <v>54</v>
      </c>
      <c r="C121" s="31" t="s">
        <v>66</v>
      </c>
      <c r="D121" s="46"/>
      <c r="E121" s="46"/>
    </row>
    <row r="122" spans="2:7" x14ac:dyDescent="0.25">
      <c r="B122" s="31" t="s">
        <v>1</v>
      </c>
      <c r="C122" s="31" t="s">
        <v>1</v>
      </c>
      <c r="D122" s="46"/>
      <c r="E122" s="46"/>
      <c r="G122" s="31">
        <v>2020</v>
      </c>
    </row>
    <row r="123" spans="2:7" x14ac:dyDescent="0.25">
      <c r="B123" s="31" t="s">
        <v>1</v>
      </c>
      <c r="C123" s="31" t="s">
        <v>62</v>
      </c>
      <c r="D123" s="46"/>
      <c r="E123" s="46"/>
      <c r="G123" s="31" t="s">
        <v>179</v>
      </c>
    </row>
    <row r="124" spans="2:7" x14ac:dyDescent="0.25">
      <c r="B124" s="31" t="s">
        <v>1</v>
      </c>
      <c r="C124" s="31" t="s">
        <v>36</v>
      </c>
      <c r="D124" s="43">
        <f>G124/G112*D112</f>
        <v>1681623.7261979403</v>
      </c>
      <c r="E124" s="46"/>
      <c r="G124" s="31">
        <v>2567125.8296431107</v>
      </c>
    </row>
    <row r="125" spans="2:7" x14ac:dyDescent="0.25">
      <c r="B125" s="31" t="s">
        <v>1</v>
      </c>
      <c r="C125" s="31" t="s">
        <v>65</v>
      </c>
      <c r="D125" s="43">
        <f t="shared" ref="D125:D130" si="14">G125/G113*D113</f>
        <v>0</v>
      </c>
      <c r="E125" s="46"/>
      <c r="G125" s="31">
        <v>2720742.9699179786</v>
      </c>
    </row>
    <row r="126" spans="2:7" x14ac:dyDescent="0.25">
      <c r="B126" s="31" t="s">
        <v>1</v>
      </c>
      <c r="C126" s="31" t="s">
        <v>64</v>
      </c>
      <c r="D126" s="43">
        <f t="shared" si="14"/>
        <v>0</v>
      </c>
      <c r="E126" s="46"/>
      <c r="G126" s="31">
        <v>2670939.3077800749</v>
      </c>
    </row>
    <row r="127" spans="2:7" x14ac:dyDescent="0.25">
      <c r="B127" s="31" t="s">
        <v>1</v>
      </c>
      <c r="C127" s="31" t="s">
        <v>38</v>
      </c>
      <c r="D127" s="43">
        <f t="shared" si="14"/>
        <v>0</v>
      </c>
      <c r="E127" s="46"/>
      <c r="G127" s="31">
        <v>2710157.9792400058</v>
      </c>
    </row>
    <row r="128" spans="2:7" x14ac:dyDescent="0.25">
      <c r="B128" s="31" t="s">
        <v>1</v>
      </c>
      <c r="C128" s="31" t="s">
        <v>41</v>
      </c>
      <c r="D128" s="43">
        <f>G128/G116*D116</f>
        <v>2022014.0410005269</v>
      </c>
      <c r="E128" s="46"/>
      <c r="G128" s="31">
        <v>3635729.2317425008</v>
      </c>
    </row>
    <row r="129" spans="2:7" x14ac:dyDescent="0.25">
      <c r="B129" s="31" t="s">
        <v>1</v>
      </c>
      <c r="C129" s="31" t="s">
        <v>44</v>
      </c>
      <c r="D129" s="43">
        <f>G129/G117*D117</f>
        <v>2416886.24070324</v>
      </c>
      <c r="E129" s="46"/>
      <c r="G129" s="31">
        <v>3689559.6792311268</v>
      </c>
    </row>
    <row r="130" spans="2:7" x14ac:dyDescent="0.25">
      <c r="B130" s="31" t="s">
        <v>1</v>
      </c>
      <c r="C130" s="31" t="s">
        <v>63</v>
      </c>
      <c r="D130" s="43">
        <f t="shared" si="14"/>
        <v>0</v>
      </c>
      <c r="E130" s="46"/>
      <c r="G130" s="31">
        <v>2769263.9792806837</v>
      </c>
    </row>
    <row r="131" spans="2:7" x14ac:dyDescent="0.25">
      <c r="B131" s="31" t="s">
        <v>1</v>
      </c>
      <c r="C131" s="31" t="s">
        <v>45</v>
      </c>
      <c r="D131" s="43">
        <f>G131/G119*D119</f>
        <v>1783011.9060877543</v>
      </c>
      <c r="E131" s="46"/>
      <c r="G131" s="31">
        <v>2721902.5560658015</v>
      </c>
    </row>
  </sheetData>
  <hyperlinks>
    <hyperlink ref="B3" r:id="rId1" xr:uid="{F64487B2-CCA1-4BF0-BFEB-C7F7E9B363E8}"/>
    <hyperlink ref="G14" r:id="rId2" xr:uid="{D0B9AC0F-5DC4-4491-A552-D423A57581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A2A0-D388-41E4-BF0E-58672903A22E}">
  <sheetPr>
    <tabColor rgb="FFFF0066"/>
  </sheetPr>
  <dimension ref="A2:AX19"/>
  <sheetViews>
    <sheetView topLeftCell="A4" workbookViewId="0">
      <selection activeCell="C8" sqref="C8"/>
    </sheetView>
    <sheetView workbookViewId="1">
      <selection activeCell="M4" sqref="M4:M5"/>
    </sheetView>
  </sheetViews>
  <sheetFormatPr defaultRowHeight="15" x14ac:dyDescent="0.25"/>
  <cols>
    <col min="3" max="3" width="11" customWidth="1"/>
    <col min="4" max="4" width="11.28515625" customWidth="1"/>
    <col min="5" max="5" width="11.7109375" customWidth="1"/>
    <col min="7" max="7" width="11" bestFit="1" customWidth="1"/>
    <col min="8" max="8" width="13.28515625" bestFit="1" customWidth="1"/>
    <col min="9" max="9" width="10" bestFit="1" customWidth="1"/>
  </cols>
  <sheetData>
    <row r="2" spans="1:50" x14ac:dyDescent="0.25">
      <c r="B2" t="s">
        <v>194</v>
      </c>
      <c r="C2" s="47">
        <v>1</v>
      </c>
      <c r="E2" t="s">
        <v>244</v>
      </c>
    </row>
    <row r="3" spans="1:50" x14ac:dyDescent="0.25">
      <c r="B3" t="s">
        <v>195</v>
      </c>
      <c r="C3" s="48">
        <v>16.450808333333331</v>
      </c>
    </row>
    <row r="4" spans="1:50" x14ac:dyDescent="0.25">
      <c r="A4" s="96" t="str">
        <f>'[7]AEA2012 summary'!A14</f>
        <v>Passenger Car</v>
      </c>
      <c r="B4" s="96" t="str">
        <f>'[7]AEA2012 summary'!B14</f>
        <v>BEV</v>
      </c>
      <c r="C4" s="96">
        <f>'[7]AEA2012 summary'!C14</f>
        <v>36238.596721333321</v>
      </c>
      <c r="M4" s="103"/>
    </row>
    <row r="5" spans="1:50" x14ac:dyDescent="0.25">
      <c r="A5" s="96" t="str">
        <f>'[7]AEA2012 summary'!A8</f>
        <v>Passenger Car</v>
      </c>
      <c r="B5" s="96" t="str">
        <f>'[7]AEA2012 summary'!B8</f>
        <v>Petrol HEV</v>
      </c>
      <c r="C5" s="96">
        <f>'[7]AEA2012 summary'!C8</f>
        <v>17377.456235607926</v>
      </c>
      <c r="M5" s="103"/>
    </row>
    <row r="6" spans="1:50" x14ac:dyDescent="0.25">
      <c r="C6" t="s">
        <v>203</v>
      </c>
      <c r="G6" t="s">
        <v>245</v>
      </c>
    </row>
    <row r="7" spans="1:50" x14ac:dyDescent="0.25">
      <c r="B7" s="4" t="s">
        <v>202</v>
      </c>
      <c r="C7" s="3">
        <v>2010</v>
      </c>
      <c r="D7" s="3">
        <v>2022</v>
      </c>
      <c r="E7" s="3">
        <v>2030</v>
      </c>
      <c r="F7" s="3">
        <v>2050</v>
      </c>
      <c r="G7" s="66" t="s">
        <v>248</v>
      </c>
      <c r="H7" s="3" t="s">
        <v>246</v>
      </c>
      <c r="I7" s="66" t="s">
        <v>247</v>
      </c>
      <c r="J7" s="66">
        <v>2010</v>
      </c>
      <c r="K7" s="3">
        <v>2011</v>
      </c>
      <c r="L7" s="66">
        <v>2012</v>
      </c>
      <c r="M7" s="3">
        <v>2013</v>
      </c>
      <c r="N7" s="66">
        <v>2014</v>
      </c>
      <c r="O7" s="3">
        <v>2015</v>
      </c>
      <c r="P7" s="66">
        <v>2016</v>
      </c>
      <c r="Q7" s="3">
        <v>2017</v>
      </c>
      <c r="R7" s="66">
        <v>2018</v>
      </c>
      <c r="S7" s="3">
        <v>2019</v>
      </c>
      <c r="T7" s="66">
        <v>2020</v>
      </c>
      <c r="U7" s="3">
        <v>2021</v>
      </c>
      <c r="V7" s="66">
        <v>2022</v>
      </c>
      <c r="W7" s="3">
        <v>2023</v>
      </c>
      <c r="X7" s="66">
        <v>2024</v>
      </c>
      <c r="Y7" s="3">
        <v>2025</v>
      </c>
      <c r="Z7" s="66">
        <v>2026</v>
      </c>
      <c r="AA7" s="3">
        <v>2027</v>
      </c>
      <c r="AB7" s="66">
        <v>2028</v>
      </c>
      <c r="AC7" s="3">
        <v>2029</v>
      </c>
      <c r="AD7" s="66">
        <v>2030</v>
      </c>
      <c r="AE7" s="3">
        <v>2031</v>
      </c>
      <c r="AF7" s="66">
        <v>2032</v>
      </c>
      <c r="AG7" s="3">
        <v>2033</v>
      </c>
      <c r="AH7" s="66">
        <v>2034</v>
      </c>
      <c r="AI7" s="3">
        <v>2035</v>
      </c>
      <c r="AJ7" s="66">
        <v>2036</v>
      </c>
      <c r="AK7" s="3">
        <v>2037</v>
      </c>
      <c r="AL7" s="66">
        <v>2038</v>
      </c>
      <c r="AM7" s="3">
        <v>2039</v>
      </c>
      <c r="AN7" s="66">
        <v>2040</v>
      </c>
      <c r="AO7" s="3">
        <v>2041</v>
      </c>
      <c r="AP7" s="66">
        <v>2042</v>
      </c>
      <c r="AQ7" s="3">
        <v>2043</v>
      </c>
      <c r="AR7" s="66">
        <v>2044</v>
      </c>
      <c r="AS7" s="3">
        <v>2045</v>
      </c>
      <c r="AT7" s="66">
        <v>2046</v>
      </c>
      <c r="AU7" s="3">
        <v>2047</v>
      </c>
      <c r="AV7" s="66">
        <v>2048</v>
      </c>
      <c r="AW7" s="3">
        <v>2049</v>
      </c>
      <c r="AX7" s="66">
        <v>2050</v>
      </c>
    </row>
    <row r="8" spans="1:50" x14ac:dyDescent="0.25">
      <c r="B8" t="s">
        <v>199</v>
      </c>
      <c r="C8" s="67">
        <f>C4*1.58*1.275</f>
        <v>73002.653095125977</v>
      </c>
      <c r="D8" s="49">
        <v>20500</v>
      </c>
      <c r="E8" s="49">
        <v>16600</v>
      </c>
      <c r="F8" s="49">
        <v>14700</v>
      </c>
    </row>
    <row r="9" spans="1:50" x14ac:dyDescent="0.25">
      <c r="B9" t="s">
        <v>200</v>
      </c>
      <c r="C9" s="67">
        <f>C8</f>
        <v>73002.653095125977</v>
      </c>
      <c r="D9" s="49">
        <v>20500</v>
      </c>
      <c r="E9" s="49">
        <v>16100</v>
      </c>
      <c r="F9" s="49">
        <v>14100</v>
      </c>
    </row>
    <row r="10" spans="1:50" x14ac:dyDescent="0.25">
      <c r="B10" t="s">
        <v>201</v>
      </c>
      <c r="C10" s="67">
        <f>C9</f>
        <v>73002.653095125977</v>
      </c>
      <c r="D10" s="49">
        <v>20500</v>
      </c>
      <c r="E10" s="49">
        <v>15600</v>
      </c>
      <c r="F10" s="49">
        <v>13700</v>
      </c>
    </row>
    <row r="11" spans="1:50" x14ac:dyDescent="0.25">
      <c r="A11" t="s">
        <v>41</v>
      </c>
      <c r="B11" t="s">
        <v>196</v>
      </c>
      <c r="C11" s="68">
        <f t="shared" ref="C11:F13" si="0">C8/$D8</f>
        <v>3.5611050290305353</v>
      </c>
      <c r="D11" s="5">
        <f t="shared" si="0"/>
        <v>1</v>
      </c>
      <c r="E11" s="5">
        <f t="shared" si="0"/>
        <v>0.80975609756097566</v>
      </c>
      <c r="F11" s="5">
        <f t="shared" si="0"/>
        <v>0.71707317073170729</v>
      </c>
      <c r="G11" s="7">
        <f t="shared" ref="G11:I13" si="1">(D11-C11)/(D$7-C$7)</f>
        <v>-0.21342541908587795</v>
      </c>
      <c r="H11" s="7">
        <f t="shared" si="1"/>
        <v>-2.3780487804878042E-2</v>
      </c>
      <c r="I11" s="7">
        <f t="shared" si="1"/>
        <v>-4.6341463414634188E-3</v>
      </c>
      <c r="J11" s="7">
        <f>_xlfn.FORECAST.LINEAR(J$7,$C11:$D11,$C$7:$D$7)</f>
        <v>3.5611050290305002</v>
      </c>
      <c r="K11" s="7">
        <f t="shared" ref="K11:V11" si="2">_xlfn.FORECAST.LINEAR(K$7,$C11:$D11,$C$7:$D$7)</f>
        <v>3.3476796099446346</v>
      </c>
      <c r="L11" s="7">
        <f t="shared" si="2"/>
        <v>3.1342541908587691</v>
      </c>
      <c r="M11" s="7">
        <f t="shared" si="2"/>
        <v>2.9208287717729036</v>
      </c>
      <c r="N11" s="7">
        <f t="shared" si="2"/>
        <v>2.7074033526869812</v>
      </c>
      <c r="O11" s="7">
        <f t="shared" si="2"/>
        <v>2.4939779336011156</v>
      </c>
      <c r="P11" s="7">
        <f t="shared" si="2"/>
        <v>2.2805525145152501</v>
      </c>
      <c r="Q11" s="7">
        <f t="shared" si="2"/>
        <v>2.0671270954293846</v>
      </c>
      <c r="R11" s="7">
        <f t="shared" si="2"/>
        <v>1.853701676343519</v>
      </c>
      <c r="S11" s="7">
        <f t="shared" si="2"/>
        <v>1.6402762572575966</v>
      </c>
      <c r="T11" s="7">
        <f t="shared" si="2"/>
        <v>1.4268508381717311</v>
      </c>
      <c r="U11" s="7">
        <f t="shared" si="2"/>
        <v>1.2134254190858655</v>
      </c>
      <c r="V11" s="7">
        <f t="shared" si="2"/>
        <v>1</v>
      </c>
      <c r="W11" s="7">
        <f>_xlfn.FORECAST.LINEAR(W$7,$D11:$E11,$D$7:$E$7)</f>
        <v>0.97621951219512226</v>
      </c>
      <c r="X11" s="7">
        <f t="shared" ref="X11:AD11" si="3">_xlfn.FORECAST.LINEAR(X$7,$D11:$E11,$D$7:$E$7)</f>
        <v>0.95243902439024453</v>
      </c>
      <c r="Y11" s="7">
        <f t="shared" si="3"/>
        <v>0.92865853658536679</v>
      </c>
      <c r="Z11" s="7">
        <f t="shared" si="3"/>
        <v>0.90487804878048905</v>
      </c>
      <c r="AA11" s="7">
        <f t="shared" si="3"/>
        <v>0.88109756097561132</v>
      </c>
      <c r="AB11" s="7">
        <f t="shared" si="3"/>
        <v>0.85731707317073358</v>
      </c>
      <c r="AC11" s="7">
        <f t="shared" si="3"/>
        <v>0.83353658536585584</v>
      </c>
      <c r="AD11" s="7">
        <f t="shared" si="3"/>
        <v>0.80975609756097811</v>
      </c>
      <c r="AE11" s="7">
        <f>_xlfn.FORECAST.LINEAR(AE$7,$E11:$F11,$E$7:$F$7)</f>
        <v>0.8051219512195118</v>
      </c>
      <c r="AF11" s="7">
        <f t="shared" ref="AF11:AX13" si="4">_xlfn.FORECAST.LINEAR(AF$7,$E11:$F11,$E$7:$F$7)</f>
        <v>0.80048780487804905</v>
      </c>
      <c r="AG11" s="7">
        <f t="shared" si="4"/>
        <v>0.79585365853658629</v>
      </c>
      <c r="AH11" s="7">
        <f t="shared" si="4"/>
        <v>0.79121951219512177</v>
      </c>
      <c r="AI11" s="7">
        <f t="shared" si="4"/>
        <v>0.78658536585365901</v>
      </c>
      <c r="AJ11" s="7">
        <f t="shared" si="4"/>
        <v>0.78195121951219448</v>
      </c>
      <c r="AK11" s="7">
        <f t="shared" si="4"/>
        <v>0.77731707317073173</v>
      </c>
      <c r="AL11" s="7">
        <f t="shared" si="4"/>
        <v>0.77268292682926898</v>
      </c>
      <c r="AM11" s="7">
        <f t="shared" si="4"/>
        <v>0.76804878048780445</v>
      </c>
      <c r="AN11" s="7">
        <f t="shared" si="4"/>
        <v>0.7634146341463417</v>
      </c>
      <c r="AO11" s="7">
        <f t="shared" si="4"/>
        <v>0.75878048780487894</v>
      </c>
      <c r="AP11" s="7">
        <f t="shared" si="4"/>
        <v>0.75414634146341442</v>
      </c>
      <c r="AQ11" s="7">
        <f t="shared" si="4"/>
        <v>0.74951219512195166</v>
      </c>
      <c r="AR11" s="7">
        <f t="shared" si="4"/>
        <v>0.74487804878048891</v>
      </c>
      <c r="AS11" s="7">
        <f t="shared" si="4"/>
        <v>0.74024390243902438</v>
      </c>
      <c r="AT11" s="7">
        <f t="shared" si="4"/>
        <v>0.73560975609756163</v>
      </c>
      <c r="AU11" s="7">
        <f t="shared" si="4"/>
        <v>0.7309756097560971</v>
      </c>
      <c r="AV11" s="7">
        <f t="shared" si="4"/>
        <v>0.72634146341463435</v>
      </c>
      <c r="AW11" s="7">
        <f t="shared" si="4"/>
        <v>0.72170731707317159</v>
      </c>
      <c r="AX11" s="7">
        <f t="shared" si="4"/>
        <v>0.71707317073170707</v>
      </c>
    </row>
    <row r="12" spans="1:50" x14ac:dyDescent="0.25">
      <c r="A12" t="s">
        <v>41</v>
      </c>
      <c r="B12" t="s">
        <v>197</v>
      </c>
      <c r="C12" s="68">
        <f t="shared" si="0"/>
        <v>3.5611050290305353</v>
      </c>
      <c r="D12" s="5">
        <f t="shared" si="0"/>
        <v>1</v>
      </c>
      <c r="E12" s="5">
        <f t="shared" si="0"/>
        <v>0.78536585365853662</v>
      </c>
      <c r="F12" s="5">
        <f t="shared" si="0"/>
        <v>0.68780487804878043</v>
      </c>
      <c r="G12" s="7">
        <f t="shared" si="1"/>
        <v>-0.21342541908587795</v>
      </c>
      <c r="H12" s="7">
        <f t="shared" si="1"/>
        <v>-2.6829268292682923E-2</v>
      </c>
      <c r="I12" s="7">
        <f t="shared" si="1"/>
        <v>-4.8780487804878092E-3</v>
      </c>
      <c r="J12" s="7">
        <f t="shared" ref="J12:V13" si="5">_xlfn.FORECAST.LINEAR(J$7,$C12:$D12,$C$7:$D$7)</f>
        <v>3.5611050290305002</v>
      </c>
      <c r="K12" s="7">
        <f t="shared" si="5"/>
        <v>3.3476796099446346</v>
      </c>
      <c r="L12" s="7">
        <f t="shared" si="5"/>
        <v>3.1342541908587691</v>
      </c>
      <c r="M12" s="7">
        <f t="shared" si="5"/>
        <v>2.9208287717729036</v>
      </c>
      <c r="N12" s="7">
        <f t="shared" si="5"/>
        <v>2.7074033526869812</v>
      </c>
      <c r="O12" s="7">
        <f t="shared" si="5"/>
        <v>2.4939779336011156</v>
      </c>
      <c r="P12" s="7">
        <f t="shared" si="5"/>
        <v>2.2805525145152501</v>
      </c>
      <c r="Q12" s="7">
        <f t="shared" si="5"/>
        <v>2.0671270954293846</v>
      </c>
      <c r="R12" s="7">
        <f t="shared" si="5"/>
        <v>1.853701676343519</v>
      </c>
      <c r="S12" s="7">
        <f t="shared" si="5"/>
        <v>1.6402762572575966</v>
      </c>
      <c r="T12" s="7">
        <f t="shared" si="5"/>
        <v>1.4268508381717311</v>
      </c>
      <c r="U12" s="7">
        <f t="shared" si="5"/>
        <v>1.2134254190858655</v>
      </c>
      <c r="V12" s="7">
        <f t="shared" si="5"/>
        <v>1</v>
      </c>
      <c r="W12" s="7">
        <f t="shared" ref="W12:AD13" si="6">_xlfn.FORECAST.LINEAR(W$7,$D12:$E12,$D$7:$E$7)</f>
        <v>0.97317073170731305</v>
      </c>
      <c r="X12" s="7">
        <f t="shared" si="6"/>
        <v>0.94634146341462611</v>
      </c>
      <c r="Y12" s="7">
        <f t="shared" si="6"/>
        <v>0.91951219512194626</v>
      </c>
      <c r="Z12" s="7">
        <f t="shared" si="6"/>
        <v>0.89268292682926642</v>
      </c>
      <c r="AA12" s="7">
        <f t="shared" si="6"/>
        <v>0.86585365853657947</v>
      </c>
      <c r="AB12" s="7">
        <f t="shared" si="6"/>
        <v>0.83902439024389963</v>
      </c>
      <c r="AC12" s="7">
        <f t="shared" si="6"/>
        <v>0.81219512195121268</v>
      </c>
      <c r="AD12" s="7">
        <f t="shared" si="6"/>
        <v>0.78536585365853284</v>
      </c>
      <c r="AE12" s="7">
        <f t="shared" ref="AE12:AT13" si="7">_xlfn.FORECAST.LINEAR(AE$7,$E12:$F12,$E$7:$F$7)</f>
        <v>0.7804878048780477</v>
      </c>
      <c r="AF12" s="7">
        <f t="shared" si="7"/>
        <v>0.77560975609756078</v>
      </c>
      <c r="AG12" s="7">
        <f t="shared" si="7"/>
        <v>0.77073170731707386</v>
      </c>
      <c r="AH12" s="7">
        <f t="shared" si="7"/>
        <v>0.76585365853658516</v>
      </c>
      <c r="AI12" s="7">
        <f t="shared" si="7"/>
        <v>0.76097560975609646</v>
      </c>
      <c r="AJ12" s="7">
        <f t="shared" si="7"/>
        <v>0.75609756097560954</v>
      </c>
      <c r="AK12" s="7">
        <f t="shared" si="7"/>
        <v>0.75121951219512262</v>
      </c>
      <c r="AL12" s="7">
        <f t="shared" si="7"/>
        <v>0.74634146341463392</v>
      </c>
      <c r="AM12" s="7">
        <f t="shared" si="7"/>
        <v>0.74146341463414522</v>
      </c>
      <c r="AN12" s="7">
        <f t="shared" si="7"/>
        <v>0.7365853658536583</v>
      </c>
      <c r="AO12" s="7">
        <f t="shared" si="7"/>
        <v>0.73170731707317138</v>
      </c>
      <c r="AP12" s="7">
        <f t="shared" si="7"/>
        <v>0.72682926829268268</v>
      </c>
      <c r="AQ12" s="7">
        <f t="shared" si="7"/>
        <v>0.72195121951219399</v>
      </c>
      <c r="AR12" s="7">
        <f t="shared" si="7"/>
        <v>0.71707317073170707</v>
      </c>
      <c r="AS12" s="7">
        <f t="shared" si="7"/>
        <v>0.71219512195122014</v>
      </c>
      <c r="AT12" s="7">
        <f t="shared" si="7"/>
        <v>0.70731707317073145</v>
      </c>
      <c r="AU12" s="7">
        <f t="shared" si="4"/>
        <v>0.70243902439024275</v>
      </c>
      <c r="AV12" s="7">
        <f t="shared" si="4"/>
        <v>0.69756097560975583</v>
      </c>
      <c r="AW12" s="7">
        <f t="shared" si="4"/>
        <v>0.69268292682926891</v>
      </c>
      <c r="AX12" s="7">
        <f t="shared" si="4"/>
        <v>0.68780487804878021</v>
      </c>
    </row>
    <row r="13" spans="1:50" x14ac:dyDescent="0.25">
      <c r="A13" t="s">
        <v>41</v>
      </c>
      <c r="B13" t="s">
        <v>198</v>
      </c>
      <c r="C13" s="68">
        <f t="shared" si="0"/>
        <v>3.5611050290305353</v>
      </c>
      <c r="D13" s="5">
        <f t="shared" si="0"/>
        <v>1</v>
      </c>
      <c r="E13" s="5">
        <f t="shared" si="0"/>
        <v>0.76097560975609757</v>
      </c>
      <c r="F13" s="5">
        <f t="shared" si="0"/>
        <v>0.66829268292682931</v>
      </c>
      <c r="G13" s="7">
        <f t="shared" si="1"/>
        <v>-0.21342541908587795</v>
      </c>
      <c r="H13" s="7">
        <f t="shared" si="1"/>
        <v>-2.9878048780487804E-2</v>
      </c>
      <c r="I13" s="7">
        <f t="shared" si="1"/>
        <v>-4.6341463414634135E-3</v>
      </c>
      <c r="J13" s="7">
        <f t="shared" si="5"/>
        <v>3.5611050290305002</v>
      </c>
      <c r="K13" s="7">
        <f t="shared" si="5"/>
        <v>3.3476796099446346</v>
      </c>
      <c r="L13" s="7">
        <f t="shared" si="5"/>
        <v>3.1342541908587691</v>
      </c>
      <c r="M13" s="7">
        <f t="shared" si="5"/>
        <v>2.9208287717729036</v>
      </c>
      <c r="N13" s="7">
        <f t="shared" si="5"/>
        <v>2.7074033526869812</v>
      </c>
      <c r="O13" s="7">
        <f t="shared" si="5"/>
        <v>2.4939779336011156</v>
      </c>
      <c r="P13" s="7">
        <f t="shared" si="5"/>
        <v>2.2805525145152501</v>
      </c>
      <c r="Q13" s="7">
        <f t="shared" si="5"/>
        <v>2.0671270954293846</v>
      </c>
      <c r="R13" s="7">
        <f t="shared" si="5"/>
        <v>1.853701676343519</v>
      </c>
      <c r="S13" s="7">
        <f t="shared" si="5"/>
        <v>1.6402762572575966</v>
      </c>
      <c r="T13" s="7">
        <f t="shared" si="5"/>
        <v>1.4268508381717311</v>
      </c>
      <c r="U13" s="7">
        <f t="shared" si="5"/>
        <v>1.2134254190858655</v>
      </c>
      <c r="V13" s="7">
        <f t="shared" si="5"/>
        <v>1</v>
      </c>
      <c r="W13" s="7">
        <f t="shared" si="6"/>
        <v>0.97012195121951805</v>
      </c>
      <c r="X13" s="7">
        <f t="shared" si="6"/>
        <v>0.940243902439029</v>
      </c>
      <c r="Y13" s="7">
        <f t="shared" si="6"/>
        <v>0.91036585365853995</v>
      </c>
      <c r="Z13" s="7">
        <f t="shared" si="6"/>
        <v>0.88048780487805089</v>
      </c>
      <c r="AA13" s="7">
        <f t="shared" si="6"/>
        <v>0.85060975609756184</v>
      </c>
      <c r="AB13" s="7">
        <f t="shared" si="6"/>
        <v>0.82073170731707279</v>
      </c>
      <c r="AC13" s="7">
        <f t="shared" si="6"/>
        <v>0.79085365853659084</v>
      </c>
      <c r="AD13" s="7">
        <f t="shared" si="6"/>
        <v>0.76097560975610179</v>
      </c>
      <c r="AE13" s="7">
        <f t="shared" si="7"/>
        <v>0.75634146341463371</v>
      </c>
      <c r="AF13" s="7">
        <f t="shared" si="4"/>
        <v>0.75170731707317096</v>
      </c>
      <c r="AG13" s="7">
        <f t="shared" si="4"/>
        <v>0.7470731707317082</v>
      </c>
      <c r="AH13" s="7">
        <f t="shared" si="4"/>
        <v>0.74243902439024367</v>
      </c>
      <c r="AI13" s="7">
        <f t="shared" si="4"/>
        <v>0.73780487804878092</v>
      </c>
      <c r="AJ13" s="7">
        <f t="shared" si="4"/>
        <v>0.73317073170731639</v>
      </c>
      <c r="AK13" s="7">
        <f t="shared" si="4"/>
        <v>0.72853658536585364</v>
      </c>
      <c r="AL13" s="7">
        <f t="shared" si="4"/>
        <v>0.72390243902439089</v>
      </c>
      <c r="AM13" s="7">
        <f t="shared" si="4"/>
        <v>0.71926829268292636</v>
      </c>
      <c r="AN13" s="7">
        <f t="shared" si="4"/>
        <v>0.71463414634146361</v>
      </c>
      <c r="AO13" s="7">
        <f t="shared" si="4"/>
        <v>0.71000000000000085</v>
      </c>
      <c r="AP13" s="7">
        <f t="shared" si="4"/>
        <v>0.70536585365853632</v>
      </c>
      <c r="AQ13" s="7">
        <f t="shared" si="4"/>
        <v>0.70073170731707357</v>
      </c>
      <c r="AR13" s="7">
        <f t="shared" si="4"/>
        <v>0.69609756097560904</v>
      </c>
      <c r="AS13" s="7">
        <f t="shared" si="4"/>
        <v>0.69146341463414629</v>
      </c>
      <c r="AT13" s="7">
        <f t="shared" si="4"/>
        <v>0.68682926829268354</v>
      </c>
      <c r="AU13" s="7">
        <f t="shared" si="4"/>
        <v>0.68219512195121901</v>
      </c>
      <c r="AV13" s="7">
        <f t="shared" si="4"/>
        <v>0.67756097560975626</v>
      </c>
      <c r="AW13" s="7">
        <f t="shared" si="4"/>
        <v>0.6729268292682935</v>
      </c>
      <c r="AX13" s="7">
        <f t="shared" si="4"/>
        <v>0.66829268292682897</v>
      </c>
    </row>
    <row r="14" spans="1:50" x14ac:dyDescent="0.25">
      <c r="B14" t="s">
        <v>199</v>
      </c>
      <c r="C14" s="67">
        <f>C5*1.58*1.275</f>
        <v>35006.885586632168</v>
      </c>
      <c r="D14" s="49">
        <v>16800</v>
      </c>
      <c r="E14" s="49">
        <v>15300</v>
      </c>
      <c r="F14" s="49">
        <v>15400</v>
      </c>
    </row>
    <row r="15" spans="1:50" x14ac:dyDescent="0.25">
      <c r="B15" t="s">
        <v>200</v>
      </c>
      <c r="C15" s="67">
        <f>C14</f>
        <v>35006.885586632168</v>
      </c>
      <c r="D15" s="49">
        <v>16800</v>
      </c>
      <c r="E15" s="49">
        <v>15200</v>
      </c>
      <c r="F15" s="49">
        <v>15300</v>
      </c>
    </row>
    <row r="16" spans="1:50" x14ac:dyDescent="0.25">
      <c r="B16" t="s">
        <v>201</v>
      </c>
      <c r="C16" s="67">
        <f>C15</f>
        <v>35006.885586632168</v>
      </c>
      <c r="D16" s="49">
        <v>16800</v>
      </c>
      <c r="E16" s="49">
        <v>15100</v>
      </c>
      <c r="F16" s="49">
        <v>15200</v>
      </c>
    </row>
    <row r="17" spans="1:50" x14ac:dyDescent="0.25">
      <c r="A17" t="s">
        <v>249</v>
      </c>
      <c r="B17" t="s">
        <v>196</v>
      </c>
      <c r="C17" s="68">
        <f t="shared" ref="C17:F19" si="8">C14/$D14</f>
        <v>2.0837431896804861</v>
      </c>
      <c r="D17" s="5">
        <f t="shared" si="8"/>
        <v>1</v>
      </c>
      <c r="E17" s="5">
        <f t="shared" si="8"/>
        <v>0.9107142857142857</v>
      </c>
      <c r="F17" s="5">
        <f t="shared" si="8"/>
        <v>0.91666666666666663</v>
      </c>
      <c r="G17" s="7">
        <f t="shared" ref="G17:I19" si="9">(D17-C17)/(D$7-C$7)</f>
        <v>-9.0311932473373838E-2</v>
      </c>
      <c r="H17" s="7">
        <f t="shared" si="9"/>
        <v>-1.1160714285714288E-2</v>
      </c>
      <c r="I17" s="7">
        <f t="shared" si="9"/>
        <v>2.9761904761904656E-4</v>
      </c>
      <c r="J17" s="7">
        <f>_xlfn.FORECAST.LINEAR(J$7,$C17:$D17,$C$7:$D$7)</f>
        <v>2.0837431896804901</v>
      </c>
      <c r="K17" s="7">
        <f t="shared" ref="K17:V17" si="10">_xlfn.FORECAST.LINEAR(K$7,$C17:$D17,$C$7:$D$7)</f>
        <v>1.9934312572071065</v>
      </c>
      <c r="L17" s="7">
        <f t="shared" si="10"/>
        <v>1.9031193247337512</v>
      </c>
      <c r="M17" s="7">
        <f t="shared" si="10"/>
        <v>1.8128073922603676</v>
      </c>
      <c r="N17" s="7">
        <f t="shared" si="10"/>
        <v>1.7224954597869839</v>
      </c>
      <c r="O17" s="7">
        <f t="shared" si="10"/>
        <v>1.6321835273136287</v>
      </c>
      <c r="P17" s="7">
        <f t="shared" si="10"/>
        <v>1.5418715948402451</v>
      </c>
      <c r="Q17" s="7">
        <f t="shared" si="10"/>
        <v>1.4515596623668614</v>
      </c>
      <c r="R17" s="7">
        <f t="shared" si="10"/>
        <v>1.3612477298935062</v>
      </c>
      <c r="S17" s="7">
        <f t="shared" si="10"/>
        <v>1.2709357974201225</v>
      </c>
      <c r="T17" s="7">
        <f t="shared" si="10"/>
        <v>1.1806238649467389</v>
      </c>
      <c r="U17" s="7">
        <f t="shared" si="10"/>
        <v>1.0903119324733836</v>
      </c>
      <c r="V17" s="7">
        <f t="shared" si="10"/>
        <v>1</v>
      </c>
      <c r="W17" s="7">
        <f>_xlfn.FORECAST.LINEAR(W$7,$D17:$E17,$D$7:$E$7)</f>
        <v>0.9888392857142847</v>
      </c>
      <c r="X17" s="7">
        <f t="shared" ref="X17:AD17" si="11">_xlfn.FORECAST.LINEAR(X$7,$D17:$E17,$D$7:$E$7)</f>
        <v>0.9776785714285694</v>
      </c>
      <c r="Y17" s="7">
        <f t="shared" si="11"/>
        <v>0.9665178571428541</v>
      </c>
      <c r="Z17" s="7">
        <f t="shared" si="11"/>
        <v>0.95535714285714235</v>
      </c>
      <c r="AA17" s="7">
        <f t="shared" si="11"/>
        <v>0.94419642857142705</v>
      </c>
      <c r="AB17" s="7">
        <f t="shared" si="11"/>
        <v>0.93303571428571175</v>
      </c>
      <c r="AC17" s="7">
        <f t="shared" si="11"/>
        <v>0.921875</v>
      </c>
      <c r="AD17" s="7">
        <f t="shared" si="11"/>
        <v>0.9107142857142847</v>
      </c>
      <c r="AE17" s="7">
        <f>_xlfn.FORECAST.LINEAR(AE$7,$E17:$F17,$E$7:$F$7)</f>
        <v>0.91101190476190474</v>
      </c>
      <c r="AF17" s="7">
        <f t="shared" ref="AF17:AX19" si="12">_xlfn.FORECAST.LINEAR(AF$7,$E17:$F17,$E$7:$F$7)</f>
        <v>0.91130952380952379</v>
      </c>
      <c r="AG17" s="7">
        <f t="shared" si="12"/>
        <v>0.91160714285714284</v>
      </c>
      <c r="AH17" s="7">
        <f t="shared" si="12"/>
        <v>0.91190476190476188</v>
      </c>
      <c r="AI17" s="7">
        <f t="shared" si="12"/>
        <v>0.91220238095238093</v>
      </c>
      <c r="AJ17" s="7">
        <f t="shared" si="12"/>
        <v>0.91249999999999998</v>
      </c>
      <c r="AK17" s="7">
        <f t="shared" si="12"/>
        <v>0.91279761904761902</v>
      </c>
      <c r="AL17" s="7">
        <f t="shared" si="12"/>
        <v>0.91309523809523807</v>
      </c>
      <c r="AM17" s="7">
        <f t="shared" si="12"/>
        <v>0.91339285714285712</v>
      </c>
      <c r="AN17" s="7">
        <f t="shared" si="12"/>
        <v>0.91369047619047616</v>
      </c>
      <c r="AO17" s="7">
        <f t="shared" si="12"/>
        <v>0.91398809523809521</v>
      </c>
      <c r="AP17" s="7">
        <f t="shared" si="12"/>
        <v>0.91428571428571426</v>
      </c>
      <c r="AQ17" s="7">
        <f t="shared" si="12"/>
        <v>0.9145833333333333</v>
      </c>
      <c r="AR17" s="7">
        <f t="shared" si="12"/>
        <v>0.91488095238095235</v>
      </c>
      <c r="AS17" s="7">
        <f t="shared" si="12"/>
        <v>0.9151785714285714</v>
      </c>
      <c r="AT17" s="7">
        <f t="shared" si="12"/>
        <v>0.91547619047619044</v>
      </c>
      <c r="AU17" s="7">
        <f t="shared" si="12"/>
        <v>0.91577380952380949</v>
      </c>
      <c r="AV17" s="7">
        <f t="shared" si="12"/>
        <v>0.91607142857142854</v>
      </c>
      <c r="AW17" s="7">
        <f t="shared" si="12"/>
        <v>0.91636904761904758</v>
      </c>
      <c r="AX17" s="7">
        <f t="shared" si="12"/>
        <v>0.91666666666666663</v>
      </c>
    </row>
    <row r="18" spans="1:50" x14ac:dyDescent="0.25">
      <c r="A18" t="s">
        <v>249</v>
      </c>
      <c r="B18" t="s">
        <v>197</v>
      </c>
      <c r="C18" s="68">
        <f t="shared" si="8"/>
        <v>2.0837431896804861</v>
      </c>
      <c r="D18" s="5">
        <f t="shared" si="8"/>
        <v>1</v>
      </c>
      <c r="E18" s="5">
        <f t="shared" si="8"/>
        <v>0.90476190476190477</v>
      </c>
      <c r="F18" s="5">
        <f t="shared" si="8"/>
        <v>0.9107142857142857</v>
      </c>
      <c r="G18" s="7">
        <f t="shared" si="9"/>
        <v>-9.0311932473373838E-2</v>
      </c>
      <c r="H18" s="7">
        <f t="shared" si="9"/>
        <v>-1.1904761904761904E-2</v>
      </c>
      <c r="I18" s="7">
        <f t="shared" si="9"/>
        <v>2.9761904761904656E-4</v>
      </c>
      <c r="J18" s="7">
        <f t="shared" ref="J18:V19" si="13">_xlfn.FORECAST.LINEAR(J$7,$C18:$D18,$C$7:$D$7)</f>
        <v>2.0837431896804901</v>
      </c>
      <c r="K18" s="7">
        <f t="shared" si="13"/>
        <v>1.9934312572071065</v>
      </c>
      <c r="L18" s="7">
        <f t="shared" si="13"/>
        <v>1.9031193247337512</v>
      </c>
      <c r="M18" s="7">
        <f t="shared" si="13"/>
        <v>1.8128073922603676</v>
      </c>
      <c r="N18" s="7">
        <f t="shared" si="13"/>
        <v>1.7224954597869839</v>
      </c>
      <c r="O18" s="7">
        <f t="shared" si="13"/>
        <v>1.6321835273136287</v>
      </c>
      <c r="P18" s="7">
        <f t="shared" si="13"/>
        <v>1.5418715948402451</v>
      </c>
      <c r="Q18" s="7">
        <f t="shared" si="13"/>
        <v>1.4515596623668614</v>
      </c>
      <c r="R18" s="7">
        <f t="shared" si="13"/>
        <v>1.3612477298935062</v>
      </c>
      <c r="S18" s="7">
        <f t="shared" si="13"/>
        <v>1.2709357974201225</v>
      </c>
      <c r="T18" s="7">
        <f t="shared" si="13"/>
        <v>1.1806238649467389</v>
      </c>
      <c r="U18" s="7">
        <f t="shared" si="13"/>
        <v>1.0903119324733836</v>
      </c>
      <c r="V18" s="7">
        <f t="shared" si="13"/>
        <v>1</v>
      </c>
      <c r="W18" s="7">
        <f t="shared" ref="W18:AD19" si="14">_xlfn.FORECAST.LINEAR(W$7,$D18:$E18,$D$7:$E$7)</f>
        <v>0.98809523809523725</v>
      </c>
      <c r="X18" s="7">
        <f t="shared" si="14"/>
        <v>0.9761904761904745</v>
      </c>
      <c r="Y18" s="7">
        <f t="shared" si="14"/>
        <v>0.9642857142857153</v>
      </c>
      <c r="Z18" s="7">
        <f t="shared" si="14"/>
        <v>0.95238095238095255</v>
      </c>
      <c r="AA18" s="7">
        <f t="shared" si="14"/>
        <v>0.9404761904761898</v>
      </c>
      <c r="AB18" s="7">
        <f t="shared" si="14"/>
        <v>0.92857142857142705</v>
      </c>
      <c r="AC18" s="7">
        <f t="shared" si="14"/>
        <v>0.9166666666666643</v>
      </c>
      <c r="AD18" s="7">
        <f t="shared" si="14"/>
        <v>0.9047619047619051</v>
      </c>
      <c r="AE18" s="7">
        <f t="shared" ref="AE18:AT19" si="15">_xlfn.FORECAST.LINEAR(AE$7,$E18:$F18,$E$7:$F$7)</f>
        <v>0.90505952380952381</v>
      </c>
      <c r="AF18" s="7">
        <f t="shared" si="15"/>
        <v>0.90535714285714286</v>
      </c>
      <c r="AG18" s="7">
        <f t="shared" si="15"/>
        <v>0.90565476190476191</v>
      </c>
      <c r="AH18" s="7">
        <f t="shared" si="15"/>
        <v>0.90595238095238095</v>
      </c>
      <c r="AI18" s="7">
        <f t="shared" si="15"/>
        <v>0.90625</v>
      </c>
      <c r="AJ18" s="7">
        <f t="shared" si="15"/>
        <v>0.90654761904761905</v>
      </c>
      <c r="AK18" s="7">
        <f t="shared" si="15"/>
        <v>0.90684523809523809</v>
      </c>
      <c r="AL18" s="7">
        <f t="shared" si="15"/>
        <v>0.90714285714285714</v>
      </c>
      <c r="AM18" s="7">
        <f t="shared" si="15"/>
        <v>0.90744047619047619</v>
      </c>
      <c r="AN18" s="7">
        <f t="shared" si="15"/>
        <v>0.90773809523809523</v>
      </c>
      <c r="AO18" s="7">
        <f t="shared" si="15"/>
        <v>0.90803571428571428</v>
      </c>
      <c r="AP18" s="7">
        <f t="shared" si="15"/>
        <v>0.90833333333333333</v>
      </c>
      <c r="AQ18" s="7">
        <f t="shared" si="15"/>
        <v>0.90863095238095237</v>
      </c>
      <c r="AR18" s="7">
        <f t="shared" si="15"/>
        <v>0.90892857142857142</v>
      </c>
      <c r="AS18" s="7">
        <f t="shared" si="15"/>
        <v>0.90922619047619047</v>
      </c>
      <c r="AT18" s="7">
        <f t="shared" si="15"/>
        <v>0.90952380952380951</v>
      </c>
      <c r="AU18" s="7">
        <f t="shared" si="12"/>
        <v>0.90982142857142856</v>
      </c>
      <c r="AV18" s="7">
        <f t="shared" si="12"/>
        <v>0.91011904761904761</v>
      </c>
      <c r="AW18" s="7">
        <f t="shared" si="12"/>
        <v>0.91041666666666665</v>
      </c>
      <c r="AX18" s="7">
        <f t="shared" si="12"/>
        <v>0.9107142857142857</v>
      </c>
    </row>
    <row r="19" spans="1:50" x14ac:dyDescent="0.25">
      <c r="A19" t="s">
        <v>249</v>
      </c>
      <c r="B19" t="s">
        <v>198</v>
      </c>
      <c r="C19" s="68">
        <f t="shared" si="8"/>
        <v>2.0837431896804861</v>
      </c>
      <c r="D19" s="5">
        <f t="shared" si="8"/>
        <v>1</v>
      </c>
      <c r="E19" s="5">
        <f t="shared" si="8"/>
        <v>0.89880952380952384</v>
      </c>
      <c r="F19" s="5">
        <f t="shared" si="8"/>
        <v>0.90476190476190477</v>
      </c>
      <c r="G19" s="7">
        <f t="shared" si="9"/>
        <v>-9.0311932473373838E-2</v>
      </c>
      <c r="H19" s="7">
        <f t="shared" si="9"/>
        <v>-1.2648809523809521E-2</v>
      </c>
      <c r="I19" s="7">
        <f t="shared" si="9"/>
        <v>2.9761904761904656E-4</v>
      </c>
      <c r="J19" s="7">
        <f t="shared" si="13"/>
        <v>2.0837431896804901</v>
      </c>
      <c r="K19" s="7">
        <f t="shared" si="13"/>
        <v>1.9934312572071065</v>
      </c>
      <c r="L19" s="7">
        <f t="shared" si="13"/>
        <v>1.9031193247337512</v>
      </c>
      <c r="M19" s="7">
        <f t="shared" si="13"/>
        <v>1.8128073922603676</v>
      </c>
      <c r="N19" s="7">
        <f t="shared" si="13"/>
        <v>1.7224954597869839</v>
      </c>
      <c r="O19" s="7">
        <f t="shared" si="13"/>
        <v>1.6321835273136287</v>
      </c>
      <c r="P19" s="7">
        <f t="shared" si="13"/>
        <v>1.5418715948402451</v>
      </c>
      <c r="Q19" s="7">
        <f t="shared" si="13"/>
        <v>1.4515596623668614</v>
      </c>
      <c r="R19" s="7">
        <f t="shared" si="13"/>
        <v>1.3612477298935062</v>
      </c>
      <c r="S19" s="7">
        <f t="shared" si="13"/>
        <v>1.2709357974201225</v>
      </c>
      <c r="T19" s="7">
        <f t="shared" si="13"/>
        <v>1.1806238649467389</v>
      </c>
      <c r="U19" s="7">
        <f t="shared" si="13"/>
        <v>1.0903119324733836</v>
      </c>
      <c r="V19" s="7">
        <f t="shared" si="13"/>
        <v>1</v>
      </c>
      <c r="W19" s="7">
        <f t="shared" si="14"/>
        <v>0.9873511904761898</v>
      </c>
      <c r="X19" s="7">
        <f t="shared" si="14"/>
        <v>0.9747023809523796</v>
      </c>
      <c r="Y19" s="7">
        <f t="shared" si="14"/>
        <v>0.96205357142857295</v>
      </c>
      <c r="Z19" s="7">
        <f t="shared" si="14"/>
        <v>0.94940476190476275</v>
      </c>
      <c r="AA19" s="7">
        <f t="shared" si="14"/>
        <v>0.93675595238095255</v>
      </c>
      <c r="AB19" s="7">
        <f t="shared" si="14"/>
        <v>0.92410714285714235</v>
      </c>
      <c r="AC19" s="7">
        <f t="shared" si="14"/>
        <v>0.91145833333333215</v>
      </c>
      <c r="AD19" s="7">
        <f t="shared" si="14"/>
        <v>0.8988095238095255</v>
      </c>
      <c r="AE19" s="7">
        <f t="shared" si="15"/>
        <v>0.89910714285714288</v>
      </c>
      <c r="AF19" s="7">
        <f t="shared" si="12"/>
        <v>0.89940476190476193</v>
      </c>
      <c r="AG19" s="7">
        <f t="shared" si="12"/>
        <v>0.89970238095238098</v>
      </c>
      <c r="AH19" s="7">
        <f t="shared" si="12"/>
        <v>0.9</v>
      </c>
      <c r="AI19" s="7">
        <f t="shared" si="12"/>
        <v>0.90029761904761907</v>
      </c>
      <c r="AJ19" s="7">
        <f t="shared" si="12"/>
        <v>0.90059523809523812</v>
      </c>
      <c r="AK19" s="7">
        <f t="shared" si="12"/>
        <v>0.90089285714285716</v>
      </c>
      <c r="AL19" s="7">
        <f t="shared" si="12"/>
        <v>0.90119047619047621</v>
      </c>
      <c r="AM19" s="7">
        <f t="shared" si="12"/>
        <v>0.90148809523809526</v>
      </c>
      <c r="AN19" s="7">
        <f t="shared" si="12"/>
        <v>0.9017857142857143</v>
      </c>
      <c r="AO19" s="7">
        <f t="shared" si="12"/>
        <v>0.90208333333333335</v>
      </c>
      <c r="AP19" s="7">
        <f t="shared" si="12"/>
        <v>0.90238095238095239</v>
      </c>
      <c r="AQ19" s="7">
        <f t="shared" si="12"/>
        <v>0.90267857142857144</v>
      </c>
      <c r="AR19" s="7">
        <f t="shared" si="12"/>
        <v>0.90297619047619049</v>
      </c>
      <c r="AS19" s="7">
        <f t="shared" si="12"/>
        <v>0.90327380952380953</v>
      </c>
      <c r="AT19" s="7">
        <f t="shared" si="12"/>
        <v>0.90357142857142858</v>
      </c>
      <c r="AU19" s="7">
        <f t="shared" si="12"/>
        <v>0.90386904761904763</v>
      </c>
      <c r="AV19" s="7">
        <f t="shared" si="12"/>
        <v>0.90416666666666667</v>
      </c>
      <c r="AW19" s="7">
        <f t="shared" si="12"/>
        <v>0.90446428571428572</v>
      </c>
      <c r="AX19" s="7">
        <f t="shared" si="12"/>
        <v>0.90476190476190477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INVCOST</vt:lpstr>
      <vt:lpstr>FIXOM</vt:lpstr>
      <vt:lpstr>CostProjections</vt:lpstr>
      <vt:lpstr>VehicleCostData2022</vt:lpstr>
      <vt:lpstr>IEAWEO2023 cost data</vt:lpstr>
      <vt:lpstr>FIXOM!NTECH_ROW1</vt:lpstr>
      <vt:lpstr>NTECH_ROW1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Guy Cunliffe</cp:lastModifiedBy>
  <dcterms:created xsi:type="dcterms:W3CDTF">2023-05-31T10:27:17Z</dcterms:created>
  <dcterms:modified xsi:type="dcterms:W3CDTF">2023-12-11T09:33:38Z</dcterms:modified>
</cp:coreProperties>
</file>