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1F99D3F5-C3B3-48C6-9DFA-1CA78A117460}" xr6:coauthVersionLast="47" xr6:coauthVersionMax="47" xr10:uidLastSave="{00000000-0000-0000-0000-000000000000}"/>
  <bookViews>
    <workbookView xWindow="-1980" yWindow="-21045" windowWidth="24630" windowHeight="1533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G133" i="57" l="1"/>
  <c r="R88" i="57"/>
  <c r="S88" i="57" s="1"/>
  <c r="T88" i="57" s="1"/>
  <c r="U88" i="57" s="1"/>
  <c r="V88" i="57" s="1"/>
  <c r="W88" i="57" s="1"/>
  <c r="AA89" i="57"/>
  <c r="F92" i="56"/>
  <c r="AE139" i="57"/>
  <c r="AF139" i="57" s="1"/>
  <c r="AG139" i="57" s="1"/>
  <c r="H140" i="58" l="1"/>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Y134" i="57" s="1"/>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40" i="57"/>
  <c r="AF34" i="57"/>
  <c r="AF29" i="57"/>
  <c r="AF12" i="57"/>
  <c r="AF148" i="57" s="1"/>
  <c r="AE133"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24" i="57"/>
  <c r="V24" i="57" s="1"/>
  <c r="V29" i="57" s="1"/>
  <c r="L12" i="57"/>
  <c r="L131" i="57" s="1"/>
  <c r="K160" i="57"/>
  <c r="K148" i="57"/>
  <c r="K53" i="57"/>
  <c r="K63" i="57" s="1"/>
  <c r="K24" i="57"/>
  <c r="K12" i="57"/>
  <c r="K131" i="57" s="1"/>
  <c r="L11" i="57" l="1"/>
  <c r="AF63" i="57"/>
  <c r="AF76" i="57"/>
  <c r="K11"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48" i="56" l="1"/>
  <c r="P48" i="56" s="1"/>
  <c r="F60" i="56"/>
  <c r="P60" i="56" s="1"/>
  <c r="N3" i="56" l="1"/>
  <c r="M3" i="56"/>
  <c r="N175" i="56"/>
  <c r="N172" i="56"/>
  <c r="N171" i="56"/>
  <c r="L91" i="56"/>
  <c r="L75" i="56"/>
  <c r="L12" i="56"/>
  <c r="L3" i="56"/>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AF75" i="56" l="1"/>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s="1"/>
  <c r="AJ89" i="44" s="1"/>
  <c r="AK89" i="44" s="1"/>
  <c r="AH88" i="44"/>
  <c r="AI88" i="44" s="1"/>
  <c r="AJ88" i="44" s="1"/>
  <c r="AK88" i="44" s="1"/>
  <c r="AJ30" i="44"/>
  <c r="AK30" i="44"/>
  <c r="AI30" i="44"/>
  <c r="AH30" i="44"/>
  <c r="AH68" i="44"/>
  <c r="AI68" i="44" s="1"/>
  <c r="AJ68" i="44" s="1"/>
  <c r="AK68" i="44" s="1"/>
  <c r="AH69" i="44"/>
  <c r="AI69" i="44" s="1"/>
  <c r="AJ69" i="44" s="1"/>
  <c r="AK69" i="44" s="1"/>
  <c r="AH70" i="44"/>
  <c r="AI70" i="44" s="1"/>
  <c r="AH71" i="44"/>
  <c r="AH75" i="44"/>
  <c r="AI75" i="44" s="1"/>
  <c r="AJ75" i="44" s="1"/>
  <c r="AK75" i="44" s="1"/>
  <c r="AH87" i="44"/>
  <c r="AI87" i="44"/>
  <c r="AJ87" i="44"/>
  <c r="AK87" i="44"/>
  <c r="AJ70" i="44" l="1"/>
  <c r="AJ73" i="44" s="1"/>
  <c r="AI71" i="44"/>
  <c r="AI80" i="44" s="1"/>
  <c r="AI76" i="44"/>
  <c r="AK76" i="44"/>
  <c r="AJ76" i="44"/>
  <c r="AH74" i="44"/>
  <c r="AI73" i="44"/>
  <c r="AI72" i="44"/>
  <c r="AH72" i="44"/>
  <c r="AJ72" i="44"/>
  <c r="AH73" i="44"/>
  <c r="AK72" i="44"/>
  <c r="AK78" i="44"/>
  <c r="AI78" i="44"/>
  <c r="AJ78"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s="1"/>
  <c r="AJ46" i="44" s="1"/>
  <c r="AK46" i="44" s="1"/>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s="1"/>
  <c r="AJ47" i="44" s="1"/>
  <c r="AK47" i="44" s="1"/>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s="1"/>
  <c r="AJ48" i="44" s="1"/>
  <c r="AK48" i="44" s="1"/>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s="1"/>
  <c r="AJ49" i="44" s="1"/>
  <c r="AK49" i="44" s="1"/>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s="1"/>
  <c r="AJ50" i="44" s="1"/>
  <c r="AK50" i="44" s="1"/>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s="1"/>
  <c r="AJ51" i="44" s="1"/>
  <c r="AK51" i="44" s="1"/>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s="1"/>
  <c r="AJ52" i="44" s="1"/>
  <c r="AK52"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s="1"/>
  <c r="AJ53" i="44" s="1"/>
  <c r="AK53" i="44" s="1"/>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s="1"/>
  <c r="AJ54" i="44" s="1"/>
  <c r="AK54" i="44" s="1"/>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s="1"/>
  <c r="AJ55" i="44" s="1"/>
  <c r="AK55" i="44" s="1"/>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s="1"/>
  <c r="AJ56" i="44" s="1"/>
  <c r="AK56" i="44" s="1"/>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s="1"/>
  <c r="AJ57" i="44" s="1"/>
  <c r="AK57" i="44" s="1"/>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s="1"/>
  <c r="AJ58" i="44" s="1"/>
  <c r="AK58" i="44" s="1"/>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s="1"/>
  <c r="AJ59" i="44" s="1"/>
  <c r="AK59" i="44" s="1"/>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s="1"/>
  <c r="AJ60" i="44" s="1"/>
  <c r="AK60" i="44" s="1"/>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s="1"/>
  <c r="AJ61" i="44" s="1"/>
  <c r="AK61" i="44" s="1"/>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s="1"/>
  <c r="AJ62" i="44" s="1"/>
  <c r="AK62" i="44" s="1"/>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s="1"/>
  <c r="AJ63" i="44" s="1"/>
  <c r="AK63" i="44" s="1"/>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s="1"/>
  <c r="AJ64" i="44" s="1"/>
  <c r="AK64" i="44" s="1"/>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s="1"/>
  <c r="AJ65" i="44" s="1"/>
  <c r="AK65" i="44" s="1"/>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s="1"/>
  <c r="AJ45" i="44" s="1"/>
  <c r="AK45" i="44" s="1"/>
  <c r="J45" i="44"/>
  <c r="AJ79" i="44" l="1"/>
  <c r="AI74" i="44"/>
  <c r="AJ71" i="44"/>
  <c r="AK70" i="44"/>
  <c r="AI66" i="44"/>
  <c r="AK66" i="44"/>
  <c r="AJ66" i="44"/>
  <c r="AH66" i="44"/>
  <c r="AJ67" i="44" l="1"/>
  <c r="AK71" i="44"/>
  <c r="AK73" i="44"/>
  <c r="AK79" i="44"/>
  <c r="AJ74" i="44"/>
  <c r="AJ80" i="44"/>
  <c r="AI67" i="44"/>
  <c r="AK67" i="44"/>
  <c r="AK74" i="44" l="1"/>
  <c r="AK80" i="44"/>
  <c r="K28" i="44"/>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16" i="44" l="1"/>
  <c r="AI16" i="44" s="1"/>
  <c r="M8" i="56" s="1" a="1"/>
  <c r="M8" i="56" s="1"/>
  <c r="W8" i="56" s="1"/>
  <c r="L8" i="56" a="1"/>
  <c r="L8" i="56" s="1"/>
  <c r="V8" i="56" s="1"/>
  <c r="AH23" i="44"/>
  <c r="AI23" i="44" s="1"/>
  <c r="AJ23" i="44" s="1"/>
  <c r="AK23" i="44" s="1"/>
  <c r="N7" i="56" s="1" a="1"/>
  <c r="N7" i="56" s="1"/>
  <c r="X7" i="56" s="1"/>
  <c r="L7" i="56" a="1"/>
  <c r="L7" i="56" s="1"/>
  <c r="V7" i="56" s="1"/>
  <c r="AH15" i="44"/>
  <c r="AI15" i="44" s="1"/>
  <c r="AJ15" i="44" s="1"/>
  <c r="AK15" i="44" s="1"/>
  <c r="N9" i="56" s="1" a="1"/>
  <c r="N9" i="56" s="1"/>
  <c r="X9" i="56" s="1"/>
  <c r="L9" i="56" a="1"/>
  <c r="L9" i="56" s="1"/>
  <c r="V9" i="56" s="1"/>
  <c r="M7" i="56" a="1"/>
  <c r="M7" i="56" s="1"/>
  <c r="W7" i="56" s="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9" i="56" l="1" a="1"/>
  <c r="M9" i="56" s="1"/>
  <c r="W9" i="56" s="1"/>
  <c r="AJ16" i="44"/>
  <c r="AK16" i="44" s="1"/>
  <c r="N8" i="56" s="1" a="1"/>
  <c r="N8" i="56" s="1"/>
  <c r="X8" i="56" s="1"/>
  <c r="AH28" i="44"/>
  <c r="AI28" i="44"/>
  <c r="AK7"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J28" i="44" l="1"/>
  <c r="AJ29" i="44" s="1"/>
  <c r="AK28" i="44"/>
  <c r="AI29" i="44"/>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O37" i="44"/>
  <c r="P37" i="44" s="1"/>
  <c r="M38" i="44"/>
  <c r="M32" i="44"/>
  <c r="M33" i="44"/>
  <c r="M31" i="44"/>
  <c r="O82" i="44"/>
  <c r="N32" i="44"/>
  <c r="N31" i="44"/>
  <c r="P81" i="44"/>
  <c r="O83" i="44"/>
  <c r="N33" i="44"/>
  <c r="N57" i="58"/>
  <c r="H145" i="58" s="1"/>
  <c r="E147" i="58" s="1"/>
  <c r="AK29" i="44" l="1"/>
  <c r="E141" i="58"/>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T83" i="44" l="1"/>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K45" i="60" s="1" a="1"/>
  <c r="AK45" i="60" s="1"/>
  <c r="AF82" i="44"/>
  <c r="AE32" i="44"/>
  <c r="AF83" i="44"/>
  <c r="AE33" i="44"/>
  <c r="T73" i="60"/>
  <c r="T80" i="60" s="1"/>
  <c r="U97" i="60"/>
  <c r="AI81" i="44" l="1"/>
  <c r="AG38" i="44"/>
  <c r="AH37" i="44"/>
  <c r="AL45" i="60" s="1" a="1"/>
  <c r="AL45" i="60" s="1"/>
  <c r="AF31" i="44"/>
  <c r="AG83" i="44"/>
  <c r="AH83" i="44" s="1"/>
  <c r="AF33" i="44"/>
  <c r="AG82" i="44"/>
  <c r="AH82" i="44" s="1"/>
  <c r="AF32" i="44"/>
  <c r="U73" i="60"/>
  <c r="U80" i="60" s="1"/>
  <c r="V97" i="60"/>
  <c r="AH32" i="44" l="1"/>
  <c r="AH35" i="44" s="1"/>
  <c r="AL23" i="60" s="1" a="1"/>
  <c r="AL23" i="60" s="1"/>
  <c r="AI82" i="44"/>
  <c r="AH33" i="44"/>
  <c r="AH36" i="44" s="1"/>
  <c r="AL24" i="60" s="1" a="1"/>
  <c r="AL24" i="60" s="1"/>
  <c r="AI83" i="44"/>
  <c r="AJ81" i="44"/>
  <c r="AH31" i="44"/>
  <c r="AH34" i="44" s="1"/>
  <c r="AL22" i="60" s="1" a="1"/>
  <c r="AL22" i="60"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B27" i="57" s="1"/>
  <c r="B43" i="57" s="1"/>
  <c r="B44" i="57" s="1"/>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s="1"/>
  <c r="AC88" i="57" s="1"/>
  <c r="AD88" i="57" s="1"/>
  <c r="AE88" i="57" s="1"/>
  <c r="AF88" i="57" s="1"/>
  <c r="AG88" i="57" s="1"/>
  <c r="Z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R102" i="57" s="1"/>
  <c r="S102" i="57" s="1"/>
  <c r="T102" i="57" s="1"/>
  <c r="U102" i="57" s="1"/>
  <c r="V102" i="57" s="1"/>
  <c r="W102" i="57" s="1"/>
  <c r="Q98" i="57"/>
  <c r="Q94" i="57"/>
  <c r="AA94" i="57" l="1"/>
  <c r="AB94" i="57" s="1"/>
  <c r="AC94" i="57" s="1"/>
  <c r="AD94" i="57" s="1"/>
  <c r="AE94" i="57" s="1"/>
  <c r="R94" i="57"/>
  <c r="S94" i="57" s="1"/>
  <c r="T94" i="57" s="1"/>
  <c r="U94" i="57" s="1"/>
  <c r="V94" i="57" s="1"/>
  <c r="W94" i="57" s="1"/>
  <c r="AA98" i="57"/>
  <c r="AB98" i="57" s="1"/>
  <c r="AC98" i="57" s="1"/>
  <c r="AD98" i="57" s="1"/>
  <c r="AE98" i="57" s="1"/>
  <c r="R98" i="57"/>
  <c r="S98" i="57" s="1"/>
  <c r="T98" i="57" s="1"/>
  <c r="U98" i="57" s="1"/>
  <c r="V98" i="57" s="1"/>
  <c r="W98"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F98" i="57" l="1"/>
  <c r="AE100" i="57"/>
  <c r="AA104" i="57"/>
  <c r="AB102" i="57"/>
  <c r="AC102" i="57" s="1"/>
  <c r="AD102" i="57" s="1"/>
  <c r="AE102" i="57" s="1"/>
  <c r="AF94" i="57"/>
  <c r="AE96" i="57"/>
  <c r="P14" i="29"/>
  <c r="P103" i="57"/>
  <c r="O96" i="57"/>
  <c r="Y96" i="57" s="1"/>
  <c r="O104" i="57"/>
  <c r="P99" i="57"/>
  <c r="Y99" i="57"/>
  <c r="R138" i="57"/>
  <c r="AB138" i="57" s="1"/>
  <c r="AA138" i="57"/>
  <c r="O100" i="57"/>
  <c r="Y100" i="57" s="1"/>
  <c r="P95" i="57"/>
  <c r="P84" i="57"/>
  <c r="Y84" i="57"/>
  <c r="R137" i="57"/>
  <c r="AB137" i="57" s="1"/>
  <c r="AC137" i="57" s="1"/>
  <c r="AA137" i="57"/>
  <c r="P83" i="57"/>
  <c r="Y83" i="57"/>
  <c r="AC138" i="57" l="1"/>
  <c r="AD137" i="57"/>
  <c r="AG94" i="57"/>
  <c r="AF96" i="57"/>
  <c r="AF102" i="57"/>
  <c r="AE104" i="57"/>
  <c r="AG98" i="57"/>
  <c r="AF100" i="57"/>
  <c r="P104" i="57"/>
  <c r="Z103" i="57"/>
  <c r="Z104" i="57" s="1"/>
  <c r="Q95" i="57"/>
  <c r="Z95" i="57"/>
  <c r="P96" i="57"/>
  <c r="Z96" i="57" s="1"/>
  <c r="Q83" i="57"/>
  <c r="R83" i="57" s="1"/>
  <c r="Z83" i="57"/>
  <c r="Z99" i="57"/>
  <c r="P100" i="57"/>
  <c r="Z100" i="57" s="1"/>
  <c r="Q99" i="57"/>
  <c r="Q84" i="57"/>
  <c r="Z84" i="57"/>
  <c r="AD138" i="57" l="1"/>
  <c r="AE137" i="57"/>
  <c r="AG102" i="57"/>
  <c r="AF104" i="57"/>
  <c r="R84" i="57"/>
  <c r="AA84" i="57"/>
  <c r="R99" i="57"/>
  <c r="AA99" i="57"/>
  <c r="Q100" i="57"/>
  <c r="AA100"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F137" i="57" l="1"/>
  <c r="AE138" i="57"/>
  <c r="AB47" i="57"/>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AG137" i="57" l="1"/>
  <c r="AG138" i="57" s="1"/>
  <c r="AF138" i="57"/>
  <c r="W15" i="57"/>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25" i="57" l="1"/>
  <c r="C13" i="45"/>
  <c r="B41" i="57" l="1"/>
  <c r="M30" i="44"/>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AJ23" i="60" s="1" a="1"/>
  <c r="AJ23" i="60" s="1"/>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G22" i="60" s="1" a="1"/>
  <c r="AG22" i="60" s="1"/>
  <c r="J22" i="60" s="1"/>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C11" i="45"/>
  <c r="C10" i="45"/>
  <c r="C9" i="45"/>
  <c r="C8" i="45"/>
  <c r="C7" i="45"/>
  <c r="K15" i="57" l="1" a="1"/>
  <c r="K15" i="57" s="1"/>
  <c r="AK24" i="60" a="1"/>
  <c r="AK24" i="60" s="1"/>
  <c r="K14" i="57" a="1"/>
  <c r="K14" i="57" s="1"/>
  <c r="AK23" i="60" a="1"/>
  <c r="AK23" i="60" s="1"/>
  <c r="K13" i="57" a="1"/>
  <c r="K13" i="57" s="1"/>
  <c r="AK22" i="60" a="1"/>
  <c r="AK22" i="60" s="1"/>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U13" i="57" l="1"/>
  <c r="K16" i="57"/>
  <c r="AE13" i="57"/>
  <c r="U14" i="57"/>
  <c r="AE14" i="57"/>
  <c r="U15" i="57"/>
  <c r="AE15" i="57"/>
  <c r="K35" i="60"/>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E16" i="57" l="1"/>
  <c r="U16" i="57"/>
  <c r="V132" i="58"/>
  <c r="AH132" i="58"/>
  <c r="AH143" i="58" s="1"/>
  <c r="W132" i="58"/>
  <c r="P132" i="58"/>
  <c r="AB132" i="58"/>
  <c r="Q132" i="58"/>
  <c r="AC132" i="58"/>
  <c r="AG134" i="58"/>
  <c r="AT132" i="58"/>
  <c r="AO132" i="58"/>
  <c r="O130" i="58"/>
  <c r="AA130" i="58"/>
  <c r="AM130" i="58"/>
  <c r="P130" i="58"/>
  <c r="AB130" i="58"/>
  <c r="AN130" i="58"/>
  <c r="Q130" i="58"/>
  <c r="AC130" i="58"/>
  <c r="AC141" i="58" s="1"/>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N142" i="58" s="1"/>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L146" i="58" s="1"/>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U145" i="58"/>
  <c r="AI132" i="58"/>
  <c r="AU132" i="58"/>
  <c r="L132" i="58"/>
  <c r="X132" i="58"/>
  <c r="AJ132" i="58"/>
  <c r="AV132"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B42" i="57" l="1"/>
  <c r="S8" i="58"/>
  <c r="R87" i="58" a="1"/>
  <c r="R87" i="58" s="1"/>
  <c r="R88" i="58" a="1"/>
  <c r="R88" i="58" s="1"/>
  <c r="R77" i="58" a="1"/>
  <c r="R77" i="58" s="1"/>
  <c r="R76" i="58" a="1"/>
  <c r="R76" i="58" s="1"/>
  <c r="Q139" i="57"/>
  <c r="AA139" i="57" s="1"/>
  <c r="D178" i="57"/>
  <c r="D34"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C121" i="57"/>
  <c r="C125" i="57" s="1"/>
  <c r="C129" i="57" s="1"/>
  <c r="C120" i="57"/>
  <c r="C124" i="57" s="1"/>
  <c r="C128" i="57" s="1"/>
  <c r="C119" i="57"/>
  <c r="C123" i="57" s="1"/>
  <c r="C127" i="57" s="1"/>
  <c r="C110" i="57"/>
  <c r="AG104" i="57"/>
  <c r="AD104" i="57"/>
  <c r="AC104" i="57"/>
  <c r="S103" i="57"/>
  <c r="C100" i="57"/>
  <c r="C104" i="57" s="1"/>
  <c r="AG100" i="57"/>
  <c r="AD100" i="57"/>
  <c r="C99" i="57"/>
  <c r="C103" i="57" s="1"/>
  <c r="C98" i="57"/>
  <c r="C102" i="57" s="1"/>
  <c r="AG96" i="57"/>
  <c r="AD96" i="57"/>
  <c r="AC96" i="57"/>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AH29" i="44" l="1"/>
  <c r="M47" i="57"/>
  <c r="K47" i="57"/>
  <c r="L47" i="57"/>
  <c r="R250" i="57"/>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139" i="57"/>
  <c r="L94" i="57"/>
  <c r="L88" i="57"/>
  <c r="L84" i="57"/>
  <c r="L89" i="57"/>
  <c r="L102" i="57"/>
  <c r="R249" i="57"/>
  <c r="Y40" i="57"/>
  <c r="E47" i="57"/>
  <c r="Q250" i="57"/>
  <c r="Q259" i="57"/>
  <c r="K98" i="57"/>
  <c r="K89" i="57"/>
  <c r="K88" i="57"/>
  <c r="K95" i="57"/>
  <c r="K139" i="57"/>
  <c r="K94" i="57"/>
  <c r="K79"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137" i="57"/>
  <c r="F139" i="57"/>
  <c r="F103" i="57"/>
  <c r="F89" i="57"/>
  <c r="G83" i="57"/>
  <c r="G79" i="57"/>
  <c r="J98" i="57"/>
  <c r="G139" i="57"/>
  <c r="G103" i="57"/>
  <c r="G89" i="57"/>
  <c r="H79" i="57"/>
  <c r="H139" i="57"/>
  <c r="M98" i="57"/>
  <c r="G95" i="57"/>
  <c r="H89" i="57"/>
  <c r="I79" i="57"/>
  <c r="F99" i="57"/>
  <c r="M79" i="57"/>
  <c r="I139" i="57"/>
  <c r="I103" i="57"/>
  <c r="H95" i="57"/>
  <c r="I89" i="57"/>
  <c r="J79" i="57"/>
  <c r="J139" i="57"/>
  <c r="I95" i="57"/>
  <c r="J89" i="57"/>
  <c r="F138" i="57"/>
  <c r="F102" i="57"/>
  <c r="G99" i="57"/>
  <c r="J95" i="57"/>
  <c r="F88" i="57"/>
  <c r="M89" i="57"/>
  <c r="G138" i="57"/>
  <c r="G102" i="57"/>
  <c r="H99" i="57"/>
  <c r="F94" i="57"/>
  <c r="M95" i="57"/>
  <c r="G88" i="57"/>
  <c r="F84" i="57"/>
  <c r="M102" i="57"/>
  <c r="H138" i="57"/>
  <c r="H102" i="57"/>
  <c r="I99" i="57"/>
  <c r="G94" i="57"/>
  <c r="H88" i="57"/>
  <c r="G84" i="57"/>
  <c r="J84" i="57"/>
  <c r="I102" i="57"/>
  <c r="J99" i="57"/>
  <c r="H94" i="57"/>
  <c r="I88" i="57"/>
  <c r="H84" i="57"/>
  <c r="F137" i="57"/>
  <c r="G98" i="57"/>
  <c r="J102" i="57"/>
  <c r="F98" i="57"/>
  <c r="M99" i="57"/>
  <c r="I94" i="57"/>
  <c r="J88" i="57"/>
  <c r="I84" i="57"/>
  <c r="J94" i="57"/>
  <c r="M88" i="57"/>
  <c r="Y42" i="57"/>
  <c r="Y43" i="57"/>
  <c r="Y30" i="57"/>
  <c r="Y31" i="57"/>
  <c r="Y32" i="57"/>
  <c r="Y64" i="57"/>
  <c r="Q66" i="57"/>
  <c r="Q63" i="57"/>
  <c r="S66" i="57"/>
  <c r="S63" i="57"/>
  <c r="T66" i="57"/>
  <c r="T63" i="57"/>
  <c r="W66" i="57"/>
  <c r="W63" i="57"/>
  <c r="Y48" i="57"/>
  <c r="T103" i="57"/>
  <c r="T104" i="57" s="1"/>
  <c r="S104" i="57"/>
  <c r="R103" i="57"/>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Q249" i="57"/>
  <c r="BR249" i="57"/>
  <c r="S249" i="57"/>
  <c r="O259" i="57"/>
  <c r="S250" i="57"/>
  <c r="T250" i="57"/>
  <c r="T249" i="57"/>
  <c r="AR216" i="57"/>
  <c r="P259" i="57"/>
  <c r="AS216" i="57"/>
  <c r="BR250" i="57"/>
  <c r="V47" i="57" l="1"/>
  <c r="AF47" i="57"/>
  <c r="AE47" i="57"/>
  <c r="U47" i="57"/>
  <c r="W47" i="57"/>
  <c r="AG47" i="57"/>
  <c r="P250" i="57"/>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G100" i="57"/>
  <c r="J100" i="57"/>
  <c r="M96" i="57"/>
  <c r="H100" i="57"/>
  <c r="M100" i="57"/>
  <c r="R104" i="57"/>
  <c r="AB103" i="57"/>
  <c r="AB104" i="57" s="1"/>
  <c r="Y41" i="57"/>
  <c r="P44" i="57"/>
  <c r="Y44" i="57"/>
  <c r="P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BJ230" i="57"/>
  <c r="BJ231" i="57" s="1"/>
  <c r="BK230" i="57"/>
  <c r="BK231" i="57" s="1"/>
  <c r="S251" i="57"/>
  <c r="S252" i="57" s="1"/>
  <c r="U249" i="57"/>
  <c r="S259" i="57"/>
  <c r="U250" i="57"/>
  <c r="U251" i="57"/>
  <c r="C108" i="57"/>
  <c r="C81" i="57"/>
  <c r="C97" i="57" s="1"/>
  <c r="C118" i="57" s="1"/>
  <c r="K176" i="56"/>
  <c r="P251" i="57" l="1"/>
  <c r="P252" i="57" s="1"/>
  <c r="H103" i="57"/>
  <c r="H104" i="57" s="1"/>
  <c r="Z32" i="57"/>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Z134" i="57"/>
  <c r="F134" i="57" s="1"/>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G42" i="57" s="1"/>
  <c r="AE42" i="57"/>
  <c r="V137"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R31" i="57"/>
  <c r="AB31" i="57" s="1"/>
  <c r="AC87" i="58" a="1"/>
  <c r="AC87" i="58" s="1"/>
  <c r="AC77" i="58" a="1"/>
  <c r="AC77" i="58" s="1"/>
  <c r="AC76" i="58" a="1"/>
  <c r="AC76" i="58" s="1"/>
  <c r="AC88" i="58" a="1"/>
  <c r="AC88" i="58" s="1"/>
  <c r="AD8" i="58"/>
  <c r="H42" i="57"/>
  <c r="AB43" i="57"/>
  <c r="AC43" i="57" s="1"/>
  <c r="AA43" i="57"/>
  <c r="G43" i="57" s="1"/>
  <c r="Y77" i="57"/>
  <c r="E77" i="57" s="1"/>
  <c r="Y82" i="57"/>
  <c r="E82" i="57" s="1"/>
  <c r="E85" i="57" s="1"/>
  <c r="P77" i="57"/>
  <c r="AB64" i="57"/>
  <c r="H64" i="57" s="1"/>
  <c r="AB41" i="57"/>
  <c r="AC41" i="57" s="1"/>
  <c r="AF41" i="57" s="1"/>
  <c r="AA63" i="56"/>
  <c r="R63" i="56"/>
  <c r="V63" i="56" s="1"/>
  <c r="AA70" i="56"/>
  <c r="R70" i="56"/>
  <c r="V70" i="56" s="1"/>
  <c r="AA41" i="57"/>
  <c r="G41" i="57" s="1"/>
  <c r="AA64" i="56"/>
  <c r="R64" i="56"/>
  <c r="V64" i="56" s="1"/>
  <c r="P82" i="57"/>
  <c r="AB67" i="56"/>
  <c r="S67" i="56"/>
  <c r="T67" i="56"/>
  <c r="Z25" i="57"/>
  <c r="Z54" i="57" s="1"/>
  <c r="R72" i="56"/>
  <c r="V72" i="56" s="1"/>
  <c r="AA72" i="56"/>
  <c r="R68" i="56"/>
  <c r="V68" i="56" s="1"/>
  <c r="AA68" i="56"/>
  <c r="R71" i="56"/>
  <c r="V71" i="56" s="1"/>
  <c r="AA71" i="56"/>
  <c r="Z26" i="57"/>
  <c r="Z55" i="57" s="1"/>
  <c r="AA30" i="57"/>
  <c r="G30" i="57" s="1"/>
  <c r="AB30" i="57"/>
  <c r="AD30" i="57" s="1"/>
  <c r="AA69" i="56"/>
  <c r="R69" i="56"/>
  <c r="V69" i="56" s="1"/>
  <c r="R66" i="56"/>
  <c r="V66" i="56" s="1"/>
  <c r="AA66" i="56"/>
  <c r="AA27" i="57"/>
  <c r="G27" i="57" s="1"/>
  <c r="AA65" i="56"/>
  <c r="R65" i="56"/>
  <c r="V65" i="56" s="1"/>
  <c r="F48" i="57"/>
  <c r="Q48" i="57" s="1"/>
  <c r="R143" i="57"/>
  <c r="AA143" i="57"/>
  <c r="AC143" i="57" s="1"/>
  <c r="AF143" i="57" s="1"/>
  <c r="R134" i="57"/>
  <c r="AA134" i="57"/>
  <c r="AC134" i="57" s="1"/>
  <c r="AD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V252" i="57"/>
  <c r="U231" i="57"/>
  <c r="N106" i="56"/>
  <c r="M109" i="56"/>
  <c r="M107" i="56"/>
  <c r="M108" i="56"/>
  <c r="AF43" i="57" l="1"/>
  <c r="H30" i="57"/>
  <c r="AF30" i="57"/>
  <c r="G134" i="57"/>
  <c r="AE37" i="57"/>
  <c r="AF37" i="57"/>
  <c r="AE38" i="57"/>
  <c r="AF38" i="57"/>
  <c r="AE134" i="57"/>
  <c r="AF134" i="57"/>
  <c r="AD43" i="57"/>
  <c r="AE43" i="57"/>
  <c r="AD44" i="57"/>
  <c r="AG44" i="57" s="1"/>
  <c r="AE44" i="57"/>
  <c r="AD41" i="57"/>
  <c r="AG41" i="57" s="1"/>
  <c r="AE41" i="57"/>
  <c r="AD143" i="57"/>
  <c r="AG143" i="57" s="1"/>
  <c r="AE143" i="57"/>
  <c r="U64" i="57"/>
  <c r="V64" i="57"/>
  <c r="U30" i="57"/>
  <c r="V30" i="57"/>
  <c r="U44" i="57"/>
  <c r="V44" i="57"/>
  <c r="U43" i="57"/>
  <c r="V43" i="57"/>
  <c r="I42" i="57"/>
  <c r="U42" i="57"/>
  <c r="U137"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L67" i="56" s="1"/>
  <c r="Q106" i="56"/>
  <c r="AC67" i="56"/>
  <c r="AG67" i="56" s="1"/>
  <c r="W67" i="56"/>
  <c r="M67" i="56" s="1"/>
  <c r="G18" i="56"/>
  <c r="H18" i="56" s="1"/>
  <c r="I18" i="56" s="1"/>
  <c r="P18" i="56"/>
  <c r="S31" i="57"/>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X67" i="56"/>
  <c r="I67" i="56"/>
  <c r="U67" i="56"/>
  <c r="AA48" i="57"/>
  <c r="AD38" i="57"/>
  <c r="AD37" i="57"/>
  <c r="R196" i="57"/>
  <c r="Z93" i="57"/>
  <c r="F93" i="57" s="1"/>
  <c r="AB38" i="57"/>
  <c r="H38" i="57" s="1"/>
  <c r="S38" i="57"/>
  <c r="V38" i="57" s="1"/>
  <c r="Z75" i="57"/>
  <c r="F75" i="57" s="1"/>
  <c r="T44" i="57"/>
  <c r="Z108" i="57"/>
  <c r="F108" i="57" s="1"/>
  <c r="R144" i="57"/>
  <c r="AA144" i="57"/>
  <c r="AC144" i="57" s="1"/>
  <c r="Z97" i="57"/>
  <c r="F97" i="57" s="1"/>
  <c r="S133" i="57"/>
  <c r="AB133" i="57"/>
  <c r="H133" i="57" s="1"/>
  <c r="AC132" i="57"/>
  <c r="R35" i="57"/>
  <c r="AA35" i="57"/>
  <c r="AC35" i="57" s="1"/>
  <c r="AA86" i="57"/>
  <c r="G86" i="57" s="1"/>
  <c r="AA142" i="57"/>
  <c r="AC142" i="57" s="1"/>
  <c r="R142" i="57"/>
  <c r="R36" i="57"/>
  <c r="AA36" i="57"/>
  <c r="AC36" i="57" s="1"/>
  <c r="S143" i="57"/>
  <c r="V143" i="57" s="1"/>
  <c r="AB143" i="57"/>
  <c r="H143" i="57" s="1"/>
  <c r="AA101" i="57"/>
  <c r="G101" i="57" s="1"/>
  <c r="S134" i="57"/>
  <c r="AB134" i="57"/>
  <c r="H134" i="57" s="1"/>
  <c r="Z81" i="57"/>
  <c r="F81" i="57" s="1"/>
  <c r="Q82" i="57"/>
  <c r="Q55" i="57"/>
  <c r="AA26" i="57"/>
  <c r="AA55" i="57" s="1"/>
  <c r="AB37" i="57"/>
  <c r="H37" i="57" s="1"/>
  <c r="S37" i="57"/>
  <c r="V37" i="57" s="1"/>
  <c r="R101" i="57"/>
  <c r="Q108" i="57"/>
  <c r="Q97" i="57"/>
  <c r="T43" i="57"/>
  <c r="Q107" i="57"/>
  <c r="Q93" i="57"/>
  <c r="S67" i="57"/>
  <c r="S27" i="57"/>
  <c r="R86" i="57"/>
  <c r="T42" i="57"/>
  <c r="L42" i="57" s="1"/>
  <c r="R70" i="57"/>
  <c r="AB70" i="57" s="1"/>
  <c r="T30" i="57"/>
  <c r="T64" i="57"/>
  <c r="R26" i="57"/>
  <c r="Q81" i="57"/>
  <c r="R69" i="57"/>
  <c r="AB69" i="57" s="1"/>
  <c r="R68" i="57"/>
  <c r="AB68" i="57" s="1"/>
  <c r="Q75" i="57"/>
  <c r="R25" i="57"/>
  <c r="R54" i="57" s="1"/>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W252" i="57"/>
  <c r="V31" i="57" l="1"/>
  <c r="AF31" i="57" s="1"/>
  <c r="AC31" i="57"/>
  <c r="I31" i="57" s="1"/>
  <c r="J67" i="56"/>
  <c r="AG43" i="57"/>
  <c r="L43" i="57"/>
  <c r="L44" i="57"/>
  <c r="AF132" i="57"/>
  <c r="AE132" i="57"/>
  <c r="AE144" i="57"/>
  <c r="AF144" i="57"/>
  <c r="AE36" i="57"/>
  <c r="AF36" i="57"/>
  <c r="AE35" i="57"/>
  <c r="AF35" i="57"/>
  <c r="AE142" i="57"/>
  <c r="AF142" i="57"/>
  <c r="U133" i="57"/>
  <c r="V133" i="57"/>
  <c r="U134" i="57"/>
  <c r="V134" i="57"/>
  <c r="U27" i="57"/>
  <c r="U86" i="57" s="1"/>
  <c r="V27" i="57"/>
  <c r="U67" i="57"/>
  <c r="V67" i="57"/>
  <c r="I143" i="57"/>
  <c r="U143" i="57"/>
  <c r="I37" i="57"/>
  <c r="U37" i="57"/>
  <c r="U31" i="57"/>
  <c r="AE31" i="57" s="1"/>
  <c r="I41" i="57"/>
  <c r="U41" i="57"/>
  <c r="I38" i="57"/>
  <c r="U38"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K67" i="56" s="1"/>
  <c r="AD64" i="56"/>
  <c r="AH64" i="56" s="1"/>
  <c r="AF64" i="56"/>
  <c r="L64" i="56" s="1"/>
  <c r="AD65" i="56"/>
  <c r="AH65" i="56" s="1"/>
  <c r="AF65" i="56"/>
  <c r="L65" i="56" s="1"/>
  <c r="AD69" i="56"/>
  <c r="AE69" i="56" s="1"/>
  <c r="AF69" i="56"/>
  <c r="L69" i="56" s="1"/>
  <c r="AD71" i="56"/>
  <c r="AH71" i="56" s="1"/>
  <c r="AF71" i="56"/>
  <c r="L71" i="56" s="1"/>
  <c r="AD72" i="56"/>
  <c r="AH72" i="56" s="1"/>
  <c r="AF72" i="56"/>
  <c r="L72" i="56" s="1"/>
  <c r="AD63" i="56"/>
  <c r="AH63" i="56" s="1"/>
  <c r="AF63" i="56"/>
  <c r="L63" i="56" s="1"/>
  <c r="AD70" i="56"/>
  <c r="AE70" i="56" s="1"/>
  <c r="AF70" i="56"/>
  <c r="L70" i="56" s="1"/>
  <c r="AD66" i="56"/>
  <c r="AE66" i="56" s="1"/>
  <c r="AF66" i="56"/>
  <c r="L66" i="56" s="1"/>
  <c r="AD68" i="56"/>
  <c r="AE68" i="56" s="1"/>
  <c r="AF68" i="56"/>
  <c r="L68" i="56" s="1"/>
  <c r="R106" i="56"/>
  <c r="R109" i="56" s="1"/>
  <c r="Q109" i="56"/>
  <c r="Q108" i="56"/>
  <c r="Q107" i="56"/>
  <c r="AC72" i="56"/>
  <c r="AG72" i="56" s="1"/>
  <c r="W72" i="56"/>
  <c r="M72" i="56" s="1"/>
  <c r="AC64" i="56"/>
  <c r="AG64" i="56" s="1"/>
  <c r="W64" i="56"/>
  <c r="AC66" i="56"/>
  <c r="AG66" i="56" s="1"/>
  <c r="W66" i="56"/>
  <c r="M66" i="56" s="1"/>
  <c r="AC65" i="56"/>
  <c r="AG65" i="56" s="1"/>
  <c r="W65" i="56"/>
  <c r="M65" i="56" s="1"/>
  <c r="AC70" i="56"/>
  <c r="AG70" i="56" s="1"/>
  <c r="W70" i="56"/>
  <c r="M70" i="56" s="1"/>
  <c r="AC69" i="56"/>
  <c r="AG69" i="56" s="1"/>
  <c r="W69" i="56"/>
  <c r="AC63" i="56"/>
  <c r="AG63" i="56" s="1"/>
  <c r="W63" i="56"/>
  <c r="M63" i="56" s="1"/>
  <c r="AC71" i="56"/>
  <c r="AG71" i="56" s="1"/>
  <c r="W71" i="56"/>
  <c r="AC68" i="56"/>
  <c r="AG68" i="56" s="1"/>
  <c r="W68" i="56"/>
  <c r="M68" i="56" s="1"/>
  <c r="R199" i="57"/>
  <c r="G19" i="56"/>
  <c r="H19" i="56" s="1"/>
  <c r="I19" i="56" s="1"/>
  <c r="P19" i="56"/>
  <c r="F28" i="57"/>
  <c r="T31" i="57"/>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X68" i="56"/>
  <c r="U68" i="56"/>
  <c r="J68" i="56"/>
  <c r="I66" i="56"/>
  <c r="X66" i="56"/>
  <c r="U66" i="56"/>
  <c r="J66" i="56"/>
  <c r="U69" i="56"/>
  <c r="X69" i="56"/>
  <c r="X70" i="56"/>
  <c r="U70" i="56"/>
  <c r="AB26" i="57"/>
  <c r="AB55" i="57" s="1"/>
  <c r="AB25" i="57"/>
  <c r="T134" i="57"/>
  <c r="I134" i="57"/>
  <c r="AA77" i="57"/>
  <c r="G77" i="57" s="1"/>
  <c r="R82" i="57"/>
  <c r="N67" i="56"/>
  <c r="X71" i="56"/>
  <c r="U71" i="56"/>
  <c r="X63" i="56"/>
  <c r="U63" i="56"/>
  <c r="U72" i="56"/>
  <c r="X72" i="56"/>
  <c r="AA107" i="57"/>
  <c r="G107" i="57" s="1"/>
  <c r="T133" i="57"/>
  <c r="L133" i="57" s="1"/>
  <c r="I133" i="57"/>
  <c r="AD36" i="57"/>
  <c r="AD142" i="57"/>
  <c r="AG38" i="57"/>
  <c r="AG37" i="57"/>
  <c r="AD144" i="57"/>
  <c r="AD35" i="57"/>
  <c r="G48" i="57"/>
  <c r="R48" i="57" s="1"/>
  <c r="AA97" i="57"/>
  <c r="G97" i="57" s="1"/>
  <c r="AG134" i="57"/>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P216" i="57"/>
  <c r="P215" i="57"/>
  <c r="P217" i="57"/>
  <c r="Q214" i="57"/>
  <c r="T197" i="57" s="1"/>
  <c r="S196" i="57"/>
  <c r="T67" i="57"/>
  <c r="S69" i="57"/>
  <c r="W30" i="57"/>
  <c r="S70" i="57"/>
  <c r="S26" i="57"/>
  <c r="R81" i="57"/>
  <c r="R55" i="57"/>
  <c r="S25" i="57"/>
  <c r="V25" i="57" s="1"/>
  <c r="R75"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AD31" i="57" l="1"/>
  <c r="L31" i="57" s="1"/>
  <c r="I71" i="56"/>
  <c r="J69" i="56"/>
  <c r="I69" i="56"/>
  <c r="M69" i="56"/>
  <c r="M43" i="57"/>
  <c r="I68" i="56"/>
  <c r="J71" i="56"/>
  <c r="J72" i="56"/>
  <c r="I72" i="56"/>
  <c r="AB54" i="57"/>
  <c r="H54" i="57" s="1"/>
  <c r="AC25" i="57"/>
  <c r="AD25" i="57" s="1"/>
  <c r="AE25" i="57" s="1"/>
  <c r="AG132" i="57"/>
  <c r="I63" i="56"/>
  <c r="J70" i="56"/>
  <c r="J63" i="56"/>
  <c r="I70" i="56"/>
  <c r="I64" i="56"/>
  <c r="J64" i="56"/>
  <c r="M71" i="56"/>
  <c r="M64" i="56"/>
  <c r="AH66" i="56"/>
  <c r="U101" i="57"/>
  <c r="U132" i="57"/>
  <c r="V107" i="57"/>
  <c r="V75" i="57"/>
  <c r="V93" i="57"/>
  <c r="V86" i="57"/>
  <c r="V101" i="57"/>
  <c r="V77" i="57"/>
  <c r="U26" i="57"/>
  <c r="U97" i="57" s="1"/>
  <c r="V26" i="57"/>
  <c r="V54" i="57"/>
  <c r="V132" i="57"/>
  <c r="U70" i="57"/>
  <c r="V70" i="57"/>
  <c r="U69" i="57"/>
  <c r="V69" i="57"/>
  <c r="V82" i="57"/>
  <c r="U68" i="57"/>
  <c r="V68" i="57"/>
  <c r="V198" i="57"/>
  <c r="V197" i="57"/>
  <c r="V196" i="57"/>
  <c r="T196" i="57"/>
  <c r="U197" i="57"/>
  <c r="U196" i="57"/>
  <c r="U198" i="57"/>
  <c r="I144" i="57"/>
  <c r="U144" i="57"/>
  <c r="I25" i="57"/>
  <c r="U25" i="57"/>
  <c r="I35" i="57"/>
  <c r="U35" i="57"/>
  <c r="S82" i="57"/>
  <c r="U36" i="57"/>
  <c r="U82" i="57" s="1"/>
  <c r="I142" i="57"/>
  <c r="U142" i="57"/>
  <c r="K134" i="57"/>
  <c r="L134" i="57"/>
  <c r="J37" i="57"/>
  <c r="K37" i="57"/>
  <c r="J41" i="57"/>
  <c r="K41" i="57"/>
  <c r="J143" i="57"/>
  <c r="K143" i="57"/>
  <c r="J38" i="57"/>
  <c r="K38" i="57"/>
  <c r="J133" i="57"/>
  <c r="K133"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K71" i="56" s="1"/>
  <c r="AH69" i="56"/>
  <c r="N69" i="56" s="1"/>
  <c r="AE65" i="56"/>
  <c r="K65" i="56" s="1"/>
  <c r="AE63" i="56"/>
  <c r="K63" i="56" s="1"/>
  <c r="AE64" i="56"/>
  <c r="K64" i="56" s="1"/>
  <c r="AH70" i="56"/>
  <c r="N70" i="56" s="1"/>
  <c r="AH68" i="56"/>
  <c r="N68" i="56" s="1"/>
  <c r="R108" i="56"/>
  <c r="AE72" i="56"/>
  <c r="K72" i="56" s="1"/>
  <c r="R107" i="56"/>
  <c r="Q110" i="56"/>
  <c r="G20" i="56"/>
  <c r="H20" i="56" s="1"/>
  <c r="I20" i="56" s="1"/>
  <c r="P20" i="56"/>
  <c r="K66" i="56"/>
  <c r="N63" i="56"/>
  <c r="G28" i="57"/>
  <c r="W31" i="57"/>
  <c r="N71" i="56"/>
  <c r="N65" i="56"/>
  <c r="K70" i="56"/>
  <c r="N64" i="56"/>
  <c r="N66" i="56"/>
  <c r="N72" i="56"/>
  <c r="H25" i="57"/>
  <c r="K68" i="56"/>
  <c r="K69" i="56"/>
  <c r="H26" i="57"/>
  <c r="H55" i="57"/>
  <c r="AF87" i="58" a="1"/>
  <c r="AF87" i="58" s="1"/>
  <c r="AF88" i="58" a="1"/>
  <c r="AF88" i="58" s="1"/>
  <c r="AF77" i="58" a="1"/>
  <c r="AF77" i="58" s="1"/>
  <c r="AF76" i="58" a="1"/>
  <c r="AF76" i="58" s="1"/>
  <c r="AG8" i="58"/>
  <c r="S199" i="57"/>
  <c r="I36" i="57"/>
  <c r="AB82" i="57"/>
  <c r="H82"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J31" i="57" l="1"/>
  <c r="AG31" i="57"/>
  <c r="M31" i="57" s="1"/>
  <c r="U108" i="57"/>
  <c r="AF25" i="57"/>
  <c r="AE75" i="57"/>
  <c r="AE93" i="57"/>
  <c r="U81" i="57"/>
  <c r="T199" i="57"/>
  <c r="AC251" i="57"/>
  <c r="AC250" i="57"/>
  <c r="AC249" i="57"/>
  <c r="V108" i="57"/>
  <c r="V81" i="57"/>
  <c r="V97" i="57"/>
  <c r="V55" i="57"/>
  <c r="U55" i="57"/>
  <c r="V199" i="57"/>
  <c r="U93" i="57"/>
  <c r="U75" i="57"/>
  <c r="U107" i="57"/>
  <c r="U54" i="57"/>
  <c r="U199" i="57"/>
  <c r="AB251" i="57"/>
  <c r="AB250" i="57"/>
  <c r="AB249" i="57"/>
  <c r="U77"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C252" i="57" l="1"/>
  <c r="AG25" i="57"/>
  <c r="AF93" i="57"/>
  <c r="AF75" i="57"/>
  <c r="M25" i="57"/>
  <c r="AB252" i="57"/>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K77" i="58" a="1"/>
  <c r="AK77" i="58" s="1"/>
  <c r="AK87" i="58" a="1"/>
  <c r="AK87" i="58" s="1"/>
  <c r="AK76" i="58" a="1"/>
  <c r="AK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AL76" i="58" l="1" a="1"/>
  <c r="AL76" i="58" s="1"/>
  <c r="AL77" i="58" a="1"/>
  <c r="AL77" i="58" s="1"/>
  <c r="AL87" i="58" a="1"/>
  <c r="AL87" i="58" s="1"/>
  <c r="AL88" i="58" a="1"/>
  <c r="AL88" i="58" s="1"/>
  <c r="H25" i="56"/>
  <c r="X24" i="56"/>
  <c r="N24" i="56" s="1"/>
  <c r="M24" i="56"/>
  <c r="X21" i="56"/>
  <c r="N21" i="56" s="1"/>
  <c r="M21" i="56"/>
  <c r="W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L25" i="56" l="1"/>
  <c r="AA110" i="56"/>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76" i="58" l="1" a="1"/>
  <c r="AP76" i="58" s="1"/>
  <c r="AP88" i="58"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C110" i="56"/>
  <c r="AJ231" i="57"/>
  <c r="AC218" i="57"/>
  <c r="AD215" i="57"/>
  <c r="AD217" i="57"/>
  <c r="AE214" i="57"/>
  <c r="AD216" i="57"/>
  <c r="AK252" i="57"/>
  <c r="AL251" i="57"/>
  <c r="AL249" i="57"/>
  <c r="AL250" i="57"/>
  <c r="AK232" i="57"/>
  <c r="AK229" i="57"/>
  <c r="AK228" i="57"/>
  <c r="AJ259" i="57"/>
  <c r="AK230" i="57"/>
  <c r="AD107" i="56"/>
  <c r="AE106" i="56"/>
  <c r="AD108" i="56"/>
  <c r="AD109" i="56"/>
  <c r="AH199" i="57"/>
  <c r="AQ76" i="58" l="1" a="1"/>
  <c r="AQ76" i="58" s="1"/>
  <c r="AQ88" i="58"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76" i="58" l="1" a="1"/>
  <c r="AR76" i="58" s="1"/>
  <c r="AR87" i="58"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O252" i="57"/>
  <c r="AK197" i="57"/>
  <c r="AK196" i="57"/>
  <c r="AO232" i="57"/>
  <c r="AO229" i="57"/>
  <c r="AL259" i="57"/>
  <c r="AO230" i="57"/>
  <c r="AO228" i="57"/>
  <c r="AL231" i="57"/>
  <c r="AF109" i="56"/>
  <c r="AG106" i="56"/>
  <c r="AF108" i="56"/>
  <c r="AF107" i="56"/>
  <c r="AE110" i="56"/>
  <c r="AE218" i="57"/>
  <c r="AH216" i="57"/>
  <c r="AK198" i="57"/>
  <c r="AH215" i="57"/>
  <c r="AH217" i="57"/>
  <c r="AJ199" i="57"/>
  <c r="AS76" i="58" l="1" a="1"/>
  <c r="AS76" i="58" s="1"/>
  <c r="AS88" i="58"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H218" i="57"/>
  <c r="AO231" i="57"/>
  <c r="AL196" i="57"/>
  <c r="AL197" i="57"/>
  <c r="AJ214" i="57"/>
  <c r="AL198" i="57"/>
  <c r="AF110" i="56"/>
  <c r="AQ250" i="57"/>
  <c r="AQ249" i="57"/>
  <c r="AO259" i="57"/>
  <c r="AQ251" i="57"/>
  <c r="AG108" i="56"/>
  <c r="AH106" i="56"/>
  <c r="AG109" i="56"/>
  <c r="AG107" i="56"/>
  <c r="AT76" i="58" l="1" a="1"/>
  <c r="AT76" i="58" s="1"/>
  <c r="AT77" i="58" a="1"/>
  <c r="AT77" i="58" s="1"/>
  <c r="AT88" i="58" a="1"/>
  <c r="AT88" i="58" s="1"/>
  <c r="AT87" i="58" a="1"/>
  <c r="AT87" i="58" s="1"/>
  <c r="AN198" i="57"/>
  <c r="AN197" i="57"/>
  <c r="AN196" i="57"/>
  <c r="AP231" i="57"/>
  <c r="AU8" i="58"/>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76" i="58" l="1" a="1"/>
  <c r="AU76" i="58" s="1"/>
  <c r="AU87" i="58"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AZ8" i="58"/>
  <c r="AZ76" i="58" s="1" a="1"/>
  <c r="AZ76" i="58" s="1"/>
  <c r="AY88" i="58" a="1"/>
  <c r="AY88" i="58" s="1"/>
  <c r="AZ88" i="58" s="1" a="1"/>
  <c r="AZ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8" i="58" l="1"/>
  <c r="BA88" i="58" s="1" a="1"/>
  <c r="BA88"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A76" i="58" l="1" a="1"/>
  <c r="BA76" i="58" s="1"/>
  <c r="BB8" i="58"/>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C77" i="58" a="1"/>
  <c r="BC77" i="58" s="1"/>
  <c r="BC88" i="58" a="1"/>
  <c r="BC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D88" i="58" l="1" a="1"/>
  <c r="BD88" i="58" s="1"/>
  <c r="BD77" i="58" a="1"/>
  <c r="BD77" i="58" s="1"/>
  <c r="BD87" i="58" a="1"/>
  <c r="BD87" i="58" s="1"/>
  <c r="BE8" i="58"/>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L77" i="58" l="1" a="1"/>
  <c r="BL77" i="58" s="1"/>
  <c r="BM8" i="58"/>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I10" i="58"/>
  <c r="BJ10" i="58" s="1"/>
  <c r="BK10" i="58" s="1"/>
  <c r="BL10" i="58" s="1"/>
  <c r="BM10" i="58" s="1"/>
  <c r="BN10" i="58" s="1"/>
  <c r="BO10" i="58" s="1"/>
  <c r="BP10" i="58" s="1"/>
  <c r="BQ10" i="58" s="1"/>
  <c r="BO252" i="57"/>
  <c r="BP251" i="57"/>
  <c r="BP249" i="57"/>
  <c r="BP250" i="57"/>
  <c r="BR77" i="58" l="1" a="1"/>
  <c r="BR77" i="58" s="1"/>
  <c r="BR76" i="58"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P50" i="52" s="1"/>
  <c r="O16" i="52"/>
  <c r="N16" i="52"/>
  <c r="M16" i="52"/>
  <c r="L16" i="52"/>
  <c r="K16" i="52"/>
  <c r="J16" i="52"/>
  <c r="I16" i="52"/>
  <c r="H16" i="52"/>
  <c r="G16" i="52"/>
  <c r="F16" i="52"/>
  <c r="E16" i="52"/>
  <c r="D16" i="52"/>
  <c r="S15" i="52"/>
  <c r="R15" i="52"/>
  <c r="Q15" i="52"/>
  <c r="P15" i="52"/>
  <c r="O15" i="52"/>
  <c r="N15" i="52"/>
  <c r="M15" i="52"/>
  <c r="L15" i="52"/>
  <c r="K15" i="52"/>
  <c r="J15" i="52"/>
  <c r="I15" i="52"/>
  <c r="H15" i="52"/>
  <c r="H49" i="52" s="1"/>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L45" i="52" s="1"/>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M41" i="52" s="1"/>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O38" i="52" s="1"/>
  <c r="N4" i="52"/>
  <c r="M4" i="52"/>
  <c r="L4" i="52"/>
  <c r="K4" i="52"/>
  <c r="J4" i="52"/>
  <c r="I4" i="52"/>
  <c r="H4" i="52"/>
  <c r="G4" i="52"/>
  <c r="F4" i="52"/>
  <c r="E4" i="52"/>
  <c r="D4" i="52"/>
  <c r="D38" i="52" s="1"/>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M39" i="52" l="1"/>
  <c r="I40" i="52"/>
  <c r="E41" i="52"/>
  <c r="Q41" i="52"/>
  <c r="M42" i="52"/>
  <c r="I43" i="52"/>
  <c r="E44" i="52"/>
  <c r="Q44" i="52"/>
  <c r="M45" i="52"/>
  <c r="I46" i="52"/>
  <c r="E47" i="52"/>
  <c r="Q47" i="52"/>
  <c r="M48" i="52"/>
  <c r="I49" i="52"/>
  <c r="E50" i="52"/>
  <c r="Q50" i="52"/>
  <c r="M51" i="52"/>
  <c r="I52" i="52"/>
  <c r="E38" i="52"/>
  <c r="M36" i="52"/>
  <c r="I37" i="52"/>
  <c r="Q38" i="52"/>
  <c r="O39" i="52"/>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Z8" i="56" s="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AA56" i="57" l="1"/>
  <c r="G56" i="57" s="1"/>
  <c r="M176" i="56" a="1"/>
  <c r="M176" i="56" s="1"/>
  <c r="G76" i="56"/>
  <c r="S76" i="56"/>
  <c r="S92" i="56" s="1"/>
  <c r="AC92" i="56" s="1"/>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M28" i="44"/>
  <c r="M29" i="44" s="1"/>
  <c r="H134" i="47"/>
  <c r="I127" i="47"/>
  <c r="AC76" i="56" l="1"/>
  <c r="E57" i="57"/>
  <c r="Y58" i="57"/>
  <c r="Y59" i="57" s="1"/>
  <c r="Y60" i="57" s="1"/>
  <c r="P49" i="57"/>
  <c r="Y110" i="57"/>
  <c r="E110" i="57" s="1"/>
  <c r="O111" i="57"/>
  <c r="Y111" i="57" s="1"/>
  <c r="E111" i="57" s="1"/>
  <c r="O61" i="57"/>
  <c r="V24" i="58"/>
  <c r="O59"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P3" i="29"/>
  <c r="M7" i="47"/>
  <c r="M9" i="47"/>
  <c r="M5" i="47"/>
  <c r="M8" i="47"/>
  <c r="N6" i="47"/>
  <c r="U29" i="44" l="1"/>
  <c r="I47" i="57"/>
  <c r="AD24" i="58"/>
  <c r="AE23" i="58"/>
  <c r="AD31" i="58"/>
  <c r="AD34" i="58" s="1"/>
  <c r="AD35" i="58" s="1"/>
  <c r="AC169" i="58"/>
  <c r="AC168" i="58"/>
  <c r="P33" i="29" a="1"/>
  <c r="P33" i="29" s="1"/>
  <c r="P5" i="29" a="1"/>
  <c r="P5" i="29" s="1"/>
  <c r="V28" i="44"/>
  <c r="V29" i="44" s="1"/>
  <c r="N7" i="47"/>
  <c r="N9" i="47"/>
  <c r="O6" i="47"/>
  <c r="N5" i="47"/>
  <c r="N8" i="47"/>
  <c r="AE24" i="58" l="1"/>
  <c r="AC47" i="57"/>
  <c r="S47" i="57"/>
  <c r="AI60" i="58"/>
  <c r="AD60" i="58"/>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S32" i="57"/>
  <c r="R56" i="57"/>
  <c r="R109" i="57"/>
  <c r="R87" i="57"/>
  <c r="AF35" i="58"/>
  <c r="AE168" i="58"/>
  <c r="AE169" i="58"/>
  <c r="AE36" i="58"/>
  <c r="AE41" i="58" s="1"/>
  <c r="X28" i="44"/>
  <c r="X29" i="44" s="1"/>
  <c r="P7" i="47"/>
  <c r="P5" i="47"/>
  <c r="P8" i="47"/>
  <c r="Q6" i="47"/>
  <c r="P9" i="47"/>
  <c r="AG31" i="58" l="1"/>
  <c r="AG34" i="58" s="1"/>
  <c r="AG35" i="58" s="1"/>
  <c r="AG24" i="58"/>
  <c r="V32" i="57"/>
  <c r="AF32" i="57" s="1"/>
  <c r="AC32" i="57"/>
  <c r="I32" i="57" s="1"/>
  <c r="AB56" i="57"/>
  <c r="H56" i="57" s="1"/>
  <c r="U32" i="57"/>
  <c r="AE32" i="57" s="1"/>
  <c r="H32" i="57"/>
  <c r="H33" i="57" s="1"/>
  <c r="AB109" i="57"/>
  <c r="H109" i="57" s="1"/>
  <c r="AB87" i="57"/>
  <c r="H87" i="57" s="1"/>
  <c r="H90" i="57" s="1"/>
  <c r="S87" i="57"/>
  <c r="AH24" i="58"/>
  <c r="AF168" i="58"/>
  <c r="AF169" i="58"/>
  <c r="AF36" i="58"/>
  <c r="AF41" i="58" s="1"/>
  <c r="AH31" i="58"/>
  <c r="AH34" i="58" s="1"/>
  <c r="Y28" i="44"/>
  <c r="Y29" i="44" s="1"/>
  <c r="AI23" i="58"/>
  <c r="Q8" i="47"/>
  <c r="Q5" i="47"/>
  <c r="Q7" i="47"/>
  <c r="Q9" i="47"/>
  <c r="R6" i="47"/>
  <c r="V109" i="57" l="1"/>
  <c r="V87" i="57"/>
  <c r="V90" i="57" s="1"/>
  <c r="V56" i="57"/>
  <c r="U56" i="57"/>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J47" i="57" s="1"/>
  <c r="AP9" i="55"/>
  <c r="AP16" i="55" s="1" a="1"/>
  <c r="AP16" i="55" s="1"/>
  <c r="AB9" i="56"/>
  <c r="W5" i="47"/>
  <c r="X6" i="47"/>
  <c r="W8" i="47"/>
  <c r="W7" i="47"/>
  <c r="W9" i="47"/>
  <c r="AD47" i="57" l="1"/>
  <c r="T47" i="57"/>
  <c r="J43" i="56"/>
  <c r="K43" i="56" s="1"/>
  <c r="T7" i="56"/>
  <c r="J104" i="56"/>
  <c r="K104" i="56" s="1"/>
  <c r="L104" i="56" s="1"/>
  <c r="M104" i="56" s="1"/>
  <c r="N104" i="56" s="1"/>
  <c r="T8" i="56"/>
  <c r="AD8" i="56" s="1"/>
  <c r="AG7" i="56"/>
  <c r="U7"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AD32" i="57" l="1"/>
  <c r="L32"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H92" i="56"/>
  <c r="S42" i="55"/>
  <c r="I134" i="47"/>
  <c r="Y7" i="47"/>
  <c r="Y8" i="47"/>
  <c r="Z6" i="47"/>
  <c r="Y5" i="47"/>
  <c r="Y9" i="47"/>
  <c r="I136" i="47" l="1"/>
  <c r="J32" i="57"/>
  <c r="K32" i="57"/>
  <c r="AG32" i="57"/>
  <c r="M32" i="57" s="1"/>
  <c r="AP31" i="55"/>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49" i="57" l="1"/>
  <c r="M110" i="57"/>
  <c r="K57" i="57"/>
  <c r="M50" i="57"/>
  <c r="T58" i="57"/>
  <c r="T59" i="57" s="1"/>
  <c r="L50" i="57"/>
  <c r="T51" i="57"/>
  <c r="J51" i="57" s="1"/>
  <c r="K50" i="57"/>
  <c r="W51" i="57"/>
  <c r="M51" i="57" s="1"/>
  <c r="T110" i="57"/>
  <c r="L110" i="57" s="1"/>
  <c r="V61" i="57"/>
  <c r="V151" i="57"/>
  <c r="V150" i="57"/>
  <c r="V149" i="57"/>
  <c r="U51" i="57"/>
  <c r="U110" i="57"/>
  <c r="U111" i="57" s="1"/>
  <c r="U162" i="57"/>
  <c r="U163" i="57"/>
  <c r="U161" i="57"/>
  <c r="U58" i="57"/>
  <c r="U59" i="57" s="1"/>
  <c r="U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AG35" i="55"/>
  <c r="W130" i="47"/>
  <c r="AG32" i="55"/>
  <c r="W137" i="47"/>
  <c r="AF30" i="55"/>
  <c r="V138" i="47"/>
  <c r="W137" i="56"/>
  <c r="R87" i="47" s="1"/>
  <c r="AF43" i="55"/>
  <c r="V135" i="47"/>
  <c r="U136" i="47"/>
  <c r="AG33" i="55"/>
  <c r="W127" i="47"/>
  <c r="AE42" i="55"/>
  <c r="U134" i="47"/>
  <c r="BD24" i="58" l="1"/>
  <c r="AD46" i="58"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M181"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X137" i="56"/>
  <c r="S87" i="47" s="1"/>
  <c r="AH33" i="55"/>
  <c r="X127" i="47"/>
  <c r="V136" i="47"/>
  <c r="AF42" i="55"/>
  <c r="V134" i="47"/>
  <c r="AG43" i="55"/>
  <c r="W135" i="47"/>
  <c r="M180" i="58" l="1"/>
  <c r="N49" i="58"/>
  <c r="O49" i="58" s="1"/>
  <c r="M215" i="58"/>
  <c r="M227" i="58" s="1"/>
  <c r="M265" i="58" s="1"/>
  <c r="N50" i="58"/>
  <c r="N192" i="58" s="1"/>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O50" i="58"/>
  <c r="N193" i="58"/>
  <c r="Y137" i="56"/>
  <c r="T87" i="47" s="1"/>
  <c r="Y127" i="47"/>
  <c r="AI33" i="55"/>
  <c r="W136" i="47"/>
  <c r="AG42" i="55"/>
  <c r="W134" i="47"/>
  <c r="X135" i="47"/>
  <c r="AH43" i="55"/>
  <c r="N180" i="58" l="1"/>
  <c r="N181" i="58"/>
  <c r="N203" i="58"/>
  <c r="M226" i="58"/>
  <c r="M264" i="58" s="1"/>
  <c r="N53" i="58"/>
  <c r="O51" i="58"/>
  <c r="O203" i="58" s="1"/>
  <c r="O52" i="58"/>
  <c r="P52" i="58" s="1"/>
  <c r="N214" i="58"/>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Z137" i="56"/>
  <c r="U87" i="47" s="1"/>
  <c r="X136" i="47"/>
  <c r="X134" i="47"/>
  <c r="AH42" i="55"/>
  <c r="AI43" i="55"/>
  <c r="Y135" i="47"/>
  <c r="AJ33" i="55"/>
  <c r="Z127" i="47"/>
  <c r="O215" i="58" l="1"/>
  <c r="N226" i="58"/>
  <c r="N264" i="58" s="1"/>
  <c r="O204" i="58"/>
  <c r="P51" i="58"/>
  <c r="P203" i="58" s="1"/>
  <c r="O214" i="58"/>
  <c r="O226" i="58" s="1"/>
  <c r="O264" i="58" s="1"/>
  <c r="O53" i="58"/>
  <c r="BF36" i="58"/>
  <c r="BF41" i="58" s="1"/>
  <c r="BF169" i="58"/>
  <c r="BF168" i="58"/>
  <c r="BH23" i="58"/>
  <c r="BG31" i="58"/>
  <c r="BG34" i="58" s="1"/>
  <c r="BG35" i="58" s="1"/>
  <c r="BG24" i="58"/>
  <c r="AK35" i="55"/>
  <c r="AA130" i="47"/>
  <c r="AK32" i="55"/>
  <c r="AA137" i="47"/>
  <c r="AJ30" i="55"/>
  <c r="Z138" i="47"/>
  <c r="P215" i="58"/>
  <c r="P214" i="58"/>
  <c r="Q52" i="58"/>
  <c r="P193" i="58"/>
  <c r="P192" i="58"/>
  <c r="Q50" i="58"/>
  <c r="P180" i="58"/>
  <c r="P181" i="58"/>
  <c r="Q49" i="58"/>
  <c r="AC137" i="56"/>
  <c r="V87" i="47" s="1"/>
  <c r="AI42" i="55"/>
  <c r="Y134" i="47"/>
  <c r="Y136" i="47"/>
  <c r="AK33" i="55"/>
  <c r="AA127" i="47"/>
  <c r="AJ43" i="55"/>
  <c r="Z135" i="47"/>
  <c r="P204" i="58" l="1"/>
  <c r="P227" i="58" s="1"/>
  <c r="P265" i="58" s="1"/>
  <c r="P53" i="58"/>
  <c r="Q51" i="58"/>
  <c r="Q53" i="58" s="1"/>
  <c r="O227" i="58"/>
  <c r="O265" i="58" s="1"/>
  <c r="BG36" i="58"/>
  <c r="BG41" i="58" s="1"/>
  <c r="BG169" i="58"/>
  <c r="BG168" i="58"/>
  <c r="BH24" i="58"/>
  <c r="BI23" i="58"/>
  <c r="BH31" i="58"/>
  <c r="BH34" i="58" s="1"/>
  <c r="BH35" i="58" s="1"/>
  <c r="AL35" i="55"/>
  <c r="AB130" i="47"/>
  <c r="AK30" i="55"/>
  <c r="AA138" i="47"/>
  <c r="AL32" i="55"/>
  <c r="AB137" i="47"/>
  <c r="P226" i="58"/>
  <c r="P264" i="58" s="1"/>
  <c r="R50" i="58"/>
  <c r="Q193" i="58"/>
  <c r="Q192" i="58"/>
  <c r="Q215" i="58"/>
  <c r="Q214" i="58"/>
  <c r="R52" i="58"/>
  <c r="R49" i="58"/>
  <c r="Q181" i="58"/>
  <c r="Q180" i="58"/>
  <c r="AD137" i="56"/>
  <c r="W87" i="47" s="1"/>
  <c r="AA135" i="47"/>
  <c r="AK43" i="55"/>
  <c r="Z136" i="47"/>
  <c r="AL33" i="55"/>
  <c r="AB127" i="47"/>
  <c r="Z134" i="47"/>
  <c r="AJ42" i="55"/>
  <c r="R51" i="58" l="1"/>
  <c r="S51" i="58" s="1"/>
  <c r="Q203" i="58"/>
  <c r="Q226" i="58" s="1"/>
  <c r="Q264" i="58" s="1"/>
  <c r="G119" i="47" s="1"/>
  <c r="Q204" i="58"/>
  <c r="Q227" i="58" s="1"/>
  <c r="Q265" i="58" s="1"/>
  <c r="G125" i="47" s="1"/>
  <c r="BH36" i="58"/>
  <c r="BH41" i="58" s="1"/>
  <c r="BH169" i="58"/>
  <c r="BH168" i="58"/>
  <c r="BJ23" i="58"/>
  <c r="BI31" i="58"/>
  <c r="BI34" i="58" s="1"/>
  <c r="BI35" i="58" s="1"/>
  <c r="BI24" i="58"/>
  <c r="AM35" i="55"/>
  <c r="AC130" i="47"/>
  <c r="AM32" i="55"/>
  <c r="AC137" i="47"/>
  <c r="AL30" i="55"/>
  <c r="AB138" i="47"/>
  <c r="S49" i="58"/>
  <c r="R181" i="58"/>
  <c r="R180" i="58"/>
  <c r="S52" i="58"/>
  <c r="R215" i="58"/>
  <c r="R214" i="58"/>
  <c r="S50" i="58"/>
  <c r="R192" i="58"/>
  <c r="R193" i="58"/>
  <c r="AE137" i="56"/>
  <c r="X87" i="47" s="1"/>
  <c r="AA136" i="47"/>
  <c r="AL43" i="55"/>
  <c r="AB135" i="47"/>
  <c r="AK42" i="55"/>
  <c r="AA134" i="47"/>
  <c r="AM33" i="55"/>
  <c r="AC127" i="47"/>
  <c r="R53" i="58" l="1"/>
  <c r="R203" i="58"/>
  <c r="R204" i="58"/>
  <c r="BI36" i="58"/>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A227" i="58"/>
  <c r="AA265" i="58" s="1"/>
  <c r="Q125" i="47" s="1"/>
  <c r="AB193" i="58"/>
  <c r="AC50" i="58"/>
  <c r="AB192" i="58"/>
  <c r="AC49" i="58"/>
  <c r="AB181" i="58"/>
  <c r="AB53" i="58"/>
  <c r="AB180" i="58"/>
  <c r="AC51" i="58"/>
  <c r="AB203" i="58"/>
  <c r="AB204" i="58"/>
  <c r="AB214" i="58"/>
  <c r="AC52" i="58"/>
  <c r="AB215" i="58"/>
  <c r="AA226" i="58"/>
  <c r="AA264" i="58" s="1"/>
  <c r="Q119" i="47" s="1"/>
  <c r="BN46" i="58" l="1" a="1"/>
  <c r="BN46" i="58" s="1"/>
  <c r="AZ46" i="58"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AE226" i="58" l="1"/>
  <c r="AE264" i="58" s="1"/>
  <c r="U119" i="47" s="1"/>
  <c r="AE227" i="58"/>
  <c r="AE265" i="58" s="1"/>
  <c r="U125" i="47" s="1"/>
  <c r="AG49" i="58"/>
  <c r="AF180" i="58"/>
  <c r="AF53" i="58"/>
  <c r="AF181" i="58"/>
  <c r="AF214" i="58"/>
  <c r="AG52" i="58"/>
  <c r="AF215" i="58"/>
  <c r="AF203" i="58"/>
  <c r="AF204" i="58"/>
  <c r="AG51" i="58"/>
  <c r="AF192" i="58"/>
  <c r="AG50" i="58"/>
  <c r="AF193" i="58"/>
  <c r="T137" i="57"/>
  <c r="AG192" i="58" l="1"/>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AC86" i="57"/>
  <c r="I86" i="57" s="1"/>
  <c r="AD27" i="57"/>
  <c r="AC109" i="57"/>
  <c r="I109" i="57" s="1"/>
  <c r="I56" i="57" l="1"/>
  <c r="J27" i="57"/>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AG86" i="57"/>
  <c r="M86" i="57" s="1"/>
  <c r="AG101" i="57"/>
  <c r="M101" i="57" s="1"/>
  <c r="M56" i="57" l="1"/>
  <c r="BL51" i="58"/>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E30" i="57" s="1"/>
  <c r="AG30" i="57" s="1"/>
  <c r="AF54" i="57" l="1"/>
  <c r="AF107" i="57"/>
  <c r="AF111" i="57" s="1"/>
  <c r="I30" i="57"/>
  <c r="I33" i="57" s="1"/>
  <c r="BN51" i="58"/>
  <c r="BM204" i="58"/>
  <c r="BM203" i="58"/>
  <c r="BN49" i="58"/>
  <c r="BM181" i="58"/>
  <c r="BM180" i="58"/>
  <c r="BL227" i="58"/>
  <c r="BL226" i="58"/>
  <c r="BM215" i="58"/>
  <c r="BM214" i="58"/>
  <c r="BN50" i="58"/>
  <c r="BM192" i="58"/>
  <c r="BM193" i="58"/>
  <c r="BN52" i="58"/>
  <c r="BM53" i="58"/>
  <c r="AC54" i="57"/>
  <c r="E45" i="57"/>
  <c r="AC162" i="57" l="1"/>
  <c r="AC163" i="57"/>
  <c r="AC161" i="57"/>
  <c r="AF163" i="57"/>
  <c r="AF161" i="57"/>
  <c r="AF162" i="57"/>
  <c r="AF150" i="57"/>
  <c r="L150" i="57" s="1"/>
  <c r="AF151" i="57"/>
  <c r="L151" i="57" s="1"/>
  <c r="AF149" i="57"/>
  <c r="AF58" i="57"/>
  <c r="AF59" i="57" s="1"/>
  <c r="AF60" i="57" s="1"/>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E162" i="57" l="1"/>
  <c r="AE163" i="57"/>
  <c r="AE161" i="57"/>
  <c r="AE150" i="57"/>
  <c r="AE151" i="57"/>
  <c r="AE149" i="57"/>
  <c r="AF61" i="57"/>
  <c r="AF183" i="57"/>
  <c r="L149" i="57"/>
  <c r="AE58" i="57"/>
  <c r="AE59" i="57" s="1"/>
  <c r="AE60" i="57" s="1"/>
  <c r="K151" i="57"/>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AD54" i="57"/>
  <c r="M30" i="57"/>
  <c r="M33" i="57" s="1"/>
  <c r="AD107" i="57"/>
  <c r="AD162" i="57" l="1"/>
  <c r="AD163" i="57"/>
  <c r="AD161" i="57"/>
  <c r="K150" i="57"/>
  <c r="I111" i="57"/>
  <c r="L255" i="57" s="1"/>
  <c r="AC150" i="57"/>
  <c r="AC151" i="57"/>
  <c r="AC149" i="57"/>
  <c r="AE61" i="57"/>
  <c r="AE183" i="57"/>
  <c r="K149"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AG107" i="57"/>
  <c r="M107" i="57" s="1"/>
  <c r="AG54" i="57"/>
  <c r="L254" i="57" l="1"/>
  <c r="L253" i="57"/>
  <c r="AG163" i="57"/>
  <c r="AG161" i="57"/>
  <c r="AG162" i="57"/>
  <c r="AD150" i="57"/>
  <c r="AD151" i="57"/>
  <c r="AD149"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H45" i="57"/>
  <c r="K255" i="57"/>
  <c r="K254" i="57"/>
  <c r="K253" i="57"/>
  <c r="M111" i="57" l="1"/>
  <c r="O253" i="57" s="1"/>
  <c r="AG150" i="57"/>
  <c r="AG151" i="57"/>
  <c r="AG149" i="57"/>
  <c r="M254" i="57"/>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4" i="57" l="1"/>
  <c r="O254" i="57"/>
  <c r="N255" i="57"/>
  <c r="O255" i="57"/>
  <c r="N253" i="57"/>
  <c r="BR226" i="58"/>
  <c r="AR264" i="58" s="1"/>
  <c r="AH119" i="47" s="1"/>
  <c r="AJ119" i="47" s="1"/>
  <c r="BR227" i="58"/>
  <c r="AR265" i="58" s="1"/>
  <c r="AH125" i="47" s="1"/>
  <c r="AJ125" i="47" s="1"/>
  <c r="M61" i="57"/>
  <c r="M59" i="57"/>
  <c r="M60" i="57" s="1"/>
  <c r="AC64" i="57" l="1"/>
  <c r="AF64" i="57" s="1"/>
  <c r="I64" i="57" l="1"/>
  <c r="AE64" i="57"/>
  <c r="AD64" i="57"/>
  <c r="J64" i="57" l="1"/>
  <c r="K64" i="57"/>
  <c r="L64" i="57"/>
  <c r="AG64" i="57"/>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23" i="57"/>
  <c r="AB123" i="57" s="1"/>
  <c r="R120" i="57"/>
  <c r="AB120" i="57" s="1"/>
  <c r="R124" i="57"/>
  <c r="AB124" i="57" s="1"/>
  <c r="R116" i="57"/>
  <c r="AB116" i="57" s="1"/>
  <c r="F168" i="57" l="1"/>
  <c r="Q168" i="57"/>
  <c r="AA156" i="57"/>
  <c r="G156" i="57" s="1"/>
  <c r="G193" i="57" s="1"/>
  <c r="R128" i="57"/>
  <c r="S73" i="57"/>
  <c r="I73" i="57" s="1"/>
  <c r="U73" i="57" l="1"/>
  <c r="U125" i="57" s="1"/>
  <c r="V73" i="57"/>
  <c r="T73" i="57"/>
  <c r="L73" i="57" s="1"/>
  <c r="R156" i="57"/>
  <c r="AB128" i="57"/>
  <c r="AA168" i="57"/>
  <c r="G168" i="57" s="1"/>
  <c r="S124" i="57"/>
  <c r="Q90" i="57"/>
  <c r="S123" i="57"/>
  <c r="R90" i="57"/>
  <c r="P90" i="57"/>
  <c r="U120" i="57" l="1"/>
  <c r="U124" i="57"/>
  <c r="U123" i="57"/>
  <c r="U116" i="57"/>
  <c r="V123" i="57"/>
  <c r="V120" i="57"/>
  <c r="V116" i="57"/>
  <c r="V125" i="57"/>
  <c r="V124"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28" i="57" l="1"/>
  <c r="U156" i="57" s="1"/>
  <c r="U168" i="57" s="1"/>
  <c r="V128" i="57"/>
  <c r="V156" i="57" s="1"/>
  <c r="W123" i="57"/>
  <c r="W124" i="57"/>
  <c r="W125" i="57"/>
  <c r="AB168" i="57"/>
  <c r="H168" i="57" s="1"/>
  <c r="V168" i="57" l="1"/>
  <c r="W120" i="57"/>
  <c r="S120" i="57"/>
  <c r="P85" i="57"/>
  <c r="Z85" i="57" s="1"/>
  <c r="P121" i="57" l="1"/>
  <c r="Z121" i="57" s="1"/>
  <c r="O85" i="57"/>
  <c r="Y85" i="57" s="1"/>
  <c r="T120" i="57"/>
  <c r="Q85" i="57"/>
  <c r="S116" i="57"/>
  <c r="S128" i="57" s="1"/>
  <c r="S156" i="57" s="1"/>
  <c r="Q121" i="57" l="1"/>
  <c r="AA121" i="57" s="1"/>
  <c r="AA85" i="57"/>
  <c r="O121" i="57"/>
  <c r="Y121" i="57" s="1"/>
  <c r="S168" i="57"/>
  <c r="W116" i="57"/>
  <c r="W128" i="57" s="1"/>
  <c r="W156" i="57" s="1"/>
  <c r="T116" i="57"/>
  <c r="T128" i="57" s="1"/>
  <c r="T156" i="57" s="1"/>
  <c r="T168" i="57" l="1"/>
  <c r="W168" i="57"/>
  <c r="I138" i="57" l="1"/>
  <c r="L138" i="57" l="1"/>
  <c r="J138" i="57"/>
  <c r="K138" i="57"/>
  <c r="I137" i="57"/>
  <c r="L137" i="57" l="1"/>
  <c r="J137" i="57"/>
  <c r="K137" i="57"/>
  <c r="M138" i="57"/>
  <c r="T150" i="57"/>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M137" i="57" l="1"/>
  <c r="K188" i="57"/>
  <c r="L188" i="57"/>
  <c r="K132" i="57"/>
  <c r="L132" i="57"/>
  <c r="K187" i="57"/>
  <c r="L187" i="57"/>
  <c r="J162" i="57"/>
  <c r="S161" i="57"/>
  <c r="I132" i="57"/>
  <c r="W161" i="57"/>
  <c r="M132" i="57"/>
  <c r="T149" i="57"/>
  <c r="J132" i="57"/>
  <c r="I150" i="57"/>
  <c r="I187" i="57" s="1"/>
  <c r="I162" i="57"/>
  <c r="I151" i="57"/>
  <c r="I188" i="57" s="1"/>
  <c r="I163" i="57"/>
  <c r="Z150" i="57"/>
  <c r="Y162" i="57"/>
  <c r="E162" i="57" s="1"/>
  <c r="Q149" i="57"/>
  <c r="AA149" i="57" s="1"/>
  <c r="AA132" i="57"/>
  <c r="G132" i="57" s="1"/>
  <c r="AA151" i="57"/>
  <c r="AA150" i="57"/>
  <c r="T161" i="57"/>
  <c r="Q161" i="57"/>
  <c r="AA161" i="57" s="1"/>
  <c r="G161" i="57" s="1"/>
  <c r="M150" i="57"/>
  <c r="M151" i="57"/>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J150" i="57"/>
  <c r="J187" i="57" s="1"/>
  <c r="I161" i="57"/>
  <c r="AG183" i="57"/>
  <c r="AB132" i="57"/>
  <c r="H132" i="57" s="1"/>
  <c r="Z132" i="57"/>
  <c r="F132" i="57" s="1"/>
  <c r="Y132" i="57"/>
  <c r="I149" i="57"/>
  <c r="I186" i="57" s="1"/>
  <c r="M187" i="57"/>
  <c r="F150" i="57"/>
  <c r="F187" i="57" s="1"/>
  <c r="G149" i="57"/>
  <c r="M188" i="57"/>
  <c r="G150" i="57"/>
  <c r="G187" i="57" s="1"/>
  <c r="G151" i="57"/>
  <c r="G188" i="57" s="1"/>
  <c r="AB150" i="57"/>
  <c r="H150" i="57" s="1"/>
  <c r="H187" i="57" s="1"/>
  <c r="Y150" i="57"/>
  <c r="AA183" i="57"/>
  <c r="Y151" i="57"/>
  <c r="AB151" i="57"/>
  <c r="H151" i="57" s="1"/>
  <c r="H188" i="57" s="1"/>
  <c r="P161" i="57"/>
  <c r="Z161" i="57" s="1"/>
  <c r="F161" i="57" s="1"/>
  <c r="P149" i="57"/>
  <c r="O161" i="57"/>
  <c r="Y161" i="57" s="1"/>
  <c r="E161" i="57" s="1"/>
  <c r="O149" i="57"/>
  <c r="P163" i="57"/>
  <c r="Z163" i="57" s="1"/>
  <c r="F163" i="57" s="1"/>
  <c r="P151" i="57"/>
  <c r="AC183" i="57"/>
  <c r="R161" i="57"/>
  <c r="AB161" i="57" s="1"/>
  <c r="H161" i="57" s="1"/>
  <c r="R149" i="57"/>
  <c r="K161" i="57" l="1"/>
  <c r="L161" i="57"/>
  <c r="K112" i="57"/>
  <c r="L186" i="57"/>
  <c r="AW200" i="57" s="1" a="1"/>
  <c r="AW200" i="57" s="1"/>
  <c r="L112" i="57"/>
  <c r="AD183" i="57"/>
  <c r="J149" i="57"/>
  <c r="J186" i="57" s="1"/>
  <c r="M161" i="57"/>
  <c r="I112" i="57"/>
  <c r="G112" i="57"/>
  <c r="G186" i="57"/>
  <c r="J151" i="57"/>
  <c r="J188" i="57" s="1"/>
  <c r="E188" i="57"/>
  <c r="E187" i="57"/>
  <c r="Z149" i="57"/>
  <c r="F149" i="57" s="1"/>
  <c r="Z183" i="57"/>
  <c r="Z151" i="57"/>
  <c r="Y149" i="57"/>
  <c r="AB149" i="57"/>
  <c r="H149" i="57" s="1"/>
  <c r="Y183" i="57"/>
  <c r="AB183" i="57"/>
  <c r="M149" i="57" l="1"/>
  <c r="M186" i="57" s="1"/>
  <c r="Q202" i="57"/>
  <c r="Q201" i="57"/>
  <c r="E112" i="57"/>
  <c r="J112" i="57"/>
  <c r="F151" i="57"/>
  <c r="F188" i="57" s="1"/>
  <c r="H186" i="57"/>
  <c r="H112" i="57"/>
  <c r="F186" i="57"/>
  <c r="E186" i="57"/>
  <c r="M112" i="57" l="1"/>
  <c r="AX200" i="57" a="1"/>
  <c r="AX200" i="57" s="1"/>
  <c r="AU219" i="57" a="1"/>
  <c r="AU219" i="57" s="1"/>
  <c r="Q200" i="57"/>
  <c r="F112" i="57"/>
  <c r="H193" i="57" l="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F125" i="57"/>
  <c r="H120" i="57"/>
  <c r="AC67" i="57"/>
  <c r="AF67" i="57" s="1"/>
  <c r="AC70" i="57"/>
  <c r="AF70" i="57" s="1"/>
  <c r="F121" i="57"/>
  <c r="H124" i="57"/>
  <c r="F128" i="57" l="1"/>
  <c r="AF69" i="57"/>
  <c r="AF68" i="57"/>
  <c r="AF82" i="57"/>
  <c r="AF87" i="57"/>
  <c r="AF90" i="57" s="1"/>
  <c r="AF125" i="57" s="1"/>
  <c r="AF77" i="57"/>
  <c r="I70" i="57"/>
  <c r="AE70" i="57"/>
  <c r="I67" i="57"/>
  <c r="AE67" i="57"/>
  <c r="G128" i="57"/>
  <c r="H128" i="57"/>
  <c r="AD67" i="57"/>
  <c r="AC82" i="57"/>
  <c r="AC87" i="57"/>
  <c r="AC77" i="57"/>
  <c r="AC68" i="57"/>
  <c r="I68" i="57" s="1"/>
  <c r="AD70" i="57"/>
  <c r="AC69" i="57"/>
  <c r="I69" i="57" s="1"/>
  <c r="J70" i="57" l="1"/>
  <c r="K70" i="57"/>
  <c r="L70" i="57"/>
  <c r="J67" i="57"/>
  <c r="K67" i="57"/>
  <c r="L67" i="57"/>
  <c r="AF123" i="57"/>
  <c r="AF120" i="57"/>
  <c r="AF116" i="57"/>
  <c r="AF124" i="57"/>
  <c r="AE69" i="57"/>
  <c r="AE68" i="57"/>
  <c r="AE82" i="57"/>
  <c r="AE87" i="57"/>
  <c r="AE90" i="57" s="1"/>
  <c r="AE125" i="57" s="1"/>
  <c r="AE77" i="57"/>
  <c r="I116" i="57"/>
  <c r="I120" i="57"/>
  <c r="I124" i="57"/>
  <c r="I123" i="57"/>
  <c r="I257" i="57"/>
  <c r="I256" i="57"/>
  <c r="I77" i="57"/>
  <c r="AC90" i="57"/>
  <c r="AC125" i="57" s="1"/>
  <c r="I87" i="57"/>
  <c r="I90" i="57" s="1"/>
  <c r="I125" i="57" s="1"/>
  <c r="I82" i="57"/>
  <c r="AD82" i="57"/>
  <c r="AG67" i="57"/>
  <c r="M67" i="57" s="1"/>
  <c r="AD87" i="57"/>
  <c r="AD77" i="57"/>
  <c r="AD68" i="57"/>
  <c r="AG70" i="57"/>
  <c r="M70" i="57" s="1"/>
  <c r="AD69" i="57"/>
  <c r="AC123" i="57"/>
  <c r="I258" i="57"/>
  <c r="AC116" i="57"/>
  <c r="AC120" i="57"/>
  <c r="AC124" i="57"/>
  <c r="J69" i="57" l="1"/>
  <c r="J116" i="57" s="1"/>
  <c r="K69" i="57"/>
  <c r="L69" i="57"/>
  <c r="J68" i="57"/>
  <c r="J123" i="57" s="1"/>
  <c r="K68" i="57"/>
  <c r="L68" i="57"/>
  <c r="L77" i="57"/>
  <c r="K77" i="57"/>
  <c r="K87" i="57"/>
  <c r="K90" i="57" s="1"/>
  <c r="K125" i="57" s="1"/>
  <c r="L87" i="57"/>
  <c r="L90" i="57" s="1"/>
  <c r="L125" i="57" s="1"/>
  <c r="K82" i="57"/>
  <c r="L82" i="57"/>
  <c r="AF128" i="57"/>
  <c r="AF156" i="57" s="1"/>
  <c r="AE123" i="57"/>
  <c r="AE120" i="57"/>
  <c r="AE116" i="57"/>
  <c r="AE124" i="57"/>
  <c r="I128" i="57"/>
  <c r="J77" i="57"/>
  <c r="AD90" i="57"/>
  <c r="AD125" i="57" s="1"/>
  <c r="J87" i="57"/>
  <c r="J90" i="57" s="1"/>
  <c r="J125" i="57" s="1"/>
  <c r="J82" i="57"/>
  <c r="AD116" i="57"/>
  <c r="AD124" i="57"/>
  <c r="AD120" i="57"/>
  <c r="AG68" i="57"/>
  <c r="M68" i="57" s="1"/>
  <c r="AG69" i="57"/>
  <c r="M69" i="57" s="1"/>
  <c r="AD123" i="57"/>
  <c r="AC128" i="57"/>
  <c r="AC156" i="57" s="1"/>
  <c r="AG77" i="57"/>
  <c r="AG82" i="57"/>
  <c r="AG87" i="57"/>
  <c r="J120" i="57" l="1"/>
  <c r="J124" i="57"/>
  <c r="I156" i="57"/>
  <c r="I193" i="57" s="1"/>
  <c r="AC168" i="57"/>
  <c r="L156" i="57"/>
  <c r="L193" i="57" s="1"/>
  <c r="AF168" i="57"/>
  <c r="L123" i="57"/>
  <c r="K123" i="57"/>
  <c r="L116" i="57"/>
  <c r="L124" i="57"/>
  <c r="L120" i="57"/>
  <c r="K120" i="57"/>
  <c r="K116" i="57"/>
  <c r="K124" i="57"/>
  <c r="AE128" i="57"/>
  <c r="AE156" i="57" s="1"/>
  <c r="M120" i="57"/>
  <c r="M124" i="57"/>
  <c r="M116" i="57"/>
  <c r="M123" i="57"/>
  <c r="AG90" i="57"/>
  <c r="AG125" i="57" s="1"/>
  <c r="M87" i="57"/>
  <c r="M90" i="57" s="1"/>
  <c r="M125" i="57" s="1"/>
  <c r="M77" i="57"/>
  <c r="M82" i="57"/>
  <c r="AD128" i="57"/>
  <c r="AD156" i="57" s="1"/>
  <c r="AG120" i="57"/>
  <c r="AG116" i="57"/>
  <c r="AG124" i="57"/>
  <c r="AG123" i="57"/>
  <c r="J128" i="57" l="1"/>
  <c r="J156" i="57"/>
  <c r="J193" i="57" s="1"/>
  <c r="AD168" i="57"/>
  <c r="I168" i="57"/>
  <c r="K156" i="57"/>
  <c r="K193" i="57" s="1"/>
  <c r="AE168" i="57"/>
  <c r="L128" i="57"/>
  <c r="K128" i="57"/>
  <c r="M128" i="57"/>
  <c r="AG128" i="57"/>
  <c r="AG156" i="57" s="1"/>
  <c r="M156" i="57" l="1"/>
  <c r="M193" i="57" s="1"/>
  <c r="AG168" i="57"/>
  <c r="L168" i="57"/>
  <c r="J168" i="57"/>
  <c r="K168" i="57"/>
  <c r="E63" i="58"/>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F112" i="47"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AF88" i="56" s="1"/>
  <c r="R123" i="56" a="1"/>
  <c r="R123" i="56" s="1"/>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T40" i="56"/>
  <c r="T47" i="56" s="1"/>
  <c r="T87" i="56" s="1"/>
  <c r="T46" i="56"/>
  <c r="T77" i="56" s="1"/>
  <c r="AB46" i="56"/>
  <c r="AB77" i="56" s="1"/>
  <c r="AB40" i="56"/>
  <c r="AB47" i="56" s="1"/>
  <c r="AB87" i="56" s="1"/>
  <c r="R47" i="56"/>
  <c r="R87" i="56" s="1"/>
  <c r="H40" i="56"/>
  <c r="H47" i="56" s="1"/>
  <c r="H46" i="56"/>
  <c r="S46" i="56"/>
  <c r="S77" i="56" s="1"/>
  <c r="AC39" i="56"/>
  <c r="AD39" i="56" s="1"/>
  <c r="AE39" i="56" s="1"/>
  <c r="AF39" i="56" s="1"/>
  <c r="AG39" i="56" s="1"/>
  <c r="AH39" i="56" s="1"/>
  <c r="S40" i="56"/>
  <c r="R93" i="56"/>
  <c r="AB93" i="56" s="1"/>
  <c r="L39" i="56" l="1"/>
  <c r="L46" i="56" s="1"/>
  <c r="R177" i="56" a="1"/>
  <c r="R177" i="56" s="1"/>
  <c r="G40" i="56"/>
  <c r="G47" i="56" s="1"/>
  <c r="G46" i="56"/>
  <c r="W46" i="56"/>
  <c r="W77" i="56" s="1"/>
  <c r="W40" i="56"/>
  <c r="W47" i="56" s="1"/>
  <c r="W87" i="56" s="1"/>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L40" i="56" l="1"/>
  <c r="L47" i="56" s="1"/>
  <c r="L87" i="56" s="1"/>
  <c r="N177" i="56" a="1"/>
  <c r="N177" i="56" s="1"/>
  <c r="P177" i="56" a="1"/>
  <c r="P177" i="56" s="1"/>
  <c r="Q177" i="56" s="1" a="1"/>
  <c r="Q177" i="56" s="1"/>
  <c r="L177" i="56" a="1"/>
  <c r="L177" i="56" s="1"/>
  <c r="M177" i="56" s="1" a="1"/>
  <c r="M177" i="56" s="1"/>
  <c r="AF40" i="56"/>
  <c r="AF47" i="56" s="1"/>
  <c r="AF87" i="56" s="1"/>
  <c r="AF46" i="56"/>
  <c r="AF77" i="56" s="1"/>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L103" i="56" l="1"/>
  <c r="AV177" i="56" a="1"/>
  <c r="AV177" i="56" s="1"/>
  <c r="N46" i="56"/>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AX122" i="56" l="1" a="1"/>
  <c r="AX122" i="56" s="1"/>
  <c r="J98" i="47"/>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L77" i="56"/>
  <c r="AD112" i="56" a="1"/>
  <c r="AD112" i="56" s="1"/>
  <c r="Y138" i="56" s="1"/>
  <c r="T88" i="47" s="1"/>
  <c r="J77" i="56"/>
  <c r="M93" i="56"/>
  <c r="M77" i="56" s="1"/>
  <c r="K93" i="56"/>
  <c r="S112" i="56" s="1" a="1"/>
  <c r="S112" i="56" s="1"/>
  <c r="N138" i="56" s="1"/>
  <c r="K88" i="47" s="1"/>
  <c r="AT187" i="56"/>
  <c r="AE98" i="47"/>
  <c r="V98" i="47" l="1"/>
  <c r="W122" i="56"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AL187" i="56"/>
  <c r="W98" i="47"/>
  <c r="AE112" i="56" a="1"/>
  <c r="AE112" i="56" s="1"/>
  <c r="Z138" i="56" s="1"/>
  <c r="U88" i="47" s="1"/>
  <c r="AN112" i="56" a="1"/>
  <c r="AN112" i="56" s="1"/>
  <c r="K77" i="56"/>
  <c r="N93" i="56"/>
  <c r="X122" i="56" l="1" a="1"/>
  <c r="X122" i="56" s="1"/>
  <c r="U148" i="56" s="1"/>
  <c r="AI122" i="56" a="1"/>
  <c r="AI122" i="56" s="1"/>
  <c r="AF148"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M187" i="56"/>
  <c r="X98" i="47"/>
  <c r="AF112" i="56" a="1"/>
  <c r="AF112" i="56" s="1"/>
  <c r="AB187" i="56"/>
  <c r="O98" i="47"/>
  <c r="AJ122" i="56" l="1" a="1"/>
  <c r="AJ122" i="56" s="1"/>
  <c r="AK122" i="56" s="1" a="1"/>
  <c r="AK122" i="56" s="1"/>
  <c r="AA122" i="56" a="1"/>
  <c r="AA122" i="56" s="1"/>
  <c r="Y122" i="56" a="1"/>
  <c r="Y122" i="56" s="1"/>
  <c r="V148" i="56" s="1"/>
  <c r="V112" i="56" a="1"/>
  <c r="V112" i="56" s="1"/>
  <c r="Q138" i="56" s="1"/>
  <c r="AM138" i="56"/>
  <c r="AF88" i="47" s="1"/>
  <c r="AY112" i="56" a="1"/>
  <c r="AY11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Z122" i="56" l="1" a="1"/>
  <c r="Z122" i="56" s="1"/>
  <c r="AC122" i="56" s="1" a="1"/>
  <c r="AC122" i="56" s="1"/>
  <c r="X148" i="56" s="1"/>
  <c r="AB122" i="56" a="1"/>
  <c r="AB122" i="56" s="1"/>
  <c r="AG148" i="56"/>
  <c r="AO187" i="56" s="1"/>
  <c r="R138" i="56"/>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AH148" i="56"/>
  <c r="AL122" i="56" a="1"/>
  <c r="AL122" i="56" s="1"/>
  <c r="W148" i="56" l="1"/>
  <c r="R98" i="47" s="1"/>
  <c r="T138" i="56"/>
  <c r="O88" i="47" s="1"/>
  <c r="Z98" i="47"/>
  <c r="AI148" i="56"/>
  <c r="AM122" i="56" a="1"/>
  <c r="AM122" i="56" s="1"/>
  <c r="AJ148" i="56" s="1"/>
  <c r="AA98" i="47"/>
  <c r="AP187" i="56"/>
  <c r="U138" i="56"/>
  <c r="P88" i="47" s="1"/>
  <c r="AA112" i="56" a="1"/>
  <c r="AA112" i="56" s="1"/>
  <c r="Y112" i="56" a="1"/>
  <c r="Y112" i="56" s="1"/>
  <c r="AH187" i="56"/>
  <c r="S98" i="47"/>
  <c r="AF187" i="56"/>
  <c r="AE138" i="56"/>
  <c r="X88" i="47" s="1"/>
  <c r="AI112" i="56" a="1"/>
  <c r="AI112" i="56" s="1"/>
  <c r="AE187" i="56" l="1"/>
  <c r="V138" i="56"/>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H35" i="56"/>
  <c r="G58" i="56"/>
  <c r="Z28" i="56"/>
  <c r="P32" i="56"/>
  <c r="G30" i="56"/>
  <c r="P30" i="56"/>
  <c r="G56" i="56"/>
  <c r="H33" i="56"/>
  <c r="H29" i="56"/>
  <c r="G52" i="56"/>
  <c r="H31" i="56"/>
  <c r="G54" i="56"/>
  <c r="AA29" i="56" l="1"/>
  <c r="AB29" i="56"/>
  <c r="V29" i="56"/>
  <c r="Z29" i="56"/>
  <c r="AB35" i="56"/>
  <c r="AA35" i="56"/>
  <c r="S35" i="56"/>
  <c r="AC35" i="56" s="1"/>
  <c r="T35" i="56"/>
  <c r="X35" i="56" s="1"/>
  <c r="Z35" i="56"/>
  <c r="Z34" i="56"/>
  <c r="H28" i="56"/>
  <c r="I28" i="56" s="1"/>
  <c r="T33" i="56"/>
  <c r="X33" i="56" s="1"/>
  <c r="AB33" i="56"/>
  <c r="Z33" i="56"/>
  <c r="S33" i="56"/>
  <c r="W33" i="56" s="1"/>
  <c r="Z31" i="56"/>
  <c r="AA33" i="56"/>
  <c r="AA31" i="56"/>
  <c r="AC29" i="56"/>
  <c r="R31" i="56"/>
  <c r="AB31" i="56" s="1"/>
  <c r="I33" i="56"/>
  <c r="I56" i="56" s="1"/>
  <c r="U35" i="56"/>
  <c r="AA34" i="56"/>
  <c r="R34" i="56"/>
  <c r="G99" i="56"/>
  <c r="G53" i="56"/>
  <c r="H30" i="56"/>
  <c r="Z32" i="56"/>
  <c r="Q32" i="56"/>
  <c r="S32" i="56" s="1"/>
  <c r="T32" i="56" s="1"/>
  <c r="U32" i="56" s="1"/>
  <c r="V32" i="56" s="1"/>
  <c r="W32" i="56" s="1"/>
  <c r="X32" i="56" s="1"/>
  <c r="I34" i="56"/>
  <c r="I57" i="56" s="1"/>
  <c r="I55" i="56"/>
  <c r="Z30" i="56"/>
  <c r="Q30" i="56"/>
  <c r="I35" i="56"/>
  <c r="I58" i="56" s="1"/>
  <c r="G100" i="56"/>
  <c r="AB28" i="56"/>
  <c r="S28" i="56"/>
  <c r="V28" i="56"/>
  <c r="T28" i="56"/>
  <c r="G101" i="56"/>
  <c r="G97" i="56"/>
  <c r="G95" i="56"/>
  <c r="I31" i="56"/>
  <c r="I54" i="56" s="1"/>
  <c r="G94" i="56"/>
  <c r="I29" i="56"/>
  <c r="I52" i="56" s="1"/>
  <c r="G36" i="56"/>
  <c r="G59" i="56" s="1"/>
  <c r="W35" i="56"/>
  <c r="G98" i="56"/>
  <c r="AD29" i="56" l="1"/>
  <c r="AE29" i="56" s="1"/>
  <c r="AD35" i="56"/>
  <c r="AE35" i="56" s="1"/>
  <c r="AF35" i="56" s="1"/>
  <c r="AG35" i="56" s="1"/>
  <c r="AH35" i="56" s="1"/>
  <c r="N35" i="56" s="1"/>
  <c r="J29" i="56"/>
  <c r="J35" i="56"/>
  <c r="K35" i="56"/>
  <c r="AC33" i="56"/>
  <c r="H36" i="56"/>
  <c r="U33" i="56"/>
  <c r="T31" i="56"/>
  <c r="V31" i="56"/>
  <c r="S31" i="56"/>
  <c r="AC31" i="56" s="1"/>
  <c r="AD31" i="56" s="1"/>
  <c r="AE31" i="56" s="1"/>
  <c r="AF31" i="56" s="1"/>
  <c r="AG31" i="56" s="1"/>
  <c r="AH31" i="56" s="1"/>
  <c r="G84" i="56"/>
  <c r="G83" i="56"/>
  <c r="AA30" i="56"/>
  <c r="R30" i="56"/>
  <c r="Q36" i="56"/>
  <c r="G79" i="56"/>
  <c r="AA32" i="56"/>
  <c r="S34" i="56"/>
  <c r="V34" i="56"/>
  <c r="AB34" i="56"/>
  <c r="T34" i="56"/>
  <c r="AC28" i="56"/>
  <c r="AD28" i="56" s="1"/>
  <c r="AE28" i="56" s="1"/>
  <c r="AF28" i="56" s="1"/>
  <c r="AG28" i="56" s="1"/>
  <c r="AH28" i="56" s="1"/>
  <c r="W28" i="56"/>
  <c r="G81" i="56"/>
  <c r="I30" i="56"/>
  <c r="I53" i="56" s="1"/>
  <c r="I51" i="56"/>
  <c r="X28" i="56"/>
  <c r="U28" i="56"/>
  <c r="G78" i="56"/>
  <c r="G96" i="56"/>
  <c r="G85" i="56"/>
  <c r="M35" i="56"/>
  <c r="G82" i="56"/>
  <c r="G102" i="56"/>
  <c r="G86" i="56"/>
  <c r="J28" i="56" l="1"/>
  <c r="L35" i="56"/>
  <c r="L58" i="56" s="1"/>
  <c r="AD33" i="56"/>
  <c r="J31" i="56"/>
  <c r="AF29" i="56"/>
  <c r="K29" i="56"/>
  <c r="L31" i="56"/>
  <c r="L54" i="56" s="1"/>
  <c r="X31" i="56"/>
  <c r="W31" i="56"/>
  <c r="M31" i="56" s="1"/>
  <c r="U31" i="56"/>
  <c r="K31" i="56" s="1"/>
  <c r="I36" i="56"/>
  <c r="I59" i="56" s="1"/>
  <c r="I102" i="56" s="1"/>
  <c r="N31" i="56"/>
  <c r="K28" i="56"/>
  <c r="M28" i="56"/>
  <c r="L28" i="56"/>
  <c r="L51" i="56" s="1"/>
  <c r="X34" i="56"/>
  <c r="U34" i="56"/>
  <c r="AB32" i="56"/>
  <c r="AB30" i="56"/>
  <c r="S30" i="56"/>
  <c r="V30" i="56"/>
  <c r="T30" i="56"/>
  <c r="R36" i="56"/>
  <c r="G80" i="56"/>
  <c r="G89" i="56" s="1"/>
  <c r="AC34" i="56"/>
  <c r="W34" i="56"/>
  <c r="AA36" i="56"/>
  <c r="AD34" i="56" l="1"/>
  <c r="AG29" i="56"/>
  <c r="L29" i="56"/>
  <c r="L52" i="56" s="1"/>
  <c r="AE33" i="56"/>
  <c r="J33" i="56"/>
  <c r="I86" i="56"/>
  <c r="N28" i="56"/>
  <c r="AC32" i="56"/>
  <c r="X30" i="56"/>
  <c r="U30" i="56"/>
  <c r="T36" i="56"/>
  <c r="V36" i="56"/>
  <c r="W30" i="56"/>
  <c r="AC30" i="56"/>
  <c r="AD30" i="56" s="1"/>
  <c r="AE30" i="56" s="1"/>
  <c r="AF30" i="56" s="1"/>
  <c r="AG30" i="56" s="1"/>
  <c r="AH30" i="56" s="1"/>
  <c r="S36" i="56"/>
  <c r="J30" i="56"/>
  <c r="AB36" i="56"/>
  <c r="AE34" i="56" l="1"/>
  <c r="J34" i="56"/>
  <c r="J36" i="56" s="1"/>
  <c r="AD32" i="56"/>
  <c r="AE32" i="56" s="1"/>
  <c r="AF32" i="56" s="1"/>
  <c r="AG32" i="56" s="1"/>
  <c r="AH32" i="56" s="1"/>
  <c r="N32" i="56" s="1"/>
  <c r="AF33" i="56"/>
  <c r="K33" i="56"/>
  <c r="AH29" i="56"/>
  <c r="N29" i="56" s="1"/>
  <c r="M29" i="56"/>
  <c r="AD36" i="56"/>
  <c r="M30" i="56"/>
  <c r="W36" i="56"/>
  <c r="K32" i="56"/>
  <c r="K30" i="56"/>
  <c r="U36" i="56"/>
  <c r="X36" i="56"/>
  <c r="M32" i="56"/>
  <c r="L30" i="56"/>
  <c r="L53" i="56" s="1"/>
  <c r="AC36" i="56"/>
  <c r="AG33" i="56" l="1"/>
  <c r="L33" i="56"/>
  <c r="L56" i="56" s="1"/>
  <c r="L32" i="56"/>
  <c r="L55" i="56" s="1"/>
  <c r="AF34" i="56"/>
  <c r="K34" i="56"/>
  <c r="K36" i="56" s="1"/>
  <c r="N30" i="56"/>
  <c r="AE36" i="56"/>
  <c r="AG34" i="56" l="1"/>
  <c r="L34" i="56"/>
  <c r="AF36" i="56"/>
  <c r="AH33" i="56"/>
  <c r="N33" i="56" s="1"/>
  <c r="M33" i="56"/>
  <c r="L57" i="56" l="1"/>
  <c r="L36" i="56"/>
  <c r="L59" i="56" s="1"/>
  <c r="AH34" i="56"/>
  <c r="M34" i="56"/>
  <c r="M36" i="56" s="1"/>
  <c r="AG36" i="56"/>
  <c r="N179" i="56"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L86" i="56" l="1"/>
  <c r="L102" i="56"/>
  <c r="N34" i="56"/>
  <c r="N36" i="56" s="1"/>
  <c r="AH36" i="56"/>
  <c r="R178" i="56"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U184" i="56" a="1"/>
  <c r="U184" i="56" s="1"/>
  <c r="H100" i="56"/>
  <c r="I100" i="56" s="1"/>
  <c r="J100" i="56" s="1"/>
  <c r="P84" i="56"/>
  <c r="P100" i="56" s="1"/>
  <c r="Z100" i="56" s="1"/>
  <c r="Z57" i="56"/>
  <c r="Z84" i="56" s="1"/>
  <c r="AG182" i="56" a="1"/>
  <c r="AG182" i="56" s="1"/>
  <c r="AI182" i="56" a="1"/>
  <c r="AI182" i="56" s="1"/>
  <c r="Z56" i="56"/>
  <c r="Z83" i="56" s="1"/>
  <c r="P83" i="56"/>
  <c r="P99" i="56" s="1"/>
  <c r="Z99"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6" i="56" l="1"/>
  <c r="AO78" i="56" s="1"/>
  <c r="T57" i="56"/>
  <c r="T84" i="56" s="1"/>
  <c r="T100" i="56" s="1"/>
  <c r="T54" i="56"/>
  <c r="T81" i="56" s="1"/>
  <c r="T97" i="56" s="1"/>
  <c r="R82" i="56"/>
  <c r="R98" i="56" s="1"/>
  <c r="AB98" i="56" s="1"/>
  <c r="AB57" i="56"/>
  <c r="AB84" i="56" s="1"/>
  <c r="AB89" i="56" s="1"/>
  <c r="T52" i="56"/>
  <c r="T79" i="56" s="1"/>
  <c r="T95" i="56" s="1"/>
  <c r="R85" i="56"/>
  <c r="R101" i="56" s="1"/>
  <c r="AB101" i="56" s="1"/>
  <c r="T51" i="56"/>
  <c r="T78" i="56" s="1"/>
  <c r="T94"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O146" i="56" s="1"/>
  <c r="L96" i="47" s="1"/>
  <c r="AX116" i="56" a="1"/>
  <c r="AX116" i="56" s="1"/>
  <c r="AM142" i="56" s="1"/>
  <c r="AF92" i="47"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Y116" i="56" a="1"/>
  <c r="AY116" i="56" s="1"/>
  <c r="AD114" i="56" a="1"/>
  <c r="AD114" i="56" s="1"/>
  <c r="Y140" i="56" s="1"/>
  <c r="T90" i="47" s="1"/>
  <c r="J79" i="56"/>
  <c r="M95" i="56"/>
  <c r="M79" i="56" s="1"/>
  <c r="K95" i="56"/>
  <c r="S114" i="56" s="1" a="1"/>
  <c r="S114" i="56" s="1"/>
  <c r="N140" i="56" s="1"/>
  <c r="K90" i="47" s="1"/>
  <c r="U120" i="56" l="1" a="1"/>
  <c r="U120" i="56" s="1"/>
  <c r="P146" i="56" s="1"/>
  <c r="M96" i="47" s="1"/>
  <c r="AO120" i="56" a="1"/>
  <c r="AO120" i="56" s="1"/>
  <c r="AP120" i="56" s="1" a="1"/>
  <c r="AP120" i="56" s="1"/>
  <c r="AQ120" i="56" s="1" a="1"/>
  <c r="AQ120" i="56" s="1"/>
  <c r="AR120" i="56" s="1" a="1"/>
  <c r="AR120" i="56" s="1"/>
  <c r="AS120" i="56" s="1" a="1"/>
  <c r="AS120" i="56" s="1"/>
  <c r="AL146" i="56" s="1"/>
  <c r="AE96" i="47"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AD147"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P142" i="56"/>
  <c r="M92" i="47" s="1"/>
  <c r="V116" i="56" a="1"/>
  <c r="V116" i="56" s="1"/>
  <c r="V120" i="56" l="1" a="1"/>
  <c r="V120" i="56" s="1"/>
  <c r="W120" i="56" s="1" a="1"/>
  <c r="W120" i="56" s="1"/>
  <c r="AT120" i="56" a="1"/>
  <c r="AT120" i="56" s="1"/>
  <c r="AU120" i="56" s="1" a="1"/>
  <c r="AU120" i="56" s="1"/>
  <c r="AV120" i="56" s="1" a="1"/>
  <c r="AV120" i="56" s="1"/>
  <c r="AW120" i="56" s="1" a="1"/>
  <c r="AW120" i="56" s="1"/>
  <c r="AH121" i="56" a="1"/>
  <c r="AH121" i="56" s="1"/>
  <c r="AE147" i="56" s="1"/>
  <c r="U114" i="56" a="1"/>
  <c r="U114" i="56" s="1"/>
  <c r="P140" i="56" s="1"/>
  <c r="M90" i="47" s="1"/>
  <c r="AI117" i="56" a="1"/>
  <c r="AI117" i="56" s="1"/>
  <c r="AF143" i="56" s="1"/>
  <c r="Y93" i="47"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V114" i="56" a="1"/>
  <c r="V114" i="56" s="1"/>
  <c r="K89" i="56"/>
  <c r="AW77" i="56"/>
  <c r="AW80" i="56" s="1"/>
  <c r="AW81" i="56" s="1"/>
  <c r="AF114" i="56" a="1"/>
  <c r="AF114" i="56" s="1"/>
  <c r="W97" i="47"/>
  <c r="AL186" i="56"/>
  <c r="AF118" i="56" a="1"/>
  <c r="AF118" i="56" s="1"/>
  <c r="AO114" i="56" a="1"/>
  <c r="AO114" i="56" s="1"/>
  <c r="AP114" i="56" s="1" a="1"/>
  <c r="AP114" i="56" s="1"/>
  <c r="AQ114" i="56" s="1" a="1"/>
  <c r="AQ114" i="56" s="1"/>
  <c r="AR114" i="56" s="1" a="1"/>
  <c r="AR114" i="56" s="1"/>
  <c r="AS114" i="56" s="1" a="1"/>
  <c r="AS114" i="56" s="1"/>
  <c r="AD139" i="56"/>
  <c r="W89" i="47" s="1"/>
  <c r="AH113" i="56" a="1"/>
  <c r="AH113" i="56" s="1"/>
  <c r="AE97" i="47"/>
  <c r="AT186" i="56"/>
  <c r="R139" i="56"/>
  <c r="Q139" i="56"/>
  <c r="S139" i="56"/>
  <c r="N89" i="47" s="1"/>
  <c r="W113" i="56" a="1"/>
  <c r="W113" i="56" s="1"/>
  <c r="Q142" i="56"/>
  <c r="S142" i="56"/>
  <c r="N92" i="47" s="1"/>
  <c r="R142" i="56"/>
  <c r="W116" i="56" a="1"/>
  <c r="W116"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R146" i="56" l="1"/>
  <c r="Q146" i="56"/>
  <c r="S146" i="56"/>
  <c r="N96" i="47" s="1"/>
  <c r="AJ117" i="56" a="1"/>
  <c r="AJ117" i="56" s="1"/>
  <c r="AI121" i="56" a="1"/>
  <c r="AI121" i="56" s="1"/>
  <c r="AJ121" i="56" s="1" a="1"/>
  <c r="AJ121" i="56" s="1"/>
  <c r="AI116" i="56" a="1"/>
  <c r="AI116" i="56" s="1"/>
  <c r="AF142" i="56" s="1"/>
  <c r="Y92" i="47"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AF147" i="56" l="1"/>
  <c r="Y97" i="47" s="1"/>
  <c r="W118" i="56"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AN186" i="56" l="1"/>
  <c r="X118" i="56"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R78" i="57" s="1"/>
  <c r="S78" i="57" s="1"/>
  <c r="P80" i="57"/>
  <c r="Z78" i="57"/>
  <c r="T78" i="57" l="1"/>
  <c r="S115" i="57"/>
  <c r="S80" i="57"/>
  <c r="S117" i="57" s="1"/>
  <c r="O117" i="57"/>
  <c r="Y117" i="57" s="1"/>
  <c r="F78" i="57"/>
  <c r="P115" i="57"/>
  <c r="Z80" i="57"/>
  <c r="P117" i="57"/>
  <c r="Q115" i="57"/>
  <c r="Q80" i="57"/>
  <c r="AA78" i="57"/>
  <c r="G78" i="57" s="1"/>
  <c r="U78" i="57" l="1"/>
  <c r="T80" i="57"/>
  <c r="T117" i="57" s="1"/>
  <c r="T115" i="57"/>
  <c r="P127" i="57"/>
  <c r="Z115" i="57"/>
  <c r="F80" i="57"/>
  <c r="F117" i="57" s="1"/>
  <c r="F129" i="57" s="1"/>
  <c r="F115" i="57"/>
  <c r="F127" i="57" s="1"/>
  <c r="R80" i="57"/>
  <c r="AB78" i="57"/>
  <c r="R115" i="57"/>
  <c r="AA115" i="57"/>
  <c r="Q127" i="57"/>
  <c r="Z117" i="57"/>
  <c r="Z129" i="57" s="1"/>
  <c r="P129" i="57"/>
  <c r="Q117" i="57"/>
  <c r="AA80" i="57"/>
  <c r="G80" i="57"/>
  <c r="G117" i="57" s="1"/>
  <c r="G129" i="57" s="1"/>
  <c r="G115" i="57"/>
  <c r="H78" i="57" l="1"/>
  <c r="H115" i="57" s="1"/>
  <c r="AC78" i="57"/>
  <c r="V78" i="57"/>
  <c r="U80" i="57"/>
  <c r="U117" i="57" s="1"/>
  <c r="U115" i="57"/>
  <c r="P154" i="57"/>
  <c r="Z127" i="57"/>
  <c r="AB115" i="57"/>
  <c r="Q154" i="57"/>
  <c r="AA127" i="57"/>
  <c r="G127" i="57"/>
  <c r="K256" i="57" s="1"/>
  <c r="Q129" i="57"/>
  <c r="AA117" i="57"/>
  <c r="AA129" i="57" s="1"/>
  <c r="P152" i="57"/>
  <c r="P155" i="57"/>
  <c r="P153" i="57"/>
  <c r="R117" i="57"/>
  <c r="AB80" i="57"/>
  <c r="H80" i="57" l="1"/>
  <c r="H117" i="57" s="1"/>
  <c r="AD78" i="57"/>
  <c r="I78" i="57"/>
  <c r="AC80" i="57"/>
  <c r="AC117" i="57" s="1"/>
  <c r="AC115" i="57"/>
  <c r="W78" i="57"/>
  <c r="V80" i="57"/>
  <c r="V117" i="57" s="1"/>
  <c r="V115" i="57"/>
  <c r="Z154" i="57"/>
  <c r="F154" i="57" s="1"/>
  <c r="F191" i="57" s="1"/>
  <c r="P166" i="57"/>
  <c r="Z153" i="57"/>
  <c r="F153" i="57" s="1"/>
  <c r="F190" i="57" s="1"/>
  <c r="P165" i="57"/>
  <c r="P167" i="57"/>
  <c r="Z155" i="57"/>
  <c r="F155" i="57" s="1"/>
  <c r="F192" i="57" s="1"/>
  <c r="P164" i="57"/>
  <c r="Z152" i="57"/>
  <c r="F152" i="57" s="1"/>
  <c r="F189" i="57" s="1"/>
  <c r="Q166" i="57"/>
  <c r="AA154" i="57"/>
  <c r="G154" i="57" s="1"/>
  <c r="G191" i="57" s="1"/>
  <c r="Q152" i="57"/>
  <c r="Q153" i="57"/>
  <c r="Q155" i="57"/>
  <c r="K258" i="57"/>
  <c r="K257" i="57"/>
  <c r="AB117" i="57"/>
  <c r="I115" i="57" l="1"/>
  <c r="I80" i="57"/>
  <c r="I117" i="57" s="1"/>
  <c r="W80" i="57"/>
  <c r="W117" i="57" s="1"/>
  <c r="W115" i="57"/>
  <c r="AE78" i="57"/>
  <c r="L78" i="57"/>
  <c r="J78" i="57"/>
  <c r="K78" i="57"/>
  <c r="AD115" i="57"/>
  <c r="AD80" i="57"/>
  <c r="AD117" i="57" s="1"/>
  <c r="Z166" i="57"/>
  <c r="F166" i="57" s="1"/>
  <c r="P169" i="57"/>
  <c r="Z164" i="57"/>
  <c r="F164" i="57" s="1"/>
  <c r="Z167" i="57"/>
  <c r="F167" i="57" s="1"/>
  <c r="Z165" i="57"/>
  <c r="F165" i="57" s="1"/>
  <c r="Q167" i="57"/>
  <c r="AA155" i="57"/>
  <c r="G155" i="57" s="1"/>
  <c r="G192" i="57" s="1"/>
  <c r="Q164" i="57"/>
  <c r="AA152" i="57"/>
  <c r="G152" i="57" s="1"/>
  <c r="G189" i="57" s="1"/>
  <c r="Q165" i="57"/>
  <c r="AA153" i="57"/>
  <c r="G153" i="57" s="1"/>
  <c r="G190" i="57" s="1"/>
  <c r="AA166" i="57"/>
  <c r="G166" i="57" s="1"/>
  <c r="P178" i="57" l="1"/>
  <c r="Z178" i="57" s="1"/>
  <c r="P170" i="57"/>
  <c r="J115" i="57"/>
  <c r="J80" i="57"/>
  <c r="J117" i="57" s="1"/>
  <c r="K80" i="57"/>
  <c r="K117" i="57" s="1"/>
  <c r="K115" i="57"/>
  <c r="L80" i="57"/>
  <c r="L117" i="57" s="1"/>
  <c r="L115" i="57"/>
  <c r="AF78" i="57"/>
  <c r="AE80" i="57"/>
  <c r="AE117" i="57" s="1"/>
  <c r="AE115" i="57"/>
  <c r="AA165" i="57"/>
  <c r="G165" i="57" s="1"/>
  <c r="AA167" i="57"/>
  <c r="G167" i="57" s="1"/>
  <c r="AA164" i="57"/>
  <c r="G164" i="57" s="1"/>
  <c r="Q169" i="57"/>
  <c r="F169" i="57"/>
  <c r="Z169" i="57"/>
  <c r="Z170" i="57" s="1"/>
  <c r="P174" i="57"/>
  <c r="Z174" i="57" s="1"/>
  <c r="P172" i="57"/>
  <c r="P179" i="57"/>
  <c r="Z179" i="57" s="1"/>
  <c r="P173" i="57"/>
  <c r="Z173" i="57" s="1"/>
  <c r="P177" i="57"/>
  <c r="Z177" i="57" s="1"/>
  <c r="P175" i="57"/>
  <c r="Z175" i="57" s="1"/>
  <c r="P176" i="57"/>
  <c r="Z176" i="57" s="1"/>
  <c r="Q178" i="57" l="1"/>
  <c r="AA178" i="57" s="1"/>
  <c r="Q170" i="57"/>
  <c r="AG78" i="57"/>
  <c r="AF80" i="57"/>
  <c r="AF117" i="57" s="1"/>
  <c r="AF115" i="57"/>
  <c r="Q175" i="57"/>
  <c r="AA175" i="57" s="1"/>
  <c r="AA169" i="57"/>
  <c r="AA170" i="57" s="1"/>
  <c r="F174" i="57"/>
  <c r="F173" i="57"/>
  <c r="F172" i="57"/>
  <c r="F179" i="57"/>
  <c r="F177" i="57"/>
  <c r="F176" i="57"/>
  <c r="Q172" i="57"/>
  <c r="Q174" i="57"/>
  <c r="AA174" i="57" s="1"/>
  <c r="Q179" i="57"/>
  <c r="AA179" i="57" s="1"/>
  <c r="Q173" i="57"/>
  <c r="AA173" i="57" s="1"/>
  <c r="Q177" i="57"/>
  <c r="AA177" i="57" s="1"/>
  <c r="Q176" i="57"/>
  <c r="AA176" i="57" s="1"/>
  <c r="G169" i="57"/>
  <c r="G175" i="57" s="1"/>
  <c r="Z172" i="57"/>
  <c r="P181" i="57"/>
  <c r="F178" i="57"/>
  <c r="F175" i="57"/>
  <c r="M78" i="57" l="1"/>
  <c r="AG80" i="57"/>
  <c r="AG117" i="57" s="1"/>
  <c r="AG115" i="57"/>
  <c r="G178" i="57"/>
  <c r="F181" i="57"/>
  <c r="F182" i="57" s="1"/>
  <c r="AA172" i="57"/>
  <c r="Q181" i="57"/>
  <c r="P182" i="57"/>
  <c r="Z182" i="57" s="1"/>
  <c r="Z181" i="57"/>
  <c r="G173" i="57"/>
  <c r="G179" i="57"/>
  <c r="G174" i="57"/>
  <c r="G172" i="57"/>
  <c r="G177" i="57"/>
  <c r="G176" i="57"/>
  <c r="M115" i="57" l="1"/>
  <c r="M80" i="57"/>
  <c r="M117" i="57" s="1"/>
  <c r="G181" i="57"/>
  <c r="G182" i="57" s="1"/>
  <c r="AA181" i="57"/>
  <c r="Q182" i="57"/>
  <c r="AA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Y166" i="57"/>
  <c r="E166" i="57" s="1"/>
  <c r="O90" i="57"/>
  <c r="Y128" i="57" l="1"/>
  <c r="Y124" i="57"/>
  <c r="E193" i="57"/>
  <c r="Q207" i="57" s="1"/>
  <c r="Y156" i="57"/>
  <c r="O168" i="57"/>
  <c r="O125" i="57"/>
  <c r="Y90" i="57"/>
  <c r="Y125" i="57" l="1"/>
  <c r="Y129" i="57" s="1"/>
  <c r="O129" i="57"/>
  <c r="Y168" i="57"/>
  <c r="E168" i="57" s="1"/>
  <c r="O152" i="57" l="1"/>
  <c r="O153" i="57"/>
  <c r="O155" i="57"/>
  <c r="Y153" i="57" l="1"/>
  <c r="O165" i="57"/>
  <c r="E190" i="57"/>
  <c r="Q204" i="57" s="1"/>
  <c r="Y155" i="57"/>
  <c r="E192" i="57"/>
  <c r="Q206" i="57" s="1"/>
  <c r="O167" i="57"/>
  <c r="O164" i="57"/>
  <c r="E189" i="57"/>
  <c r="Q203" i="57" s="1"/>
  <c r="Y152" i="57"/>
  <c r="O169" i="57" l="1"/>
  <c r="Y164" i="57"/>
  <c r="E164" i="57" s="1"/>
  <c r="Y167" i="57"/>
  <c r="E167" i="57" s="1"/>
  <c r="Y165" i="57"/>
  <c r="E165" i="57" s="1"/>
  <c r="O178" i="57" l="1"/>
  <c r="Y178" i="57" s="1"/>
  <c r="O170" i="57"/>
  <c r="O176" i="57"/>
  <c r="Y176" i="57" s="1"/>
  <c r="O175" i="57"/>
  <c r="Y175" i="57" s="1"/>
  <c r="Y169" i="57"/>
  <c r="Y170" i="57" s="1"/>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X265" i="57" a="1"/>
  <c r="X265" i="57" s="1"/>
  <c r="X264" i="57" a="1"/>
  <c r="X264" i="57" s="1"/>
  <c r="X263" i="57" a="1"/>
  <c r="X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V261" i="57" a="1"/>
  <c r="V261" i="57" s="1"/>
  <c r="W261" i="57" s="1" a="1"/>
  <c r="W261" i="57" s="1"/>
  <c r="T261" i="57" a="1"/>
  <c r="T261" i="57" s="1"/>
  <c r="S261" i="57" s="1" a="1"/>
  <c r="S261" i="57" s="1"/>
  <c r="V260" i="57" a="1"/>
  <c r="V260" i="57" s="1"/>
  <c r="W260" i="57" s="1" a="1"/>
  <c r="W260" i="57" s="1"/>
  <c r="T260" i="57" a="1"/>
  <c r="T260" i="57" s="1"/>
  <c r="S260" i="57" s="1" a="1"/>
  <c r="S260"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1" i="57" l="1"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T261" i="57" a="1"/>
  <c r="AT261" i="57" s="1"/>
  <c r="AV261" i="57" s="1" a="1"/>
  <c r="AV261" i="57" s="1"/>
  <c r="AU261" i="57" a="1"/>
  <c r="AU261"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2" i="57" l="1"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V201" i="57" l="1" a="1"/>
  <c r="AV201" i="57" s="1"/>
  <c r="AW201" i="57" s="1" a="1"/>
  <c r="AW201" i="57" s="1"/>
  <c r="AX201" i="57" s="1" a="1"/>
  <c r="AX201" i="57" s="1"/>
  <c r="AV207" i="57" a="1"/>
  <c r="AV207" i="57" s="1"/>
  <c r="AW207" i="57" s="1" a="1"/>
  <c r="AW207" i="57" s="1"/>
  <c r="AX207" i="57" s="1" a="1"/>
  <c r="AX207" i="57" s="1"/>
  <c r="AU202" i="57"/>
  <c r="U236" i="57" a="1"/>
  <c r="U236" i="57" s="1"/>
  <c r="U238" i="57" a="1"/>
  <c r="U238" i="57" s="1"/>
  <c r="U237" i="57" a="1"/>
  <c r="U237"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U239" i="57" a="1"/>
  <c r="U239" i="57" s="1"/>
  <c r="AJ233" i="57" a="1"/>
  <c r="AJ233" i="57" s="1"/>
  <c r="AK233" i="57" s="1" a="1"/>
  <c r="AK233" i="57" s="1"/>
  <c r="AU207" i="57" l="1"/>
  <c r="AU201"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U234" i="57" l="1"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N223" i="57" l="1" a="1"/>
  <c r="N223" i="57" s="1"/>
  <c r="O223" i="57" s="1" a="1"/>
  <c r="O223" i="57" s="1"/>
  <c r="H106" i="47" s="1"/>
  <c r="N225" i="57" a="1"/>
  <c r="N225" i="57" s="1"/>
  <c r="G107" i="47" s="1"/>
  <c r="N224" i="57" a="1"/>
  <c r="N224" i="57" s="1"/>
  <c r="Q223" i="57" a="1"/>
  <c r="Q223" i="57" s="1"/>
  <c r="J106" i="47" s="1"/>
  <c r="P223" i="57" a="1"/>
  <c r="P223" i="57" s="1"/>
  <c r="I106" i="47" s="1"/>
  <c r="Q225" i="57" a="1"/>
  <c r="Q225" i="57" s="1"/>
  <c r="J107" i="47" s="1"/>
  <c r="P225" i="57" a="1"/>
  <c r="P225" i="57" s="1"/>
  <c r="I107" i="47" s="1"/>
  <c r="R221" i="57" a="1"/>
  <c r="R221" i="57" s="1"/>
  <c r="Q221" i="57" a="1"/>
  <c r="Q221" i="57" s="1"/>
  <c r="J101" i="47" s="1"/>
  <c r="P221" i="57" a="1"/>
  <c r="P221" i="57" s="1"/>
  <c r="I101" i="47" s="1"/>
  <c r="N221" i="57" a="1"/>
  <c r="N221"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1" i="57" a="1"/>
  <c r="AC221" i="57" s="1"/>
  <c r="AP221" i="57" a="1"/>
  <c r="AP221" i="57" s="1"/>
  <c r="AC220" i="57" a="1"/>
  <c r="AC220" i="57" s="1"/>
  <c r="AP220" i="57" a="1"/>
  <c r="AP220" i="57" s="1"/>
  <c r="AC219" i="57" a="1"/>
  <c r="AC219" i="57" s="1"/>
  <c r="AP226" i="57" a="1"/>
  <c r="AP226" i="57" s="1"/>
  <c r="AQ226" i="57" a="1"/>
  <c r="AQ226" i="57" s="1"/>
  <c r="AP219" i="57" a="1"/>
  <c r="AP219" i="57" s="1"/>
  <c r="AQ221" i="57" a="1"/>
  <c r="AQ221" i="57" s="1"/>
  <c r="AQ219" i="57" a="1"/>
  <c r="AQ219" i="57" s="1"/>
  <c r="AQ220" i="57" a="1"/>
  <c r="AQ220" i="57" s="1"/>
  <c r="G104" i="47" l="1"/>
  <c r="O222" i="57" a="1"/>
  <c r="O222" i="57" s="1"/>
  <c r="H104" i="47" s="1"/>
  <c r="S220" i="57" a="1"/>
  <c r="S220" i="57" s="1"/>
  <c r="K102" i="47"/>
  <c r="T102" i="47"/>
  <c r="AD220" i="57" a="1"/>
  <c r="AD220" i="57" s="1"/>
  <c r="AD102" i="47"/>
  <c r="AD100" i="47"/>
  <c r="AD105" i="47"/>
  <c r="AD226" i="57" a="1"/>
  <c r="AD226" i="57" s="1"/>
  <c r="T105" i="47"/>
  <c r="AD221" i="57" a="1"/>
  <c r="AD221" i="57" s="1"/>
  <c r="T101" i="47"/>
  <c r="AD101" i="47"/>
  <c r="O221" i="57" a="1"/>
  <c r="O221" i="57" s="1"/>
  <c r="H101" i="47" s="1"/>
  <c r="G101" i="47"/>
  <c r="G102" i="47"/>
  <c r="O220" i="57" a="1"/>
  <c r="O220" i="57" s="1"/>
  <c r="H102" i="47" s="1"/>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U226" i="57" l="1"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U219" i="57" a="1"/>
  <c r="U219" i="57" s="1"/>
  <c r="T219" i="57" a="1"/>
  <c r="T219" i="57" s="1"/>
  <c r="V219" i="57" a="1"/>
  <c r="V219" i="57" s="1"/>
  <c r="L100" i="47"/>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AH220" i="57" l="1" a="1"/>
  <c r="AH220" i="57" s="1"/>
  <c r="V102" i="47"/>
  <c r="W226" i="57" a="1"/>
  <c r="W226" i="57" s="1"/>
  <c r="M105" i="47"/>
  <c r="AH219" i="57" a="1"/>
  <c r="AH219" i="57" s="1"/>
  <c r="V100" i="47"/>
  <c r="AH221" i="57" a="1"/>
  <c r="AH221" i="57" s="1"/>
  <c r="V101" i="47"/>
  <c r="M100" i="47"/>
  <c r="W219" i="57" a="1"/>
  <c r="W219" i="57" s="1"/>
  <c r="W220" i="57" a="1"/>
  <c r="W220" i="57" s="1"/>
  <c r="M102" i="47"/>
  <c r="M101" i="47"/>
  <c r="W221" i="57" a="1"/>
  <c r="W221" i="57" s="1"/>
  <c r="AH226" i="57" a="1"/>
  <c r="AH226" i="57" s="1"/>
  <c r="V105" i="47"/>
  <c r="AI221" i="57" l="1" a="1"/>
  <c r="AI221" i="57" s="1"/>
  <c r="W101" i="47"/>
  <c r="W100" i="47"/>
  <c r="AI219" i="57" a="1"/>
  <c r="AI219" i="57" s="1"/>
  <c r="X220" i="57" a="1"/>
  <c r="X220" i="57" s="1"/>
  <c r="N102" i="47"/>
  <c r="N105" i="47"/>
  <c r="X226" i="57" a="1"/>
  <c r="X226" i="57" s="1"/>
  <c r="N100" i="47"/>
  <c r="X219" i="57" a="1"/>
  <c r="X219" i="57" s="1"/>
  <c r="AI220" i="57" a="1"/>
  <c r="AI220" i="57" s="1"/>
  <c r="W102" i="47"/>
  <c r="N101" i="47"/>
  <c r="X221" i="57" a="1"/>
  <c r="X221" i="57" s="1"/>
  <c r="AI226" i="57" a="1"/>
  <c r="AI226" i="57" s="1"/>
  <c r="W105" i="47"/>
  <c r="O105" i="47" l="1"/>
  <c r="Y226" i="57" a="1"/>
  <c r="Y226" i="57" s="1"/>
  <c r="Y220" i="57" a="1"/>
  <c r="Y220" i="57" s="1"/>
  <c r="O102" i="47"/>
  <c r="X102" i="47"/>
  <c r="AJ220" i="57" a="1"/>
  <c r="AJ220" i="57" s="1"/>
  <c r="X100" i="47"/>
  <c r="AJ219" i="57" a="1"/>
  <c r="AJ219" i="57" s="1"/>
  <c r="AJ226" i="57" a="1"/>
  <c r="AJ226" i="57" s="1"/>
  <c r="X105" i="47"/>
  <c r="O101" i="47"/>
  <c r="Y221" i="57" a="1"/>
  <c r="Y221" i="57" s="1"/>
  <c r="O100" i="47"/>
  <c r="Y219" i="57" a="1"/>
  <c r="Y219" i="57" s="1"/>
  <c r="X101" i="47"/>
  <c r="AJ221" i="57" a="1"/>
  <c r="AJ221" i="57" s="1"/>
  <c r="AK220" i="57" l="1" a="1"/>
  <c r="AK220" i="57" s="1"/>
  <c r="Y102" i="47"/>
  <c r="AK226" i="57" a="1"/>
  <c r="AK226" i="57" s="1"/>
  <c r="Y105" i="47"/>
  <c r="AK221" i="57" a="1"/>
  <c r="AK221" i="57" s="1"/>
  <c r="Y101" i="47"/>
  <c r="AK219" i="57" a="1"/>
  <c r="AK219" i="57" s="1"/>
  <c r="Y100" i="47"/>
  <c r="P101" i="47"/>
  <c r="Z221" i="57" a="1"/>
  <c r="Z221" i="57" s="1"/>
  <c r="P102" i="47"/>
  <c r="Z220" i="57" a="1"/>
  <c r="Z220" i="57" s="1"/>
  <c r="P105" i="47"/>
  <c r="Z226" i="57" a="1"/>
  <c r="Z226" i="57" s="1"/>
  <c r="P100" i="47"/>
  <c r="Z219" i="57" a="1"/>
  <c r="Z219" i="57" s="1"/>
  <c r="Q102" i="47" l="1"/>
  <c r="AA220" i="57" a="1"/>
  <c r="AA220" i="57" s="1"/>
  <c r="AL226" i="57" a="1"/>
  <c r="AL226" i="57" s="1"/>
  <c r="Z105" i="47"/>
  <c r="Q101" i="47"/>
  <c r="AA221" i="57" a="1"/>
  <c r="AA221" i="57" s="1"/>
  <c r="Z100" i="47"/>
  <c r="AL219" i="57" a="1"/>
  <c r="AL219" i="57" s="1"/>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AA100" i="47"/>
  <c r="AM219" i="57" a="1"/>
  <c r="AM219" i="57" s="1"/>
  <c r="AN219" i="57" a="1"/>
  <c r="AN219" i="57" s="1"/>
  <c r="AB220" i="57" a="1"/>
  <c r="AB220" i="57" s="1"/>
  <c r="S102" i="47" s="1"/>
  <c r="R102" i="47"/>
  <c r="AA102" i="47"/>
  <c r="AN220" i="57" a="1"/>
  <c r="AN220" i="57" s="1"/>
  <c r="AM220" i="57" a="1"/>
  <c r="AM220" i="57" s="1"/>
  <c r="R100" i="47"/>
  <c r="AB219" i="57" a="1"/>
  <c r="AB219" i="57" s="1"/>
  <c r="S100" i="47" s="1"/>
  <c r="AB226" i="57" a="1"/>
  <c r="AB226" i="57" s="1"/>
  <c r="S105" i="47" s="1"/>
  <c r="R105" i="47"/>
  <c r="AM221" i="57" a="1"/>
  <c r="AM221" i="57" s="1"/>
  <c r="AA101" i="47"/>
  <c r="AN221" i="57" a="1"/>
  <c r="AN221" i="57" s="1"/>
  <c r="AO219" i="57" l="1" a="1"/>
  <c r="AO219" i="57" s="1"/>
  <c r="AC100" i="47" s="1"/>
  <c r="AB100" i="47"/>
  <c r="AB102" i="47"/>
  <c r="AO220" i="57" a="1"/>
  <c r="AO220" i="57" s="1"/>
  <c r="AC102" i="47" s="1"/>
  <c r="AO226" i="57" a="1"/>
  <c r="AO226" i="57" s="1"/>
  <c r="AC105" i="47" s="1"/>
  <c r="AB105" i="47"/>
  <c r="AB101" i="47"/>
  <c r="AO221" i="57" a="1"/>
  <c r="AO221" i="57" s="1"/>
  <c r="AC101" i="47" s="1"/>
  <c r="AS219" i="57" a="1"/>
  <c r="AS219" i="57" s="1"/>
  <c r="AT219" i="57" s="1" a="1"/>
  <c r="AT219" i="57" s="1"/>
  <c r="AS220" i="57" a="1"/>
  <c r="AS220" i="57" s="1"/>
  <c r="AS221" i="57" a="1"/>
  <c r="AS221" i="57" s="1"/>
  <c r="AS226" i="57" a="1"/>
  <c r="AS226" i="57" s="1"/>
  <c r="AR226" i="57" s="1"/>
  <c r="AE105" i="47" s="1"/>
  <c r="AF100" i="47" l="1"/>
  <c r="AR219" i="57"/>
  <c r="AE100" i="47" s="1"/>
  <c r="AH100" i="47"/>
  <c r="AJ100" i="47" s="1"/>
  <c r="AG100" i="47"/>
  <c r="AF102" i="47"/>
  <c r="AR220" i="57"/>
  <c r="AE102" i="47" s="1"/>
  <c r="AT220" i="57" a="1"/>
  <c r="AT220" i="57" s="1"/>
  <c r="AR221" i="57"/>
  <c r="AE101" i="47" s="1"/>
  <c r="AF101" i="47"/>
  <c r="AT221" i="57" a="1"/>
  <c r="AT221" i="57" s="1"/>
  <c r="AF105" i="47"/>
  <c r="AT226" i="57" a="1"/>
  <c r="AT226" i="57" s="1"/>
  <c r="AU220" i="57" l="1" a="1"/>
  <c r="AU220" i="57" s="1"/>
  <c r="AH102" i="47" s="1"/>
  <c r="AJ102" i="47" s="1"/>
  <c r="AG102" i="47"/>
  <c r="AG105" i="47"/>
  <c r="AU226" i="57" a="1"/>
  <c r="AU226" i="57" s="1"/>
  <c r="AH105" i="47" s="1"/>
  <c r="AJ105" i="47" s="1"/>
  <c r="AG101" i="47"/>
  <c r="AU221" i="57" a="1"/>
  <c r="AU221" i="57" s="1"/>
  <c r="AH101" i="47" s="1"/>
  <c r="AJ101" i="47" s="1"/>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 r="M168" i="57" l="1"/>
  <c r="AB83" i="57"/>
  <c r="H83" i="57" s="1"/>
  <c r="R119" i="57"/>
  <c r="AB119" i="57" s="1"/>
  <c r="R85" i="57"/>
  <c r="AB85" i="57" s="1"/>
  <c r="S83" i="57"/>
  <c r="T83" i="57" s="1"/>
  <c r="AD83" i="57" s="1"/>
  <c r="H85" i="57" l="1"/>
  <c r="H121" i="57" s="1"/>
  <c r="H129" i="57" s="1"/>
  <c r="H119" i="57"/>
  <c r="H127" i="57" s="1"/>
  <c r="U83" i="57"/>
  <c r="U85" i="57" s="1"/>
  <c r="U121" i="57" s="1"/>
  <c r="U129" i="57" s="1"/>
  <c r="J83" i="57"/>
  <c r="L83" i="57"/>
  <c r="K83" i="57"/>
  <c r="AD85" i="57"/>
  <c r="AD121" i="57" s="1"/>
  <c r="AD129" i="57" s="1"/>
  <c r="AD119" i="57"/>
  <c r="AD127" i="57" s="1"/>
  <c r="AD154" i="57" s="1"/>
  <c r="S119" i="57"/>
  <c r="S127" i="57" s="1"/>
  <c r="S154" i="57" s="1"/>
  <c r="S166" i="57" s="1"/>
  <c r="S85" i="57"/>
  <c r="S121" i="57" s="1"/>
  <c r="S129" i="57" s="1"/>
  <c r="R121" i="57"/>
  <c r="T85" i="57"/>
  <c r="T121" i="57" s="1"/>
  <c r="T129" i="57" s="1"/>
  <c r="T119" i="57"/>
  <c r="T127" i="57" s="1"/>
  <c r="T154" i="57" s="1"/>
  <c r="T166" i="57" s="1"/>
  <c r="AC83" i="57"/>
  <c r="R127" i="57"/>
  <c r="U119" i="57"/>
  <c r="U127" i="57" s="1"/>
  <c r="U154" i="57" s="1"/>
  <c r="U166" i="57" s="1"/>
  <c r="J154" i="57" l="1"/>
  <c r="J191" i="57" s="1"/>
  <c r="AP224" i="57" s="1" a="1"/>
  <c r="AP224" i="57" s="1"/>
  <c r="AD166" i="57"/>
  <c r="K166" i="57" s="1"/>
  <c r="AE83" i="57"/>
  <c r="V83" i="57"/>
  <c r="S155" i="57"/>
  <c r="S167" i="57" s="1"/>
  <c r="S153" i="57"/>
  <c r="S165" i="57" s="1"/>
  <c r="S152" i="57"/>
  <c r="I83" i="57"/>
  <c r="AC85" i="57"/>
  <c r="L119" i="57"/>
  <c r="L127" i="57" s="1"/>
  <c r="L85" i="57"/>
  <c r="L121" i="57" s="1"/>
  <c r="L129" i="57" s="1"/>
  <c r="U153" i="57"/>
  <c r="U165" i="57" s="1"/>
  <c r="U155" i="57"/>
  <c r="U167" i="57" s="1"/>
  <c r="U152" i="57"/>
  <c r="U164" i="57" s="1"/>
  <c r="AB127" i="57"/>
  <c r="R154" i="57"/>
  <c r="J85" i="57"/>
  <c r="J121" i="57" s="1"/>
  <c r="J129" i="57" s="1"/>
  <c r="J119" i="57"/>
  <c r="AB121" i="57"/>
  <c r="AB129" i="57" s="1"/>
  <c r="R129" i="57"/>
  <c r="AD155" i="57"/>
  <c r="AD167" i="57" s="1"/>
  <c r="AD152" i="57"/>
  <c r="AD164" i="57" s="1"/>
  <c r="AD153" i="57"/>
  <c r="AD165" i="57" s="1"/>
  <c r="K85" i="57"/>
  <c r="K121" i="57" s="1"/>
  <c r="K129" i="57" s="1"/>
  <c r="K119" i="57"/>
  <c r="K127" i="57" s="1"/>
  <c r="T155" i="57"/>
  <c r="T167" i="57" s="1"/>
  <c r="T153" i="57"/>
  <c r="T165" i="57" s="1"/>
  <c r="T152" i="57"/>
  <c r="T164" i="57" s="1"/>
  <c r="AQ224" i="57" l="1" a="1"/>
  <c r="AQ224" i="57" s="1"/>
  <c r="L166" i="57"/>
  <c r="J166" i="57"/>
  <c r="AT205" i="57" a="1"/>
  <c r="AT205" i="57" s="1"/>
  <c r="AD169" i="57"/>
  <c r="AD175" i="57" s="1"/>
  <c r="S164" i="57"/>
  <c r="S169" i="57" s="1"/>
  <c r="J167" i="57"/>
  <c r="K167" i="57"/>
  <c r="L167" i="57"/>
  <c r="J153" i="57"/>
  <c r="J190" i="57" s="1"/>
  <c r="AQ223" i="57" s="1" a="1"/>
  <c r="AQ223" i="57" s="1"/>
  <c r="J152" i="57"/>
  <c r="J189" i="57" s="1"/>
  <c r="AQ222" i="57" s="1" a="1"/>
  <c r="AQ222" i="57" s="1"/>
  <c r="K165" i="57"/>
  <c r="L165" i="57"/>
  <c r="J165" i="57"/>
  <c r="J155" i="57"/>
  <c r="J192" i="57" s="1"/>
  <c r="AT206" i="57" s="1" a="1"/>
  <c r="AT206" i="57" s="1"/>
  <c r="L164" i="57"/>
  <c r="J164" i="57"/>
  <c r="K164" i="57"/>
  <c r="AF83" i="57"/>
  <c r="V119" i="57"/>
  <c r="V127" i="57" s="1"/>
  <c r="V154" i="57" s="1"/>
  <c r="V166" i="57" s="1"/>
  <c r="W83" i="57"/>
  <c r="V85" i="57"/>
  <c r="V121" i="57" s="1"/>
  <c r="V129" i="57" s="1"/>
  <c r="AE119" i="57"/>
  <c r="AE127" i="57" s="1"/>
  <c r="AE154" i="57" s="1"/>
  <c r="AE85" i="57"/>
  <c r="AE121" i="57" s="1"/>
  <c r="AE129" i="57" s="1"/>
  <c r="J127" i="57"/>
  <c r="M257" i="57" s="1"/>
  <c r="I85" i="57"/>
  <c r="R166" i="57"/>
  <c r="AB154" i="57"/>
  <c r="H154" i="57" s="1"/>
  <c r="H191" i="57" s="1"/>
  <c r="AC100" i="57"/>
  <c r="AC121" i="57" s="1"/>
  <c r="AC129" i="57" s="1"/>
  <c r="I98" i="57"/>
  <c r="I100" i="57" s="1"/>
  <c r="U169" i="57"/>
  <c r="AD103" i="47"/>
  <c r="R155" i="57"/>
  <c r="R153" i="57"/>
  <c r="R152" i="57"/>
  <c r="T169" i="57"/>
  <c r="AC119" i="57"/>
  <c r="AC127" i="57" s="1"/>
  <c r="AC154" i="57" s="1"/>
  <c r="I154" i="57" l="1"/>
  <c r="I191" i="57" s="1"/>
  <c r="AH205" i="57" s="1" a="1"/>
  <c r="AH205" i="57" s="1"/>
  <c r="AI205" i="57" s="1" a="1"/>
  <c r="AI205" i="57" s="1"/>
  <c r="AJ205" i="57" s="1" a="1"/>
  <c r="AJ205" i="57" s="1"/>
  <c r="AK205" i="57" s="1" a="1"/>
  <c r="AK205" i="57" s="1"/>
  <c r="AL205" i="57" s="1" a="1"/>
  <c r="AL205" i="57" s="1"/>
  <c r="AC166" i="57"/>
  <c r="AD176" i="57"/>
  <c r="K154" i="57"/>
  <c r="K191" i="57" s="1"/>
  <c r="AV205" i="57" s="1" a="1"/>
  <c r="AV205" i="57" s="1"/>
  <c r="AU205" i="57" s="1"/>
  <c r="AE166" i="57"/>
  <c r="AD172" i="57"/>
  <c r="AD174" i="57"/>
  <c r="AD170" i="57"/>
  <c r="AD173" i="57"/>
  <c r="AD179" i="57"/>
  <c r="AD177" i="57"/>
  <c r="AD178" i="57"/>
  <c r="AQ225" i="57" a="1"/>
  <c r="AQ225" i="57" s="1"/>
  <c r="AD107" i="47" s="1"/>
  <c r="AT204" i="57" a="1"/>
  <c r="AT204" i="57" s="1"/>
  <c r="AP225" i="57" a="1"/>
  <c r="AP225" i="57" s="1"/>
  <c r="AP223" i="57" a="1"/>
  <c r="AP223" i="57" s="1"/>
  <c r="K169" i="57"/>
  <c r="K175" i="57" s="1"/>
  <c r="L169" i="57"/>
  <c r="L176" i="57" s="1"/>
  <c r="AP222" i="57" a="1"/>
  <c r="AP222" i="57" s="1"/>
  <c r="AT203" i="57" a="1"/>
  <c r="AT203" i="57" s="1"/>
  <c r="J169" i="57"/>
  <c r="J175" i="57" s="1"/>
  <c r="U178" i="57"/>
  <c r="U170" i="57"/>
  <c r="T176" i="57"/>
  <c r="T170" i="57"/>
  <c r="S175" i="57"/>
  <c r="AI175" i="57" s="1"/>
  <c r="S170" i="57"/>
  <c r="AE152" i="57"/>
  <c r="AE153" i="57"/>
  <c r="AE155" i="57"/>
  <c r="AS224" i="57" a="1"/>
  <c r="AS224" i="57" s="1"/>
  <c r="V153" i="57"/>
  <c r="V165" i="57" s="1"/>
  <c r="V152" i="57"/>
  <c r="V164" i="57" s="1"/>
  <c r="V155" i="57"/>
  <c r="V167" i="57" s="1"/>
  <c r="W85" i="57"/>
  <c r="W121" i="57" s="1"/>
  <c r="W129" i="57" s="1"/>
  <c r="W119" i="57"/>
  <c r="W127" i="57" s="1"/>
  <c r="W154" i="57" s="1"/>
  <c r="W166" i="57" s="1"/>
  <c r="AG83" i="57"/>
  <c r="AF85" i="57"/>
  <c r="AF121" i="57" s="1"/>
  <c r="AF129" i="57" s="1"/>
  <c r="AF119" i="57"/>
  <c r="AF127" i="57" s="1"/>
  <c r="AF154" i="57" s="1"/>
  <c r="U176" i="57"/>
  <c r="T178" i="57"/>
  <c r="U175" i="57"/>
  <c r="AC153" i="57"/>
  <c r="AC152" i="57"/>
  <c r="AC155" i="57"/>
  <c r="S178" i="57"/>
  <c r="AI178" i="57" s="1"/>
  <c r="W205" i="57" a="1"/>
  <c r="W205" i="57" s="1"/>
  <c r="R224" i="57" a="1"/>
  <c r="R224" i="57" s="1"/>
  <c r="K103" i="47" s="1"/>
  <c r="AB166" i="57"/>
  <c r="H166" i="57" s="1"/>
  <c r="S179" i="57"/>
  <c r="AI179" i="57" s="1"/>
  <c r="S173" i="57"/>
  <c r="S174" i="57"/>
  <c r="S172" i="57"/>
  <c r="S177" i="57"/>
  <c r="AI177" i="57" s="1"/>
  <c r="R164" i="57"/>
  <c r="AB152" i="57"/>
  <c r="H152" i="57" s="1"/>
  <c r="H189" i="57" s="1"/>
  <c r="R165" i="57"/>
  <c r="AB153" i="57"/>
  <c r="H153" i="57" s="1"/>
  <c r="H190" i="57" s="1"/>
  <c r="U179" i="57"/>
  <c r="U173" i="57"/>
  <c r="U174" i="57"/>
  <c r="U172" i="57"/>
  <c r="U177" i="57"/>
  <c r="R167" i="57"/>
  <c r="AB155" i="57"/>
  <c r="H155" i="57" s="1"/>
  <c r="H192" i="57" s="1"/>
  <c r="AD104" i="47"/>
  <c r="AD106" i="47"/>
  <c r="I119" i="57"/>
  <c r="I121" i="57"/>
  <c r="I129" i="57" s="1"/>
  <c r="T174" i="57"/>
  <c r="T172" i="57"/>
  <c r="T173" i="57"/>
  <c r="T179" i="57"/>
  <c r="T177" i="57"/>
  <c r="T175" i="57"/>
  <c r="S176" i="57"/>
  <c r="AI176" i="57" s="1"/>
  <c r="M256" i="57"/>
  <c r="M258" i="57"/>
  <c r="X205" i="57" l="1" a="1"/>
  <c r="X205" i="57" s="1"/>
  <c r="Y205" i="57" s="1" a="1"/>
  <c r="Y205" i="57" s="1"/>
  <c r="Z205" i="57" s="1" a="1"/>
  <c r="Z205" i="57" s="1"/>
  <c r="AA205" i="57" s="1" a="1"/>
  <c r="AA205" i="57" s="1"/>
  <c r="AB205" i="57" s="1" a="1"/>
  <c r="AB205" i="57" s="1"/>
  <c r="AC205" i="57" s="1" a="1"/>
  <c r="AC205" i="57" s="1"/>
  <c r="AD205" i="57" s="1" a="1"/>
  <c r="AD205" i="57" s="1"/>
  <c r="AF205" i="57" s="1" a="1"/>
  <c r="AF205" i="57" s="1"/>
  <c r="AC224" i="57" a="1"/>
  <c r="AC224" i="57" s="1"/>
  <c r="T103" i="47" s="1"/>
  <c r="K176" i="57"/>
  <c r="AD181" i="57"/>
  <c r="AD182" i="57" s="1"/>
  <c r="I153" i="57"/>
  <c r="I190" i="57" s="1"/>
  <c r="AH204" i="57" s="1" a="1"/>
  <c r="AH204" i="57" s="1"/>
  <c r="AI204" i="57" s="1" a="1"/>
  <c r="AI204" i="57" s="1"/>
  <c r="AJ204" i="57" s="1" a="1"/>
  <c r="AJ204" i="57" s="1"/>
  <c r="AK204" i="57" s="1" a="1"/>
  <c r="AK204" i="57" s="1"/>
  <c r="AL204" i="57" s="1" a="1"/>
  <c r="AL204" i="57" s="1"/>
  <c r="AC165" i="57"/>
  <c r="K152" i="57"/>
  <c r="K189" i="57" s="1"/>
  <c r="AV203" i="57" s="1" a="1"/>
  <c r="AV203" i="57" s="1"/>
  <c r="AU203" i="57" s="1"/>
  <c r="AE164" i="57"/>
  <c r="L154" i="57"/>
  <c r="L191" i="57" s="1"/>
  <c r="AW205" i="57" s="1" a="1"/>
  <c r="AW205" i="57" s="1"/>
  <c r="AF166" i="57"/>
  <c r="I155" i="57"/>
  <c r="I192" i="57" s="1"/>
  <c r="AH206" i="57" s="1" a="1"/>
  <c r="AH206" i="57" s="1"/>
  <c r="AI206" i="57" s="1" a="1"/>
  <c r="AI206" i="57" s="1"/>
  <c r="AJ206" i="57" s="1" a="1"/>
  <c r="AJ206" i="57" s="1"/>
  <c r="AK206" i="57" s="1" a="1"/>
  <c r="AK206" i="57" s="1"/>
  <c r="AL206" i="57" s="1" a="1"/>
  <c r="AL206" i="57" s="1"/>
  <c r="AC167" i="57"/>
  <c r="K155" i="57"/>
  <c r="K192" i="57" s="1"/>
  <c r="AV206" i="57" s="1" a="1"/>
  <c r="AV206" i="57" s="1"/>
  <c r="AU206" i="57" s="1"/>
  <c r="AE167" i="57"/>
  <c r="I166" i="57"/>
  <c r="I152" i="57"/>
  <c r="I189" i="57" s="1"/>
  <c r="AC164" i="57"/>
  <c r="K153" i="57"/>
  <c r="K190" i="57" s="1"/>
  <c r="AV204" i="57" s="1" a="1"/>
  <c r="AV204" i="57" s="1"/>
  <c r="AU204" i="57" s="1"/>
  <c r="AE165" i="57"/>
  <c r="L173" i="57"/>
  <c r="L172" i="57"/>
  <c r="L179" i="57"/>
  <c r="L174" i="57"/>
  <c r="L177" i="57"/>
  <c r="J176" i="57"/>
  <c r="J179" i="57"/>
  <c r="J172" i="57"/>
  <c r="J174" i="57"/>
  <c r="J173" i="57"/>
  <c r="J177" i="57"/>
  <c r="J178" i="57"/>
  <c r="L178" i="57"/>
  <c r="L175" i="57"/>
  <c r="K178" i="57"/>
  <c r="K179" i="57"/>
  <c r="K174" i="57"/>
  <c r="K173" i="57"/>
  <c r="K172" i="57"/>
  <c r="K177" i="57"/>
  <c r="S224" i="57" a="1"/>
  <c r="S224" i="57" s="1"/>
  <c r="L103" i="47" s="1"/>
  <c r="AF153" i="57"/>
  <c r="AF152" i="57"/>
  <c r="AF155" i="57"/>
  <c r="W155" i="57"/>
  <c r="W167" i="57" s="1"/>
  <c r="W152" i="57"/>
  <c r="W164" i="57" s="1"/>
  <c r="W153" i="57"/>
  <c r="W165" i="57" s="1"/>
  <c r="V169" i="57"/>
  <c r="V170" i="57" s="1"/>
  <c r="AF103" i="47"/>
  <c r="AR224" i="57"/>
  <c r="AE103" i="47" s="1"/>
  <c r="AG85" i="57"/>
  <c r="AG121" i="57" s="1"/>
  <c r="AG129" i="57" s="1"/>
  <c r="M83" i="57"/>
  <c r="AG119" i="57"/>
  <c r="AG127" i="57" s="1"/>
  <c r="AG154" i="57" s="1"/>
  <c r="AI180" i="57"/>
  <c r="AK175" i="57" s="1"/>
  <c r="AL175" i="57" s="1"/>
  <c r="S181" i="57"/>
  <c r="S182" i="57" s="1"/>
  <c r="U181" i="57"/>
  <c r="U182" i="57" s="1"/>
  <c r="AM205" i="57" a="1"/>
  <c r="AM205" i="57" s="1"/>
  <c r="AO205" i="57" s="1" a="1"/>
  <c r="AO205" i="57" s="1"/>
  <c r="AN205" i="57" a="1"/>
  <c r="AN205" i="57" s="1"/>
  <c r="W206" i="57" a="1"/>
  <c r="W206" i="57" s="1"/>
  <c r="R225" i="57" a="1"/>
  <c r="R225" i="57" s="1"/>
  <c r="K107" i="4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AB167" i="57"/>
  <c r="H167" i="57" s="1"/>
  <c r="X238" i="57" a="1"/>
  <c r="X238" i="57" s="1"/>
  <c r="Y238" i="57" s="1" a="1"/>
  <c r="Y238" i="57" s="1"/>
  <c r="Z238" i="57" s="1" a="1"/>
  <c r="Z238" i="57" s="1"/>
  <c r="V238" i="57" a="1"/>
  <c r="V238" i="57" s="1"/>
  <c r="W238" i="57" s="1" a="1"/>
  <c r="W238" i="57" s="1"/>
  <c r="R169" i="57"/>
  <c r="AB164" i="57"/>
  <c r="T181" i="57"/>
  <c r="T182" i="57" s="1"/>
  <c r="I127" i="57"/>
  <c r="L257" i="57" s="1"/>
  <c r="W204" i="57" a="1"/>
  <c r="W204" i="57" s="1"/>
  <c r="R223" i="57" a="1"/>
  <c r="R223" i="57" s="1"/>
  <c r="K106" i="47" s="1"/>
  <c r="AH203" i="57" a="1"/>
  <c r="AH203" i="57" s="1"/>
  <c r="AI203" i="57" s="1" a="1"/>
  <c r="AI203" i="57" s="1"/>
  <c r="AJ203" i="57" s="1" a="1"/>
  <c r="AJ203" i="57" s="1"/>
  <c r="AK203" i="57" s="1" a="1"/>
  <c r="AK203" i="57" s="1"/>
  <c r="AL203" i="57" s="1" a="1"/>
  <c r="AL203" i="57" s="1"/>
  <c r="AC222" i="57" a="1"/>
  <c r="AC222" i="57" s="1"/>
  <c r="T104" i="47" s="1"/>
  <c r="AB165" i="57"/>
  <c r="H165" i="57" s="1"/>
  <c r="AC223" i="57" l="1" a="1"/>
  <c r="AC223" i="57" s="1"/>
  <c r="T106" i="47" s="1"/>
  <c r="X204" i="57" a="1"/>
  <c r="X204" i="57" s="1"/>
  <c r="Y204" i="57" s="1" a="1"/>
  <c r="Y204" i="57" s="1"/>
  <c r="Z204" i="57" s="1" a="1"/>
  <c r="Z204" i="57" s="1"/>
  <c r="AA204" i="57" s="1" a="1"/>
  <c r="AA204" i="57" s="1"/>
  <c r="AB204" i="57" s="1" a="1"/>
  <c r="AB204" i="57" s="1"/>
  <c r="AC204" i="57" s="1" a="1"/>
  <c r="AC204" i="57" s="1"/>
  <c r="AD204" i="57" s="1" a="1"/>
  <c r="AD204" i="57" s="1"/>
  <c r="AG204" i="57" s="1" a="1"/>
  <c r="AG204" i="57" s="1"/>
  <c r="AS223" i="57" a="1"/>
  <c r="AS223" i="57" s="1"/>
  <c r="AD224" i="57" a="1"/>
  <c r="AD224" i="57" s="1"/>
  <c r="U103" i="47" s="1"/>
  <c r="AG205" i="57" a="1"/>
  <c r="AG205" i="57" s="1"/>
  <c r="U224" i="57" a="1"/>
  <c r="U224" i="57" s="1"/>
  <c r="AE205" i="57" a="1"/>
  <c r="AE205" i="57" s="1"/>
  <c r="AS222" i="57" a="1"/>
  <c r="AS222" i="57" s="1"/>
  <c r="AF104" i="47" s="1"/>
  <c r="AC225" i="57" a="1"/>
  <c r="AC225" i="57" s="1"/>
  <c r="T107" i="47" s="1"/>
  <c r="AT224" i="57" a="1"/>
  <c r="AT224" i="57" s="1"/>
  <c r="AG103" i="47" s="1"/>
  <c r="AS225" i="57" a="1"/>
  <c r="AS225" i="57" s="1"/>
  <c r="AF107" i="47" s="1"/>
  <c r="AC169" i="57"/>
  <c r="AC175" i="57" s="1"/>
  <c r="I164" i="57"/>
  <c r="AJ238" i="57" a="1"/>
  <c r="AJ238" i="57" s="1"/>
  <c r="AK238" i="57" s="1" a="1"/>
  <c r="AK238" i="57" s="1"/>
  <c r="X206" i="57" a="1"/>
  <c r="X206" i="57" s="1"/>
  <c r="Y206" i="57" s="1" a="1"/>
  <c r="Y206" i="57" s="1"/>
  <c r="Z206" i="57" s="1" a="1"/>
  <c r="Z206" i="57" s="1"/>
  <c r="AA206" i="57" s="1" a="1"/>
  <c r="AA206" i="57" s="1"/>
  <c r="AB206" i="57" s="1" a="1"/>
  <c r="AB206" i="57" s="1"/>
  <c r="AC206" i="57" s="1" a="1"/>
  <c r="AC206" i="57" s="1"/>
  <c r="AD206" i="57" s="1" a="1"/>
  <c r="AD206" i="57" s="1"/>
  <c r="AE206" i="57" s="1" a="1"/>
  <c r="AE206" i="57" s="1"/>
  <c r="AE169" i="57"/>
  <c r="AE178" i="57" s="1"/>
  <c r="M154" i="57"/>
  <c r="M191" i="57" s="1"/>
  <c r="AU224" i="57" s="1" a="1"/>
  <c r="AU224" i="57" s="1"/>
  <c r="AH103" i="47" s="1"/>
  <c r="AJ103" i="47" s="1"/>
  <c r="AG166" i="57"/>
  <c r="L153" i="57"/>
  <c r="L190" i="57" s="1"/>
  <c r="AW204" i="57" s="1" a="1"/>
  <c r="AW204" i="57" s="1"/>
  <c r="AF165" i="57"/>
  <c r="L155" i="57"/>
  <c r="L192" i="57" s="1"/>
  <c r="AT225" i="57" s="1" a="1"/>
  <c r="AT225" i="57" s="1"/>
  <c r="AG107" i="47" s="1"/>
  <c r="AF167" i="57"/>
  <c r="I165" i="57"/>
  <c r="L152" i="57"/>
  <c r="L189" i="57" s="1"/>
  <c r="AW203" i="57" s="1" a="1"/>
  <c r="AW203" i="57" s="1"/>
  <c r="AF164" i="57"/>
  <c r="I167" i="57"/>
  <c r="T224" i="57" a="1"/>
  <c r="T224" i="57" s="1"/>
  <c r="M103" i="47" s="1"/>
  <c r="K181" i="57"/>
  <c r="K182" i="57" s="1"/>
  <c r="R178" i="57"/>
  <c r="AB178" i="57" s="1"/>
  <c r="R170" i="57"/>
  <c r="L181" i="57"/>
  <c r="L182" i="57" s="1"/>
  <c r="V224" i="57" a="1"/>
  <c r="V224" i="57" s="1"/>
  <c r="J181" i="57"/>
  <c r="J182" i="57" s="1"/>
  <c r="AK179" i="57"/>
  <c r="AM179" i="57" s="1"/>
  <c r="AM168" i="57" s="1"/>
  <c r="AK178" i="57"/>
  <c r="AQ178" i="57" s="1"/>
  <c r="AM175" i="57"/>
  <c r="AM164" i="57" s="1"/>
  <c r="S225" i="57" a="1"/>
  <c r="S225" i="57" s="1"/>
  <c r="L107" i="47" s="1"/>
  <c r="M119" i="57"/>
  <c r="M127" i="57" s="1"/>
  <c r="M85" i="57"/>
  <c r="M121" i="57" s="1"/>
  <c r="M129" i="57" s="1"/>
  <c r="AG152" i="57"/>
  <c r="AG155" i="57"/>
  <c r="AG153" i="57"/>
  <c r="AQ175" i="57"/>
  <c r="AQ164" i="57" s="1"/>
  <c r="V176" i="57"/>
  <c r="V174" i="57"/>
  <c r="V179" i="57"/>
  <c r="V173" i="57"/>
  <c r="V172" i="57"/>
  <c r="V177" i="57"/>
  <c r="V175" i="57"/>
  <c r="V178" i="57"/>
  <c r="AK164" i="57"/>
  <c r="W169" i="57"/>
  <c r="W170" i="57" s="1"/>
  <c r="AK177" i="57"/>
  <c r="AL177" i="57" s="1"/>
  <c r="AF106" i="47"/>
  <c r="AR223" i="57"/>
  <c r="AE106" i="47" s="1"/>
  <c r="AD223" i="57" a="1"/>
  <c r="AD223" i="57" s="1"/>
  <c r="U106" i="47" s="1"/>
  <c r="S222" i="57" a="1"/>
  <c r="S222" i="57" s="1"/>
  <c r="L104" i="47" s="1"/>
  <c r="S223" i="57" a="1"/>
  <c r="S223" i="57" s="1"/>
  <c r="L106" i="47" s="1"/>
  <c r="R176" i="57"/>
  <c r="AB176" i="57" s="1"/>
  <c r="AM203" i="57" a="1"/>
  <c r="AM203" i="57" s="1"/>
  <c r="AO203" i="57" s="1" a="1"/>
  <c r="AO203" i="57" s="1"/>
  <c r="AN203" i="57" a="1"/>
  <c r="AN203" i="57" s="1"/>
  <c r="AN206" i="57" a="1"/>
  <c r="AN206" i="57" s="1"/>
  <c r="AM206" i="57" a="1"/>
  <c r="AM206" i="57" s="1"/>
  <c r="AO206" i="57" s="1" a="1"/>
  <c r="AO206" i="57" s="1"/>
  <c r="AM204" i="57" a="1"/>
  <c r="AM204" i="57" s="1"/>
  <c r="AO204" i="57" s="1" a="1"/>
  <c r="AO204" i="57" s="1"/>
  <c r="AN204" i="57" a="1"/>
  <c r="AN204" i="57" s="1"/>
  <c r="AJ264" i="57" a="1"/>
  <c r="AJ264" i="57" s="1"/>
  <c r="AK264" i="57" s="1" a="1"/>
  <c r="AK264" i="57" s="1"/>
  <c r="Y264" i="57" a="1"/>
  <c r="Y264" i="57" s="1"/>
  <c r="Z264" i="57" s="1" a="1"/>
  <c r="Z264" i="57" s="1"/>
  <c r="AF203" i="57" a="1"/>
  <c r="AF203" i="57" s="1"/>
  <c r="AE203" i="57" a="1"/>
  <c r="AE203" i="57" s="1"/>
  <c r="AG203" i="57" a="1"/>
  <c r="AG20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V239" i="57" a="1"/>
  <c r="V239" i="57" s="1"/>
  <c r="W239" i="57" s="1" a="1"/>
  <c r="W239" i="57" s="1"/>
  <c r="X239" i="57" a="1"/>
  <c r="X239" i="57" s="1"/>
  <c r="X237" i="57" a="1"/>
  <c r="X237" i="57" s="1"/>
  <c r="V237" i="57" a="1"/>
  <c r="V237" i="57" s="1"/>
  <c r="W237" i="57" s="1" a="1"/>
  <c r="W237" i="57" s="1"/>
  <c r="AB169" i="57"/>
  <c r="AB170" i="57" s="1"/>
  <c r="H164" i="57"/>
  <c r="R179" i="57"/>
  <c r="AB179" i="57" s="1"/>
  <c r="R172" i="57"/>
  <c r="R173" i="57"/>
  <c r="AB173" i="57" s="1"/>
  <c r="R174" i="57"/>
  <c r="AB174" i="57" s="1"/>
  <c r="R177" i="57"/>
  <c r="AB177" i="57" s="1"/>
  <c r="R175" i="57"/>
  <c r="AB175" i="57" s="1"/>
  <c r="AQ205" i="57" a="1"/>
  <c r="AQ205" i="57" s="1"/>
  <c r="AR205" i="57" s="1" a="1"/>
  <c r="AR205" i="57" s="1"/>
  <c r="AS205" i="57" s="1" a="1"/>
  <c r="AS205" i="57" s="1"/>
  <c r="AP205" i="57" a="1"/>
  <c r="AP205" i="57" s="1"/>
  <c r="AN175" i="57"/>
  <c r="AL164" i="57"/>
  <c r="AR175" i="57"/>
  <c r="L258" i="57"/>
  <c r="L256" i="57"/>
  <c r="AD222" i="57" a="1"/>
  <c r="AD222" i="57" s="1"/>
  <c r="AF204" i="57" l="1" a="1"/>
  <c r="AF204" i="57" s="1"/>
  <c r="AE204" i="57" a="1"/>
  <c r="AE204" i="57" s="1"/>
  <c r="AE224" i="57" a="1"/>
  <c r="AE224" i="57" s="1"/>
  <c r="V103" i="47" s="1"/>
  <c r="AG224" i="57" a="1"/>
  <c r="AG224" i="57" s="1"/>
  <c r="AF224" i="57" a="1"/>
  <c r="AF224" i="57" s="1"/>
  <c r="Y237" i="57" a="1"/>
  <c r="Y237" i="57" s="1"/>
  <c r="Z237" i="57" s="1" a="1"/>
  <c r="Z237" i="57" s="1"/>
  <c r="AC237" i="57" s="1" a="1"/>
  <c r="AC237" i="57" s="1"/>
  <c r="AR225" i="57"/>
  <c r="AE107" i="47" s="1"/>
  <c r="AK168" i="57"/>
  <c r="AM177" i="57"/>
  <c r="AM166" i="57" s="1"/>
  <c r="AR222" i="57"/>
  <c r="AE104" i="47" s="1"/>
  <c r="AD225" i="57" a="1"/>
  <c r="AD225" i="57" s="1"/>
  <c r="U107" i="47" s="1"/>
  <c r="AU175" i="57"/>
  <c r="AU164" i="57" s="1"/>
  <c r="AT222" i="57" a="1"/>
  <c r="AT222" i="57" s="1"/>
  <c r="AG104" i="47" s="1"/>
  <c r="AC178" i="57"/>
  <c r="AL179" i="57"/>
  <c r="AN179" i="57" s="1"/>
  <c r="AX205" i="57" a="1"/>
  <c r="AX205" i="57" s="1"/>
  <c r="AQ179" i="57"/>
  <c r="AU179" i="57" s="1"/>
  <c r="AU168" i="57" s="1"/>
  <c r="Y239" i="57" a="1"/>
  <c r="Y239" i="57" s="1"/>
  <c r="Z239" i="57" s="1" a="1"/>
  <c r="Z239" i="57" s="1"/>
  <c r="AC239" i="57" s="1" a="1"/>
  <c r="AC239" i="57" s="1"/>
  <c r="AL178" i="57"/>
  <c r="AL167" i="57" s="1"/>
  <c r="AM178" i="57"/>
  <c r="AM167" i="57" s="1"/>
  <c r="AE175" i="57"/>
  <c r="AK166" i="57"/>
  <c r="AQ177" i="57"/>
  <c r="AQ166" i="57" s="1"/>
  <c r="AC176" i="57"/>
  <c r="AE176" i="57"/>
  <c r="AW206" i="57" a="1"/>
  <c r="AW206" i="57" s="1"/>
  <c r="AG206" i="57" a="1"/>
  <c r="AG206" i="57" s="1"/>
  <c r="AT223" i="57" a="1"/>
  <c r="AT223" i="57" s="1"/>
  <c r="AG106" i="47" s="1"/>
  <c r="M153" i="57"/>
  <c r="M190" i="57" s="1"/>
  <c r="AX204" i="57" s="1" a="1"/>
  <c r="AX204" i="57" s="1"/>
  <c r="AG165" i="57"/>
  <c r="AJ237" i="57" a="1"/>
  <c r="AJ237" i="57" s="1"/>
  <c r="AK237" i="57" s="1" a="1"/>
  <c r="AK237"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F206" i="57" a="1"/>
  <c r="AF206" i="57" s="1"/>
  <c r="M155" i="57"/>
  <c r="M192" i="57" s="1"/>
  <c r="AU225" i="57" s="1" a="1"/>
  <c r="AU225" i="57" s="1"/>
  <c r="AH107" i="47" s="1"/>
  <c r="AJ107" i="47" s="1"/>
  <c r="AG167" i="57"/>
  <c r="M166" i="57"/>
  <c r="AF169" i="57"/>
  <c r="AF175" i="57" s="1"/>
  <c r="M152" i="57"/>
  <c r="M189" i="57" s="1"/>
  <c r="AX203" i="57" s="1" a="1"/>
  <c r="AX203" i="57" s="1"/>
  <c r="AG164" i="57"/>
  <c r="AJ236" i="57" a="1"/>
  <c r="AJ236" i="57" s="1"/>
  <c r="AK236" i="57" s="1" a="1"/>
  <c r="AK236" i="57" s="1"/>
  <c r="I169" i="57"/>
  <c r="I176" i="57" s="1"/>
  <c r="AJ239" i="57" a="1"/>
  <c r="AJ239" i="57" s="1"/>
  <c r="AK239" i="57" s="1" a="1"/>
  <c r="AK239" i="57" s="1"/>
  <c r="AE174" i="57"/>
  <c r="AE170" i="57"/>
  <c r="AE172" i="57"/>
  <c r="AE173" i="57"/>
  <c r="AE179" i="57"/>
  <c r="AE177" i="57"/>
  <c r="AC170" i="57"/>
  <c r="AC174" i="57"/>
  <c r="AC172" i="57"/>
  <c r="AC173" i="57"/>
  <c r="AC179" i="57"/>
  <c r="AC177" i="57"/>
  <c r="T222" i="57" a="1"/>
  <c r="T222" i="57" s="1"/>
  <c r="W222" i="57" s="1" a="1"/>
  <c r="W222" i="57" s="1"/>
  <c r="V222" i="57" a="1"/>
  <c r="V222" i="57" s="1"/>
  <c r="AE223" i="57" a="1"/>
  <c r="AE223" i="57" s="1"/>
  <c r="V106" i="47" s="1"/>
  <c r="U225" i="57" a="1"/>
  <c r="U225" i="57" s="1"/>
  <c r="AF223" i="57" a="1"/>
  <c r="AF223" i="57" s="1"/>
  <c r="U222" i="57" a="1"/>
  <c r="U222" i="57" s="1"/>
  <c r="V225" i="57" a="1"/>
  <c r="V225" i="57" s="1"/>
  <c r="W224" i="57" a="1"/>
  <c r="W224" i="57" s="1"/>
  <c r="X224" i="57" s="1" a="1"/>
  <c r="X224" i="57" s="1"/>
  <c r="AG223" i="57" a="1"/>
  <c r="AG223" i="57" s="1"/>
  <c r="N256" i="57"/>
  <c r="N258" i="57"/>
  <c r="O258" i="57"/>
  <c r="O256" i="57"/>
  <c r="AK167" i="57"/>
  <c r="AK176" i="57"/>
  <c r="AQ176" i="57" s="1"/>
  <c r="T225" i="57" a="1"/>
  <c r="T225" i="57" s="1"/>
  <c r="M107" i="47" s="1"/>
  <c r="O257" i="57"/>
  <c r="W176" i="57"/>
  <c r="W177" i="57"/>
  <c r="W175" i="57"/>
  <c r="W178" i="57"/>
  <c r="W172" i="57"/>
  <c r="W173" i="57"/>
  <c r="W174" i="57"/>
  <c r="W179" i="57"/>
  <c r="U223" i="57" a="1"/>
  <c r="U223" i="57" s="1"/>
  <c r="V223" i="57" a="1"/>
  <c r="V223" i="57" s="1"/>
  <c r="V181" i="57"/>
  <c r="V182" i="57" s="1"/>
  <c r="N257" i="57"/>
  <c r="T223" i="57" a="1"/>
  <c r="T223" i="57" s="1"/>
  <c r="M106" i="4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Y263" i="57" a="1"/>
  <c r="Y263" i="57" s="1"/>
  <c r="Z263" i="57" s="1" a="1"/>
  <c r="Z263" i="57" s="1"/>
  <c r="AA263" i="57" s="1" a="1"/>
  <c r="AA263" i="57" s="1"/>
  <c r="AD263" i="57" s="1" a="1"/>
  <c r="AD263" i="57" s="1"/>
  <c r="AE263" i="57" s="1" a="1"/>
  <c r="AE263" i="57" s="1"/>
  <c r="AF263" i="57" s="1" a="1"/>
  <c r="AF263" i="57" s="1"/>
  <c r="AG263" i="57" s="1" a="1"/>
  <c r="AG263" i="57" s="1"/>
  <c r="AH263" i="57" s="1" a="1"/>
  <c r="AH263" i="57" s="1"/>
  <c r="AI263" i="57" s="1" a="1"/>
  <c r="AI263" i="57" s="1"/>
  <c r="AJ263" i="57" a="1"/>
  <c r="AJ263" i="57" s="1"/>
  <c r="AK263" i="57" s="1" a="1"/>
  <c r="AK263" i="57" s="1"/>
  <c r="AN264" i="57" a="1"/>
  <c r="AN264" i="57" s="1"/>
  <c r="AM264" i="57" a="1"/>
  <c r="AM264" i="57" s="1"/>
  <c r="AL264" i="57" a="1"/>
  <c r="AL264" i="57" s="1"/>
  <c r="AO264" i="57" s="1" a="1"/>
  <c r="AO264" i="57" s="1"/>
  <c r="AP264" i="57" s="1" a="1"/>
  <c r="AP264" i="57" s="1"/>
  <c r="AQ264" i="57" s="1" a="1"/>
  <c r="AQ264" i="57" s="1"/>
  <c r="AR264" i="57" s="1" a="1"/>
  <c r="AR264" i="57" s="1"/>
  <c r="AS264" i="57" s="1" a="1"/>
  <c r="AS264" i="57" s="1"/>
  <c r="AR164" i="57"/>
  <c r="AV175" i="57"/>
  <c r="AV164" i="57" s="1"/>
  <c r="Y265" i="57" a="1"/>
  <c r="Y265" i="57" s="1"/>
  <c r="Z265" i="57" s="1" a="1"/>
  <c r="Z265" i="57" s="1"/>
  <c r="AB265" i="57" s="1" a="1"/>
  <c r="AB265" i="57" s="1"/>
  <c r="AJ265" i="57" a="1"/>
  <c r="AJ265" i="57" s="1"/>
  <c r="AK265" i="57" s="1" a="1"/>
  <c r="AK265" i="57" s="1"/>
  <c r="AO175" i="57"/>
  <c r="AO164" i="57" s="1"/>
  <c r="AS175" i="57"/>
  <c r="AN164" i="57"/>
  <c r="AQ204" i="57" a="1"/>
  <c r="AQ204" i="57" s="1"/>
  <c r="AR204" i="57" s="1" a="1"/>
  <c r="AR204" i="57" s="1"/>
  <c r="AS204" i="57" s="1" a="1"/>
  <c r="AS204" i="57" s="1"/>
  <c r="AP204" i="57" a="1"/>
  <c r="AP204" i="57" s="1"/>
  <c r="U104" i="47"/>
  <c r="AG222" i="57" a="1"/>
  <c r="AG222" i="57" s="1"/>
  <c r="AE222" i="57" a="1"/>
  <c r="AE222" i="57" s="1"/>
  <c r="AF222" i="57" a="1"/>
  <c r="AF222" i="57" s="1"/>
  <c r="AQ206" i="57" a="1"/>
  <c r="AQ206" i="57" s="1"/>
  <c r="AR206" i="57" s="1" a="1"/>
  <c r="AR206" i="57" s="1"/>
  <c r="AS206" i="57" s="1" a="1"/>
  <c r="AS206" i="57" s="1"/>
  <c r="AP206" i="57" a="1"/>
  <c r="AP206" i="57" s="1"/>
  <c r="AU178" i="57"/>
  <c r="AU167" i="57" s="1"/>
  <c r="AQ167" i="57"/>
  <c r="R181" i="57"/>
  <c r="AB172" i="57"/>
  <c r="AL166" i="57"/>
  <c r="AR177" i="57"/>
  <c r="AN177" i="57"/>
  <c r="V236" i="57" a="1"/>
  <c r="V236" i="57" s="1"/>
  <c r="W236" i="57" s="1" a="1"/>
  <c r="W236" i="57" s="1"/>
  <c r="H169" i="57"/>
  <c r="H175" i="57" s="1"/>
  <c r="X236" i="57" a="1"/>
  <c r="X236" i="57" s="1"/>
  <c r="Y236" i="57" s="1" a="1"/>
  <c r="Y236" i="57" s="1"/>
  <c r="Z236" i="57" s="1" a="1"/>
  <c r="Z236" i="57" s="1"/>
  <c r="AP203" i="57" a="1"/>
  <c r="AP203" i="57" s="1"/>
  <c r="AQ203" i="57" a="1"/>
  <c r="AQ203" i="57" s="1"/>
  <c r="AR203" i="57" s="1" a="1"/>
  <c r="AR203" i="57" s="1"/>
  <c r="AS203" i="57" s="1" a="1"/>
  <c r="AS203" i="57" s="1"/>
  <c r="AH224" i="57" l="1" a="1"/>
  <c r="AH224" i="57" s="1"/>
  <c r="AI224" i="57" s="1" a="1"/>
  <c r="AI224" i="57" s="1"/>
  <c r="X103" i="47" s="1"/>
  <c r="AX206" i="57" a="1"/>
  <c r="AX206" i="57" s="1"/>
  <c r="AE225" i="57" a="1"/>
  <c r="AE225" i="57" s="1"/>
  <c r="V107" i="47" s="1"/>
  <c r="AB237" i="57" a="1"/>
  <c r="AB237" i="57" s="1"/>
  <c r="AA237" i="57" a="1"/>
  <c r="AA237" i="57" s="1"/>
  <c r="AD237" i="57" s="1" a="1"/>
  <c r="AD237" i="57" s="1"/>
  <c r="AE237" i="57" s="1" a="1"/>
  <c r="AE237" i="57" s="1"/>
  <c r="AF237" i="57" s="1" a="1"/>
  <c r="AF237" i="57" s="1"/>
  <c r="AG237" i="57" s="1" a="1"/>
  <c r="AG237" i="57" s="1"/>
  <c r="AH237" i="57" s="1" a="1"/>
  <c r="AH237" i="57" s="1"/>
  <c r="AI237" i="57" s="1" a="1"/>
  <c r="AI237" i="57" s="1"/>
  <c r="AL176" i="57"/>
  <c r="AR176" i="57" s="1"/>
  <c r="AQ168" i="57"/>
  <c r="AG225" i="57" a="1"/>
  <c r="AG225" i="57" s="1"/>
  <c r="AF225" i="57" a="1"/>
  <c r="AF225" i="57" s="1"/>
  <c r="AB239" i="57" a="1"/>
  <c r="AB239" i="57" s="1"/>
  <c r="AA239" i="57" a="1"/>
  <c r="AA239" i="57" s="1"/>
  <c r="AD239" i="57" s="1" a="1"/>
  <c r="AD239" i="57" s="1"/>
  <c r="AE239" i="57" s="1" a="1"/>
  <c r="AE239" i="57" s="1"/>
  <c r="AF239" i="57" s="1" a="1"/>
  <c r="AF239" i="57" s="1"/>
  <c r="AG239" i="57" s="1" a="1"/>
  <c r="AG239" i="57" s="1"/>
  <c r="AH239" i="57" s="1" a="1"/>
  <c r="AH239" i="57" s="1"/>
  <c r="AI239" i="57" s="1" a="1"/>
  <c r="AI239" i="57" s="1"/>
  <c r="AN178" i="57"/>
  <c r="AN176" i="57" s="1"/>
  <c r="AR178" i="57"/>
  <c r="AR167" i="57" s="1"/>
  <c r="AL168" i="57"/>
  <c r="AR179" i="57"/>
  <c r="AV179" i="57" s="1"/>
  <c r="AV168" i="57" s="1"/>
  <c r="AM176" i="57"/>
  <c r="AM165" i="57" s="1"/>
  <c r="AF176" i="57"/>
  <c r="AU177" i="57"/>
  <c r="AU166" i="57" s="1"/>
  <c r="N103" i="47"/>
  <c r="AU222" i="57" a="1"/>
  <c r="AU222" i="57" s="1"/>
  <c r="AH104" i="47" s="1"/>
  <c r="AJ104" i="47" s="1"/>
  <c r="AU223" i="57" a="1"/>
  <c r="AU223" i="57" s="1"/>
  <c r="AH106" i="47" s="1"/>
  <c r="AJ106" i="47" s="1"/>
  <c r="W223" i="57" a="1"/>
  <c r="W223" i="57" s="1"/>
  <c r="N106" i="47" s="1"/>
  <c r="M104" i="47"/>
  <c r="I178" i="57"/>
  <c r="AM239" i="57" a="1"/>
  <c r="AM239" i="57" s="1"/>
  <c r="AL239" i="57" a="1"/>
  <c r="AL239" i="57" s="1"/>
  <c r="AO239" i="57" s="1" a="1"/>
  <c r="AO239" i="57" s="1"/>
  <c r="AP239" i="57" s="1" a="1"/>
  <c r="AP239" i="57" s="1"/>
  <c r="AQ239" i="57" s="1" a="1"/>
  <c r="AQ239" i="57" s="1"/>
  <c r="AR239" i="57" s="1" a="1"/>
  <c r="AR239" i="57" s="1"/>
  <c r="AS239" i="57" s="1" a="1"/>
  <c r="AS239" i="57" s="1"/>
  <c r="AN239" i="57" a="1"/>
  <c r="AN239" i="57" s="1"/>
  <c r="AF170" i="57"/>
  <c r="AF173" i="57"/>
  <c r="AF174" i="57"/>
  <c r="AF172" i="57"/>
  <c r="AF179" i="57"/>
  <c r="AF177" i="57"/>
  <c r="AU238" i="57" a="1"/>
  <c r="AU238" i="57" s="1"/>
  <c r="AT238" i="57" a="1"/>
  <c r="AT238" i="57" s="1"/>
  <c r="AV238" i="57" s="1" a="1"/>
  <c r="AV238" i="57" s="1"/>
  <c r="I175" i="57"/>
  <c r="I179" i="57"/>
  <c r="I172" i="57"/>
  <c r="I173" i="57"/>
  <c r="I174" i="57"/>
  <c r="I177" i="57"/>
  <c r="AM237" i="57" a="1"/>
  <c r="AM237" i="57" s="1"/>
  <c r="AN237" i="57" a="1"/>
  <c r="AN237" i="57" s="1"/>
  <c r="AL237" i="57" a="1"/>
  <c r="AL237" i="57" s="1"/>
  <c r="AO237" i="57" s="1" a="1"/>
  <c r="AO237" i="57" s="1"/>
  <c r="AP237" i="57" s="1" a="1"/>
  <c r="AP237" i="57" s="1"/>
  <c r="AQ237" i="57" s="1" a="1"/>
  <c r="AQ237" i="57" s="1"/>
  <c r="AR237" i="57" s="1" a="1"/>
  <c r="AR237" i="57" s="1"/>
  <c r="AS237" i="57" s="1" a="1"/>
  <c r="AS237" i="57" s="1"/>
  <c r="AL236" i="57" a="1"/>
  <c r="AL236" i="57" s="1"/>
  <c r="AO236" i="57" s="1" a="1"/>
  <c r="AO236" i="57" s="1"/>
  <c r="AP236" i="57" s="1" a="1"/>
  <c r="AP236" i="57" s="1"/>
  <c r="AQ236" i="57" s="1" a="1"/>
  <c r="AQ236" i="57" s="1"/>
  <c r="AR236" i="57" s="1" a="1"/>
  <c r="AR236" i="57" s="1"/>
  <c r="AS236" i="57" s="1" a="1"/>
  <c r="AS236" i="57" s="1"/>
  <c r="AN236" i="57" a="1"/>
  <c r="AN236" i="57" s="1"/>
  <c r="AM236" i="57" a="1"/>
  <c r="AM236" i="57" s="1"/>
  <c r="M167" i="57"/>
  <c r="M165" i="57"/>
  <c r="AE181" i="57"/>
  <c r="AE182" i="57" s="1"/>
  <c r="AF178" i="57"/>
  <c r="AH223" i="57" a="1"/>
  <c r="AH223" i="57" s="1"/>
  <c r="W106" i="47" s="1"/>
  <c r="AC181" i="57"/>
  <c r="AC182" i="57" s="1"/>
  <c r="AG169" i="57"/>
  <c r="M164" i="57"/>
  <c r="AK165" i="57"/>
  <c r="W225" i="57" a="1"/>
  <c r="W225" i="57" s="1"/>
  <c r="N107" i="47" s="1"/>
  <c r="W181" i="57"/>
  <c r="W182" i="57" s="1"/>
  <c r="AC263" i="57" a="1"/>
  <c r="AC263" i="57" s="1"/>
  <c r="AB263" i="57" a="1"/>
  <c r="AB263"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C265" i="57" a="1"/>
  <c r="AC265" i="57" s="1"/>
  <c r="AV177" i="57"/>
  <c r="AV166" i="57" s="1"/>
  <c r="AR166" i="57"/>
  <c r="N104" i="47"/>
  <c r="X222" i="57" a="1"/>
  <c r="X222" i="57" s="1"/>
  <c r="AA265" i="57" a="1"/>
  <c r="AA265" i="57" s="1"/>
  <c r="AD265" i="57" s="1" a="1"/>
  <c r="AD265" i="57" s="1"/>
  <c r="AE265" i="57" s="1" a="1"/>
  <c r="AE265" i="57" s="1"/>
  <c r="AF265" i="57" s="1" a="1"/>
  <c r="AF265" i="57" s="1"/>
  <c r="AG265" i="57" s="1" a="1"/>
  <c r="AG265" i="57" s="1"/>
  <c r="AH265" i="57" s="1" a="1"/>
  <c r="AH265" i="57" s="1"/>
  <c r="AI265" i="57" s="1" a="1"/>
  <c r="AI265" i="57" s="1"/>
  <c r="AO179" i="57"/>
  <c r="AO168" i="57" s="1"/>
  <c r="AS179" i="57"/>
  <c r="AN168" i="57"/>
  <c r="AL263" i="57" a="1"/>
  <c r="AL263" i="57" s="1"/>
  <c r="AO263" i="57" s="1" a="1"/>
  <c r="AO263" i="57" s="1"/>
  <c r="AP263" i="57" s="1" a="1"/>
  <c r="AP263" i="57" s="1"/>
  <c r="AQ263" i="57" s="1" a="1"/>
  <c r="AQ263" i="57" s="1"/>
  <c r="AR263" i="57" s="1" a="1"/>
  <c r="AR263" i="57" s="1"/>
  <c r="AS263" i="57" s="1" a="1"/>
  <c r="AS263" i="57" s="1"/>
  <c r="AN263" i="57" a="1"/>
  <c r="AN263" i="57" s="1"/>
  <c r="AM263" i="57" a="1"/>
  <c r="AM263" i="57" s="1"/>
  <c r="AB181" i="57"/>
  <c r="R182" i="57"/>
  <c r="AB182" i="57" s="1"/>
  <c r="AM265" i="57" a="1"/>
  <c r="AM265" i="57" s="1"/>
  <c r="AN265" i="57" a="1"/>
  <c r="AN265" i="57" s="1"/>
  <c r="AL265" i="57" a="1"/>
  <c r="AL265" i="57" s="1"/>
  <c r="AO265" i="57" s="1" a="1"/>
  <c r="AO265" i="57" s="1"/>
  <c r="AP265" i="57" s="1" a="1"/>
  <c r="AP265" i="57" s="1"/>
  <c r="AQ265" i="57" s="1" a="1"/>
  <c r="AQ265" i="57" s="1"/>
  <c r="AR265" i="57" s="1" a="1"/>
  <c r="AR265" i="57" s="1"/>
  <c r="AS265" i="57" s="1" a="1"/>
  <c r="AS265" i="57" s="1"/>
  <c r="V104" i="47"/>
  <c r="AH222" i="57" a="1"/>
  <c r="AH222" i="57" s="1"/>
  <c r="AU264" i="57" a="1"/>
  <c r="AU264" i="57" s="1"/>
  <c r="AT264" i="57" a="1"/>
  <c r="AT264" i="57" s="1"/>
  <c r="AV264" i="57" s="1" a="1"/>
  <c r="AV264" i="57" s="1"/>
  <c r="AW175" i="57"/>
  <c r="AW164" i="57" s="1"/>
  <c r="AS164" i="57"/>
  <c r="AU176" i="57"/>
  <c r="AU165" i="57" s="1"/>
  <c r="AQ165" i="57"/>
  <c r="H173" i="57"/>
  <c r="H174" i="57"/>
  <c r="H179" i="57"/>
  <c r="H172" i="57"/>
  <c r="H177" i="57"/>
  <c r="H178" i="57"/>
  <c r="H176" i="57"/>
  <c r="AO177" i="57"/>
  <c r="AN166" i="57"/>
  <c r="AS177" i="57"/>
  <c r="O103" i="47"/>
  <c r="Y224" i="57" a="1"/>
  <c r="Y224" i="57" s="1"/>
  <c r="AH225" i="57" l="1" a="1"/>
  <c r="AH225" i="57" s="1"/>
  <c r="AI225" i="57" s="1" a="1"/>
  <c r="AI225" i="57" s="1"/>
  <c r="AJ225" i="57" s="1" a="1"/>
  <c r="AJ225" i="57" s="1"/>
  <c r="AJ224" i="57" a="1"/>
  <c r="AJ224" i="57" s="1"/>
  <c r="Y103" i="47" s="1"/>
  <c r="W103" i="47"/>
  <c r="AO178" i="57"/>
  <c r="AO167" i="57" s="1"/>
  <c r="AL165" i="57"/>
  <c r="AS178" i="57"/>
  <c r="AS167" i="57" s="1"/>
  <c r="AN167" i="57"/>
  <c r="AR168" i="57"/>
  <c r="AV178" i="57"/>
  <c r="AV167" i="57" s="1"/>
  <c r="M169" i="57"/>
  <c r="M177" i="57" s="1"/>
  <c r="X223" i="57" a="1"/>
  <c r="X223" i="57" s="1"/>
  <c r="O106" i="47" s="1"/>
  <c r="AI223" i="57" a="1"/>
  <c r="AI223" i="57" s="1"/>
  <c r="AJ223" i="57" s="1" a="1"/>
  <c r="AJ223" i="57" s="1"/>
  <c r="AF181" i="57"/>
  <c r="AF182" i="57" s="1"/>
  <c r="AG170" i="57"/>
  <c r="AG172" i="57"/>
  <c r="AG173" i="57"/>
  <c r="AG174" i="57"/>
  <c r="AG179" i="57"/>
  <c r="AG177" i="57"/>
  <c r="AG178" i="57"/>
  <c r="I181" i="57"/>
  <c r="I182" i="57" s="1"/>
  <c r="AT236" i="57" a="1"/>
  <c r="AT236" i="57" s="1"/>
  <c r="AV236" i="57" s="1" a="1"/>
  <c r="AV236" i="57" s="1"/>
  <c r="AU236" i="57" a="1"/>
  <c r="AU236" i="57" s="1"/>
  <c r="AT237" i="57" a="1"/>
  <c r="AT237" i="57" s="1"/>
  <c r="AV237" i="57" s="1" a="1"/>
  <c r="AV237" i="57" s="1"/>
  <c r="AU237" i="57" a="1"/>
  <c r="AU237"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AG176" i="57"/>
  <c r="AU239" i="57" a="1"/>
  <c r="AU239" i="57" s="1"/>
  <c r="AT239" i="57" a="1"/>
  <c r="AT239" i="57" s="1"/>
  <c r="AV239" i="57" s="1" a="1"/>
  <c r="AV239" i="57" s="1"/>
  <c r="AG175" i="57"/>
  <c r="X225" i="57" a="1"/>
  <c r="X225" i="57" s="1"/>
  <c r="W104" i="47"/>
  <c r="AI222" i="57" a="1"/>
  <c r="AI222" i="57" s="1"/>
  <c r="AU265" i="57" a="1"/>
  <c r="AU265" i="57" s="1"/>
  <c r="AT265" i="57" a="1"/>
  <c r="AT265" i="57" s="1"/>
  <c r="AV265" i="57" s="1" a="1"/>
  <c r="AV265" i="57" s="1"/>
  <c r="AS166" i="57"/>
  <c r="AW177" i="57"/>
  <c r="AW166" i="57" s="1"/>
  <c r="AW179" i="57"/>
  <c r="AW168" i="57" s="1"/>
  <c r="AS168" i="57"/>
  <c r="AS176" i="57"/>
  <c r="AN165" i="57"/>
  <c r="AV176" i="57"/>
  <c r="AV165" i="57" s="1"/>
  <c r="AR165" i="57"/>
  <c r="P103" i="47"/>
  <c r="Z224" i="57" a="1"/>
  <c r="Z224" i="57" s="1"/>
  <c r="O104" i="47"/>
  <c r="Y222" i="57" a="1"/>
  <c r="Y222" i="57" s="1"/>
  <c r="AO166" i="57"/>
  <c r="AU263" i="57" a="1"/>
  <c r="AU263" i="57" s="1"/>
  <c r="AT263" i="57" a="1"/>
  <c r="AT263" i="57" s="1"/>
  <c r="AV263" i="57" s="1" a="1"/>
  <c r="AV263"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H181" i="57"/>
  <c r="H182" i="57" s="1"/>
  <c r="AW178" i="57"/>
  <c r="AW167" i="57" s="1"/>
  <c r="W107" i="47" l="1"/>
  <c r="X107" i="47"/>
  <c r="Y223" i="57" a="1"/>
  <c r="Y223" i="57" s="1"/>
  <c r="P106" i="47" s="1"/>
  <c r="AK224" i="57" a="1"/>
  <c r="AK224" i="57" s="1"/>
  <c r="Z103" i="47" s="1"/>
  <c r="AO176" i="57"/>
  <c r="AO165" i="57" s="1"/>
  <c r="X106" i="47"/>
  <c r="M174" i="57"/>
  <c r="M172" i="57"/>
  <c r="M175" i="57"/>
  <c r="M178" i="57"/>
  <c r="M176" i="57"/>
  <c r="M173" i="57"/>
  <c r="M179" i="57"/>
  <c r="AG181" i="57"/>
  <c r="AG182"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Y225" i="57" a="1"/>
  <c r="Y225" i="57" s="1"/>
  <c r="O107" i="47"/>
  <c r="P104" i="47"/>
  <c r="Z222" i="57" a="1"/>
  <c r="Z222"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176" i="57"/>
  <c r="AW165" i="57" s="1"/>
  <c r="AS165" i="57"/>
  <c r="Y106" i="47"/>
  <c r="AK223" i="57" a="1"/>
  <c r="AK223" i="57" s="1"/>
  <c r="X104" i="47"/>
  <c r="AJ222" i="57" a="1"/>
  <c r="AJ222" i="57" s="1"/>
  <c r="Q103" i="47"/>
  <c r="AA224" i="57" a="1"/>
  <c r="AA224" i="57" s="1"/>
  <c r="Y107" i="47"/>
  <c r="AK225" i="57" a="1"/>
  <c r="AK225"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Z223" i="57" l="1" a="1"/>
  <c r="Z223" i="57" s="1"/>
  <c r="AL224" i="57" a="1"/>
  <c r="AL224" i="57" s="1"/>
  <c r="AM224" i="57" s="1" a="1"/>
  <c r="AM224" i="57" s="1"/>
  <c r="AO224" i="57" s="1" a="1"/>
  <c r="AO224" i="57" s="1"/>
  <c r="AC103" i="47" s="1"/>
  <c r="M181" i="57"/>
  <c r="M182" i="57" s="1"/>
  <c r="P107" i="47"/>
  <c r="Z225" i="57" a="1"/>
  <c r="Z225" i="57" s="1"/>
  <c r="Q106" i="47"/>
  <c r="AA223" i="57" a="1"/>
  <c r="AA223" i="57" s="1"/>
  <c r="Z107" i="47"/>
  <c r="AL225" i="57" a="1"/>
  <c r="AL225" i="57" s="1"/>
  <c r="Q104" i="47"/>
  <c r="AA222" i="57" a="1"/>
  <c r="AA222" i="57" s="1"/>
  <c r="Y104" i="47"/>
  <c r="AK222" i="57" a="1"/>
  <c r="AK222" i="57" s="1"/>
  <c r="AB103" i="47"/>
  <c r="R103" i="47"/>
  <c r="AB224" i="57" a="1"/>
  <c r="AB224" i="57" s="1"/>
  <c r="S103" i="47" s="1"/>
  <c r="Z106" i="47"/>
  <c r="AL223" i="57" a="1"/>
  <c r="AL223" i="57" s="1"/>
  <c r="AN224" i="57" l="1" a="1"/>
  <c r="AN224" i="57" s="1"/>
  <c r="AA103" i="47"/>
  <c r="AA225" i="57" a="1"/>
  <c r="AA225" i="57" s="1"/>
  <c r="Q107" i="47"/>
  <c r="Z104" i="47"/>
  <c r="AL222" i="57" a="1"/>
  <c r="AL222" i="57" s="1"/>
  <c r="AA107" i="47"/>
  <c r="AN225" i="57" a="1"/>
  <c r="AN225" i="57" s="1"/>
  <c r="AM225" i="57" a="1"/>
  <c r="AM225" i="57" s="1"/>
  <c r="R104" i="47"/>
  <c r="AB222" i="57" a="1"/>
  <c r="AB222" i="57" s="1"/>
  <c r="S104" i="47" s="1"/>
  <c r="R106" i="47"/>
  <c r="AB223" i="57" a="1"/>
  <c r="AB223" i="57" s="1"/>
  <c r="S106" i="47" s="1"/>
  <c r="AA106" i="47"/>
  <c r="AM223" i="57" a="1"/>
  <c r="AM223" i="57" s="1"/>
  <c r="AN223" i="57" a="1"/>
  <c r="AN223" i="57" s="1"/>
  <c r="R107" i="47" l="1"/>
  <c r="AB225" i="57" a="1"/>
  <c r="AB225" i="57" s="1"/>
  <c r="S107" i="47" s="1"/>
  <c r="AB106" i="47"/>
  <c r="AO223" i="57" a="1"/>
  <c r="AO223" i="57" s="1"/>
  <c r="AC106" i="47" s="1"/>
  <c r="AA104" i="47"/>
  <c r="AM222" i="57" a="1"/>
  <c r="AM222" i="57" s="1"/>
  <c r="AN222" i="57" a="1"/>
  <c r="AN222" i="57" s="1"/>
  <c r="AB107" i="47"/>
  <c r="AO225" i="57" a="1"/>
  <c r="AO225" i="57" s="1"/>
  <c r="AC107" i="47" s="1"/>
  <c r="AB104" i="47" l="1"/>
  <c r="AO222" i="57" a="1"/>
  <c r="AO222" i="57" s="1"/>
  <c r="AC10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color indexed="81"/>
            <rFont val="Tahoma"/>
            <family val="2"/>
          </rPr>
          <t>Fadiel:</t>
        </r>
        <r>
          <rPr>
            <sz val="9"/>
            <color indexed="81"/>
            <rFont val="Tahoma"/>
            <family val="2"/>
          </rPr>
          <t xml:space="preserve">
from GHS 2018 statssa (2019)</t>
        </r>
      </text>
    </comment>
    <comment ref="O139" authorId="7" shapeId="0" xr:uid="{5B21F091-F42F-4A99-AC82-622C1F4A6D30}">
      <text>
        <r>
          <rPr>
            <b/>
            <sz val="9"/>
            <color indexed="81"/>
            <rFont val="Tahoma"/>
            <family val="2"/>
          </rPr>
          <t>Fadiel:</t>
        </r>
        <r>
          <rPr>
            <sz val="9"/>
            <color indexed="81"/>
            <rFont val="Tahoma"/>
            <family val="2"/>
          </rPr>
          <t xml:space="preserve">
from GHS 2018 statssa (2019)</t>
        </r>
      </text>
    </comment>
    <comment ref="D141" authorId="7"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<sst xmlns="http://schemas.openxmlformats.org/spreadsheetml/2006/main" count="4655" uniqueCount="832">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</sst>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5">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s>
  <fills count="88">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499984740745262"/>
        <bgColor indexed="64"/>
      </patternFill>
    </fill>
    <fill>
      <patternFill patternType="solid">
        <fgColor theme="6" tint="0.79998168889431442"/>
        <bgColor indexed="64"/>
      </patternFill>
    </fill>
  </fills>
  <borders count="83">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rgb="FF7F7F7F"/>
      </top>
      <bottom style="thin">
        <color rgb="FF7F7F7F"/>
      </bottom>
      <diagonal/>
    </border>
    <border>
      <left/>
      <right/>
      <top style="thin">
        <color rgb="FF7F7F7F"/>
      </top>
      <bottom style="thick">
        <color rgb="FF7030A0"/>
      </bottom>
      <diagonal/>
    </border>
    <border>
      <left style="medium">
        <color indexed="64"/>
      </left>
      <right style="medium">
        <color indexed="64"/>
      </right>
      <top style="medium">
        <color indexed="64"/>
      </top>
      <bottom/>
      <diagonal/>
    </border>
    <border>
      <left style="medium">
        <color indexed="64"/>
      </left>
      <right style="medium">
        <color indexed="64"/>
      </right>
      <top style="thin">
        <color rgb="FF7F7F7F"/>
      </top>
      <bottom style="medium">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7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170" fillId="10" borderId="0" xfId="0" applyFont="1" applyFill="1" applyAlignment="1">
      <alignment wrapText="1"/>
    </xf>
    <xf numFmtId="173" fontId="18" fillId="5" borderId="10" xfId="6" applyNumberFormat="1"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1" fontId="154" fillId="0" borderId="0" xfId="11" applyNumberFormat="1" applyFont="1" applyBorder="1"/>
    <xf numFmtId="1" fontId="154" fillId="0" borderId="65" xfId="11" applyNumberFormat="1" applyFont="1" applyBorder="1"/>
    <xf numFmtId="173" fontId="0" fillId="9" borderId="0" xfId="0" applyNumberFormat="1" applyFill="1"/>
    <xf numFmtId="0" fontId="0" fillId="0" borderId="66" xfId="0" applyBorder="1"/>
    <xf numFmtId="173" fontId="0" fillId="0" borderId="67" xfId="0" applyNumberFormat="1" applyBorder="1"/>
    <xf numFmtId="0" fontId="172" fillId="0" borderId="61" xfId="0" applyFont="1" applyBorder="1"/>
    <xf numFmtId="2" fontId="27" fillId="0" borderId="10" xfId="27" applyNumberFormat="1" applyFill="1" applyBorder="1"/>
    <xf numFmtId="173" fontId="27" fillId="0" borderId="69" xfId="27" applyNumberFormat="1" applyFill="1" applyBorder="1"/>
    <xf numFmtId="2" fontId="27" fillId="6" borderId="69" xfId="27" applyNumberFormat="1" applyBorder="1"/>
    <xf numFmtId="2" fontId="27" fillId="6" borderId="70" xfId="27" applyNumberFormat="1" applyBorder="1"/>
    <xf numFmtId="2" fontId="0" fillId="0" borderId="64" xfId="0" applyNumberFormat="1" applyBorder="1"/>
    <xf numFmtId="2" fontId="15" fillId="0" borderId="65" xfId="45" applyNumberFormat="1" applyBorder="1"/>
    <xf numFmtId="2" fontId="0" fillId="0" borderId="66" xfId="0" applyNumberFormat="1" applyBorder="1"/>
    <xf numFmtId="2" fontId="0" fillId="0" borderId="67" xfId="0" applyNumberFormat="1" applyBorder="1"/>
    <xf numFmtId="2" fontId="15" fillId="0" borderId="68" xfId="45" applyNumberFormat="1" applyBorder="1"/>
    <xf numFmtId="0" fontId="171" fillId="0" borderId="62" xfId="0" applyFont="1" applyBorder="1"/>
    <xf numFmtId="0" fontId="172" fillId="0" borderId="62" xfId="0" applyFont="1" applyBorder="1"/>
    <xf numFmtId="9" fontId="27" fillId="10" borderId="8" xfId="45" applyFont="1" applyFill="1" applyBorder="1"/>
    <xf numFmtId="172" fontId="27" fillId="10" borderId="8" xfId="45" applyNumberFormat="1" applyFont="1" applyFill="1" applyBorder="1"/>
    <xf numFmtId="9" fontId="34" fillId="10" borderId="5" xfId="45" applyFont="1" applyFill="1" applyBorder="1"/>
    <xf numFmtId="9" fontId="46" fillId="86" borderId="5" xfId="45" applyFont="1" applyFill="1" applyBorder="1"/>
    <xf numFmtId="0" fontId="171" fillId="0" borderId="0" xfId="0" applyFont="1"/>
    <xf numFmtId="2" fontId="27" fillId="81" borderId="5" xfId="27" applyNumberFormat="1" applyFill="1"/>
    <xf numFmtId="2" fontId="0" fillId="81" borderId="67" xfId="0" applyNumberFormat="1" applyFill="1" applyBorder="1"/>
    <xf numFmtId="2" fontId="34" fillId="81" borderId="0" xfId="0" applyNumberFormat="1" applyFont="1" applyFill="1"/>
    <xf numFmtId="173" fontId="0" fillId="84" borderId="0" xfId="0" applyNumberFormat="1" applyFill="1"/>
    <xf numFmtId="173" fontId="0" fillId="84" borderId="67" xfId="0" applyNumberFormat="1" applyFill="1" applyBorder="1"/>
    <xf numFmtId="173" fontId="0" fillId="9" borderId="71" xfId="0" applyNumberFormat="1" applyFill="1" applyBorder="1"/>
    <xf numFmtId="173" fontId="0" fillId="9" borderId="72" xfId="0" applyNumberFormat="1" applyFill="1" applyBorder="1"/>
    <xf numFmtId="173" fontId="0" fillId="9" borderId="73" xfId="0" applyNumberFormat="1" applyFill="1" applyBorder="1"/>
    <xf numFmtId="173" fontId="0" fillId="9" borderId="74" xfId="0" applyNumberFormat="1" applyFill="1" applyBorder="1"/>
    <xf numFmtId="173" fontId="0" fillId="9" borderId="75" xfId="0" applyNumberFormat="1" applyFill="1" applyBorder="1"/>
    <xf numFmtId="173" fontId="0" fillId="9" borderId="76" xfId="0" applyNumberFormat="1" applyFill="1" applyBorder="1"/>
    <xf numFmtId="173" fontId="0" fillId="9" borderId="77" xfId="0" applyNumberFormat="1" applyFill="1" applyBorder="1"/>
    <xf numFmtId="173" fontId="0" fillId="9" borderId="78" xfId="0" applyNumberFormat="1" applyFill="1" applyBorder="1"/>
    <xf numFmtId="0" fontId="0" fillId="9" borderId="0" xfId="0" applyFill="1"/>
    <xf numFmtId="0" fontId="171" fillId="0" borderId="67" xfId="0" applyFont="1" applyBorder="1"/>
    <xf numFmtId="2" fontId="27" fillId="6" borderId="79" xfId="27" applyNumberFormat="1" applyBorder="1"/>
    <xf numFmtId="2" fontId="15" fillId="0" borderId="0" xfId="45" applyNumberFormat="1" applyBorder="1"/>
    <xf numFmtId="2" fontId="27" fillId="38" borderId="80" xfId="27" applyNumberFormat="1" applyFill="1" applyBorder="1"/>
    <xf numFmtId="2" fontId="15" fillId="38" borderId="67" xfId="45" applyNumberFormat="1" applyFill="1" applyBorder="1"/>
    <xf numFmtId="2" fontId="0" fillId="87" borderId="0" xfId="0" applyNumberFormat="1" applyFill="1"/>
    <xf numFmtId="9" fontId="27" fillId="87" borderId="5" xfId="27" applyNumberFormat="1" applyFill="1"/>
    <xf numFmtId="2" fontId="27" fillId="87" borderId="5" xfId="27" applyNumberFormat="1" applyFill="1"/>
    <xf numFmtId="2" fontId="0" fillId="83" borderId="0" xfId="0" applyNumberFormat="1" applyFill="1"/>
    <xf numFmtId="2" fontId="27" fillId="84" borderId="5" xfId="27" applyNumberFormat="1" applyFill="1"/>
    <xf numFmtId="2" fontId="15" fillId="84" borderId="0" xfId="45" applyNumberFormat="1" applyFill="1"/>
    <xf numFmtId="2" fontId="34" fillId="84" borderId="5" xfId="27" applyNumberFormat="1" applyFont="1" applyFill="1"/>
    <xf numFmtId="0" fontId="170" fillId="38" borderId="81" xfId="0" applyFont="1" applyFill="1" applyBorder="1" applyAlignment="1">
      <alignment wrapText="1"/>
    </xf>
    <xf numFmtId="172" fontId="34" fillId="38" borderId="82" xfId="45" applyNumberFormat="1" applyFont="1" applyFill="1" applyBorder="1"/>
    <xf numFmtId="9" fontId="171" fillId="38" borderId="5" xfId="27" applyNumberFormat="1" applyFont="1" applyFill="1"/>
    <xf numFmtId="172" fontId="171" fillId="11" borderId="0" xfId="45" applyNumberFormat="1" applyFont="1" applyFill="1"/>
    <xf numFmtId="9" fontId="171" fillId="11" borderId="0" xfId="45" applyFont="1" applyFill="1"/>
    <xf numFmtId="2" fontId="171" fillId="38" borderId="5" xfId="27" applyNumberFormat="1" applyFont="1" applyFill="1"/>
    <xf numFmtId="2" fontId="171" fillId="0" borderId="0" xfId="45" applyNumberFormat="1" applyFont="1"/>
    <xf numFmtId="0" fontId="174" fillId="0" borderId="0" xfId="0" applyFont="1"/>
    <xf numFmtId="0" fontId="25" fillId="0" borderId="7" xfId="21" applyAlignment="1">
      <alignment horizontal="left"/>
    </xf>
    <xf numFmtId="0" fontId="2" fillId="0" borderId="0" xfId="31" applyFont="1" applyAlignment="1">
      <alignment horizontal="left"/>
    </xf>
    <xf numFmtId="0" fontId="0" fillId="0" borderId="0" xfId="0"/>
    <xf numFmtId="0" fontId="173" fillId="0" borderId="0" xfId="0" applyFont="1" applyAlignment="1">
      <alignment horizontal="center"/>
    </xf>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231.71682830981558</c:v>
                </c:pt>
                <c:pt idx="33">
                  <c:v>234.59291722137993</c:v>
                </c:pt>
                <c:pt idx="34">
                  <c:v>237.50470439227036</c:v>
                </c:pt>
                <c:pt idx="35">
                  <c:v>240.45263291230714</c:v>
                </c:pt>
                <c:pt idx="36">
                  <c:v>243.43715137097897</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7.8096695115239028</c:v>
                </c:pt>
                <c:pt idx="10">
                  <c:v>9.7380730180887642</c:v>
                </c:pt>
                <c:pt idx="11">
                  <c:v>10.860509619133577</c:v>
                </c:pt>
                <c:pt idx="12">
                  <c:v>12.36390722550196</c:v>
                </c:pt>
                <c:pt idx="13">
                  <c:v>13.917235381760324</c:v>
                </c:pt>
                <c:pt idx="14">
                  <c:v>15.617289035028104</c:v>
                </c:pt>
                <c:pt idx="15">
                  <c:v>17.418220519680553</c:v>
                </c:pt>
                <c:pt idx="16">
                  <c:v>19.32202716912996</c:v>
                </c:pt>
                <c:pt idx="17">
                  <c:v>21.430715623327153</c:v>
                </c:pt>
                <c:pt idx="18">
                  <c:v>23.757462408106875</c:v>
                </c:pt>
                <c:pt idx="19">
                  <c:v>26.257748223884533</c:v>
                </c:pt>
                <c:pt idx="20">
                  <c:v>28.812721467643033</c:v>
                </c:pt>
                <c:pt idx="21">
                  <c:v>31.434388145086068</c:v>
                </c:pt>
                <c:pt idx="22">
                  <c:v>34.254722957522702</c:v>
                </c:pt>
                <c:pt idx="23">
                  <c:v>37.146795283201065</c:v>
                </c:pt>
                <c:pt idx="24">
                  <c:v>40.113084077224983</c:v>
                </c:pt>
                <c:pt idx="25">
                  <c:v>43.163009136716987</c:v>
                </c:pt>
                <c:pt idx="26">
                  <c:v>46.265490184537072</c:v>
                </c:pt>
                <c:pt idx="27">
                  <c:v>49.357689919007186</c:v>
                </c:pt>
                <c:pt idx="28">
                  <c:v>52.416961220615228</c:v>
                </c:pt>
                <c:pt idx="29">
                  <c:v>68.000801500707894</c:v>
                </c:pt>
                <c:pt idx="30">
                  <c:v>84.586647856906751</c:v>
                </c:pt>
                <c:pt idx="31">
                  <c:v>113.96258857124937</c:v>
                </c:pt>
                <c:pt idx="32">
                  <c:v>130.93900116186123</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0.7293720213311059</c:v>
                </c:pt>
                <c:pt idx="10">
                  <c:v>0.90947228824377724</c:v>
                </c:pt>
                <c:pt idx="11">
                  <c:v>1.0143005208997224</c:v>
                </c:pt>
                <c:pt idx="12">
                  <c:v>1.1547080182212432</c:v>
                </c:pt>
                <c:pt idx="13">
                  <c:v>1.2997787021277649</c:v>
                </c:pt>
                <c:pt idx="14">
                  <c:v>1.4585525871974923</c:v>
                </c:pt>
                <c:pt idx="15">
                  <c:v>1.626747801515015</c:v>
                </c:pt>
                <c:pt idx="16">
                  <c:v>1.8045508829493231</c:v>
                </c:pt>
                <c:pt idx="17">
                  <c:v>2.0014885840807062</c:v>
                </c:pt>
                <c:pt idx="18">
                  <c:v>2.2187915061872387</c:v>
                </c:pt>
                <c:pt idx="19">
                  <c:v>2.4523018380480548</c:v>
                </c:pt>
                <c:pt idx="20">
                  <c:v>2.6909196177757657</c:v>
                </c:pt>
                <c:pt idx="21">
                  <c:v>2.9357661277287725</c:v>
                </c:pt>
                <c:pt idx="22">
                  <c:v>3.199166941289703</c:v>
                </c:pt>
                <c:pt idx="23">
                  <c:v>3.4692675690951651</c:v>
                </c:pt>
                <c:pt idx="24">
                  <c:v>3.7462995293281232</c:v>
                </c:pt>
                <c:pt idx="25">
                  <c:v>4.0311425693911591</c:v>
                </c:pt>
                <c:pt idx="26">
                  <c:v>4.3208939948069096</c:v>
                </c:pt>
                <c:pt idx="27">
                  <c:v>4.6096852128427024</c:v>
                </c:pt>
                <c:pt idx="28">
                  <c:v>4.8954011307521021</c:v>
                </c:pt>
                <c:pt idx="29">
                  <c:v>6.3508298231468414</c:v>
                </c:pt>
                <c:pt idx="30">
                  <c:v>7.899839325336055</c:v>
                </c:pt>
                <c:pt idx="31">
                  <c:v>10.643359934717378</c:v>
                </c:pt>
                <c:pt idx="32">
                  <c:v>12.228845767106883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0.54510163161460012</c:v>
                </c:pt>
                <c:pt idx="10">
                  <c:v>0.67970091219730777</c:v>
                </c:pt>
                <c:pt idx="11">
                  <c:v>0.75804507537996768</c:v>
                </c:pt>
                <c:pt idx="12">
                  <c:v>0.86297966793700664</c:v>
                </c:pt>
                <c:pt idx="13">
                  <c:v>0.97139932784193805</c:v>
                </c:pt>
                <c:pt idx="14">
                  <c:v>1.0900601775566656</c:v>
                </c:pt>
                <c:pt idx="15">
                  <c:v>1.2157621281016378</c:v>
                </c:pt>
                <c:pt idx="16">
                  <c:v>1.3486445899474655</c:v>
                </c:pt>
                <c:pt idx="17">
                  <c:v>1.495827452839888</c:v>
                </c:pt>
                <c:pt idx="18">
                  <c:v>1.6582304158418353</c:v>
                </c:pt>
                <c:pt idx="19">
                  <c:v>1.832746107661078</c:v>
                </c:pt>
                <c:pt idx="20">
                  <c:v>2.0110788888177349</c:v>
                </c:pt>
                <c:pt idx="21">
                  <c:v>2.1940667580630455</c:v>
                </c:pt>
                <c:pt idx="22">
                  <c:v>2.3909213247883256</c:v>
                </c:pt>
                <c:pt idx="23">
                  <c:v>2.5927830477650113</c:v>
                </c:pt>
                <c:pt idx="24">
                  <c:v>2.7998249538375557</c:v>
                </c:pt>
                <c:pt idx="25">
                  <c:v>3.0127045288026864</c:v>
                </c:pt>
                <c:pt idx="26">
                  <c:v>3.2292524222474244</c:v>
                </c:pt>
                <c:pt idx="27">
                  <c:v>3.4450826975299682</c:v>
                </c:pt>
                <c:pt idx="28">
                  <c:v>3.6586146242776425</c:v>
                </c:pt>
                <c:pt idx="29">
                  <c:v>4.7463401357048536</c:v>
                </c:pt>
                <c:pt idx="30">
                  <c:v>5.904003964773711</c:v>
                </c:pt>
                <c:pt idx="31">
                  <c:v>7.9543945978182222</c:v>
                </c:pt>
                <c:pt idx="32">
                  <c:v>9.1393192848936771</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6.7962157450030283</c:v>
                </c:pt>
                <c:pt idx="10">
                  <c:v>8.4743720683527251</c:v>
                </c:pt>
                <c:pt idx="11">
                  <c:v>9.4511510843574502</c:v>
                </c:pt>
                <c:pt idx="12">
                  <c:v>10.759454139733087</c:v>
                </c:pt>
                <c:pt idx="13">
                  <c:v>12.111208302587499</c:v>
                </c:pt>
                <c:pt idx="14">
                  <c:v>13.590647527082144</c:v>
                </c:pt>
                <c:pt idx="15">
                  <c:v>15.157873757796017</c:v>
                </c:pt>
                <c:pt idx="16">
                  <c:v>16.814625135986514</c:v>
                </c:pt>
                <c:pt idx="17">
                  <c:v>18.64967099196981</c:v>
                </c:pt>
                <c:pt idx="18">
                  <c:v>20.674477945711125</c:v>
                </c:pt>
                <c:pt idx="19">
                  <c:v>22.850303926967033</c:v>
                </c:pt>
                <c:pt idx="20">
                  <c:v>25.073720598014454</c:v>
                </c:pt>
                <c:pt idx="21">
                  <c:v>27.35517595602888</c:v>
                </c:pt>
                <c:pt idx="22">
                  <c:v>29.809518464399869</c:v>
                </c:pt>
                <c:pt idx="23">
                  <c:v>32.326289173641769</c:v>
                </c:pt>
                <c:pt idx="24">
                  <c:v>34.907645347091119</c:v>
                </c:pt>
                <c:pt idx="25">
                  <c:v>37.561784383296526</c:v>
                </c:pt>
                <c:pt idx="26">
                  <c:v>40.261659264641409</c:v>
                </c:pt>
                <c:pt idx="27">
                  <c:v>42.952587029393811</c:v>
                </c:pt>
                <c:pt idx="28">
                  <c:v>45.614859454308174</c:v>
                </c:pt>
                <c:pt idx="29">
                  <c:v>59.176398841204929</c:v>
                </c:pt>
                <c:pt idx="30">
                  <c:v>73.60991487973503</c:v>
                </c:pt>
                <c:pt idx="31">
                  <c:v>99.173766270948889</c:v>
                </c:pt>
                <c:pt idx="32">
                  <c:v>113.94716511602635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1.6532756149903027</c:v>
                </c:pt>
                <c:pt idx="10">
                  <c:v>2.0615108787951302</c:v>
                </c:pt>
                <c:pt idx="11">
                  <c:v>2.2991261913434693</c:v>
                </c:pt>
                <c:pt idx="12">
                  <c:v>2.617389416000544</c:v>
                </c:pt>
                <c:pt idx="13">
                  <c:v>2.9462227371840277</c:v>
                </c:pt>
                <c:pt idx="14">
                  <c:v>3.3061172557645402</c:v>
                </c:pt>
                <c:pt idx="15">
                  <c:v>3.6873672053879765</c:v>
                </c:pt>
                <c:pt idx="16">
                  <c:v>4.0903954135018585</c:v>
                </c:pt>
                <c:pt idx="17">
                  <c:v>4.5367962753810369</c:v>
                </c:pt>
                <c:pt idx="18">
                  <c:v>5.0293592085316856</c:v>
                </c:pt>
                <c:pt idx="19">
                  <c:v>5.5586596563459922</c:v>
                </c:pt>
                <c:pt idx="20">
                  <c:v>6.0995372126402225</c:v>
                </c:pt>
                <c:pt idx="21">
                  <c:v>6.654533500518153</c:v>
                </c:pt>
                <c:pt idx="22">
                  <c:v>7.2515870332738412</c:v>
                </c:pt>
                <c:pt idx="23">
                  <c:v>7.8638271089616714</c:v>
                </c:pt>
                <c:pt idx="24">
                  <c:v>8.4917785124035561</c:v>
                </c:pt>
                <c:pt idx="25">
                  <c:v>9.1374353767517213</c:v>
                </c:pt>
                <c:pt idx="26">
                  <c:v>9.7942181323807258</c:v>
                </c:pt>
                <c:pt idx="27">
                  <c:v>10.448824375338296</c:v>
                </c:pt>
                <c:pt idx="28">
                  <c:v>11.096459801539741</c:v>
                </c:pt>
                <c:pt idx="29">
                  <c:v>14.395496090458636</c:v>
                </c:pt>
                <c:pt idx="30">
                  <c:v>17.906653034323814</c:v>
                </c:pt>
                <c:pt idx="31">
                  <c:v>24.125421495493519</c:v>
                </c:pt>
                <c:pt idx="32">
                  <c:v>27.719259739821005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0.87528563526536463</c:v>
                </c:pt>
                <c:pt idx="10">
                  <c:v>1.0914156374121804</c:v>
                </c:pt>
                <c:pt idx="11">
                  <c:v>1.2172151519679375</c:v>
                </c:pt>
                <c:pt idx="12">
                  <c:v>1.3857116967967349</c:v>
                </c:pt>
                <c:pt idx="13">
                  <c:v>1.5598043162116735</c:v>
                </c:pt>
                <c:pt idx="14">
                  <c:v>1.7503415136807803</c:v>
                </c:pt>
                <c:pt idx="15">
                  <c:v>1.9521848127201815</c:v>
                </c:pt>
                <c:pt idx="16">
                  <c:v>2.1655580688005909</c:v>
                </c:pt>
                <c:pt idx="17">
                  <c:v>2.4018938971586556</c:v>
                </c:pt>
                <c:pt idx="18">
                  <c:v>2.6626690854828756</c:v>
                </c:pt>
                <c:pt idx="19">
                  <c:v>2.9428940367921008</c:v>
                </c:pt>
                <c:pt idx="20">
                  <c:v>3.2292482001083913</c:v>
                </c:pt>
                <c:pt idx="21">
                  <c:v>3.5230771745398584</c:v>
                </c:pt>
                <c:pt idx="22">
                  <c:v>3.8391723107452984</c:v>
                </c:pt>
                <c:pt idx="23">
                  <c:v>4.1633075842135892</c:v>
                </c:pt>
                <c:pt idx="24">
                  <c:v>4.4957608292102691</c:v>
                </c:pt>
                <c:pt idx="25">
                  <c:v>4.8375877899120026</c:v>
                </c:pt>
                <c:pt idx="26">
                  <c:v>5.1853050769025586</c:v>
                </c:pt>
                <c:pt idx="27">
                  <c:v>5.5318700634182232</c:v>
                </c:pt>
                <c:pt idx="28">
                  <c:v>5.8747445244598637</c:v>
                </c:pt>
                <c:pt idx="29">
                  <c:v>7.6213371964426306</c:v>
                </c:pt>
                <c:pt idx="30">
                  <c:v>9.4802318709070921</c:v>
                </c:pt>
                <c:pt idx="31">
                  <c:v>12.772604088672528</c:v>
                </c:pt>
                <c:pt idx="32">
                  <c:v>14.675272320276244</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1.2284391116911484</c:v>
                </c:pt>
                <c:pt idx="10">
                  <c:v>1.5317715750035923</c:v>
                </c:pt>
                <c:pt idx="11">
                  <c:v>1.7083277044380716</c:v>
                </c:pt>
                <c:pt idx="12">
                  <c:v>1.9448079315924471</c:v>
                </c:pt>
                <c:pt idx="13">
                  <c:v>2.1891420942126696</c:v>
                </c:pt>
                <c:pt idx="14">
                  <c:v>2.4565557660160557</c:v>
                </c:pt>
                <c:pt idx="15">
                  <c:v>2.7398372377810984</c:v>
                </c:pt>
                <c:pt idx="16">
                  <c:v>3.0393006844519657</c:v>
                </c:pt>
                <c:pt idx="17">
                  <c:v>3.3709914644119889</c:v>
                </c:pt>
                <c:pt idx="18">
                  <c:v>3.7369822082209807</c:v>
                </c:pt>
                <c:pt idx="19">
                  <c:v>4.1302701549101037</c:v>
                </c:pt>
                <c:pt idx="20">
                  <c:v>4.5321602806479477</c:v>
                </c:pt>
                <c:pt idx="21">
                  <c:v>4.944541096460469</c:v>
                </c:pt>
                <c:pt idx="22">
                  <c:v>5.388171852736253</c:v>
                </c:pt>
                <c:pt idx="23">
                  <c:v>5.8430867186547779</c:v>
                </c:pt>
                <c:pt idx="24">
                  <c:v>6.3096756269015639</c:v>
                </c:pt>
                <c:pt idx="25">
                  <c:v>6.7894202851458596</c:v>
                </c:pt>
                <c:pt idx="26">
                  <c:v>7.2774318529591859</c:v>
                </c:pt>
                <c:pt idx="27">
                  <c:v>7.763826199016842</c:v>
                </c:pt>
                <c:pt idx="28">
                  <c:v>8.2450409949341523</c:v>
                </c:pt>
                <c:pt idx="29">
                  <c:v>10.696335365606982</c:v>
                </c:pt>
                <c:pt idx="30">
                  <c:v>13.305242481892762</c:v>
                </c:pt>
                <c:pt idx="31">
                  <c:v>17.925995570479898</c:v>
                </c:pt>
                <c:pt idx="32">
                  <c:v>20.596337660083165</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10.512953163622372</c:v>
                </c:pt>
                <c:pt idx="17">
                  <c:v>12.424858207989349</c:v>
                </c:pt>
                <c:pt idx="18">
                  <c:v>12.676892361183713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4.2633489955005288</c:v>
                </c:pt>
                <c:pt idx="17">
                  <c:v>5.0387837757209324</c:v>
                </c:pt>
                <c:pt idx="18">
                  <c:v>5.1409938436979452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28.076488290030191</c:v>
                </c:pt>
                <c:pt idx="17">
                  <c:v>33.183151044948346</c:v>
                </c:pt>
                <c:pt idx="18">
                  <c:v>33.856260325870089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8.0540551724679439</c:v>
                </c:pt>
                <c:pt idx="17">
                  <c:v>9.5189585873976093</c:v>
                </c:pt>
                <c:pt idx="18">
                  <c:v>9.7120475246479643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5.5135649117371868</c:v>
                </c:pt>
                <c:pt idx="17">
                  <c:v>6.516393908395929</c:v>
                </c:pt>
                <c:pt idx="18">
                  <c:v>6.6485768108557295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136.71951644047903</c:v>
                </c:pt>
                <c:pt idx="15">
                  <c:v>174.11223500317791</c:v>
                </c:pt>
                <c:pt idx="16">
                  <c:v>221.02525354426686</c:v>
                </c:pt>
                <c:pt idx="17">
                  <c:v>261.2262009886681</c:v>
                </c:pt>
                <c:pt idx="18">
                  <c:v>266.52508836880941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67.684935668951326</c:v>
                </c:pt>
                <c:pt idx="17">
                  <c:v>79.995739515898293</c:v>
                </c:pt>
                <c:pt idx="18">
                  <c:v>81.618426723313064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3.8223970781243763</c:v>
                </c:pt>
                <c:pt idx="17">
                  <c:v>4.5176297792986562</c:v>
                </c:pt>
                <c:pt idx="18">
                  <c:v>4.6092684102440833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1.0950570618151625</c:v>
                </c:pt>
                <c:pt idx="17">
                  <c:v>1.2942303720352772</c:v>
                </c:pt>
                <c:pt idx="18">
                  <c:v>1.3204834085202004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35.39933406239382</c:v>
                </c:pt>
                <c:pt idx="15">
                  <c:v>61.530990968900106</c:v>
                </c:pt>
                <c:pt idx="16">
                  <c:v>100.09129813895515</c:v>
                </c:pt>
                <c:pt idx="17">
                  <c:v>145.6430039824954</c:v>
                </c:pt>
                <c:pt idx="18">
                  <c:v>177.9672437698697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54.022789586186938</c:v>
                </c:pt>
                <c:pt idx="17">
                  <c:v>67.861806956783795</c:v>
                </c:pt>
                <c:pt idx="18">
                  <c:v>73.549690484162284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86.9457419513449</c:v>
                </c:pt>
                <c:pt idx="4">
                  <c:v>91.870107239718436</c:v>
                </c:pt>
                <c:pt idx="5">
                  <c:v>112.58429272743091</c:v>
                </c:pt>
                <c:pt idx="6">
                  <c:v>148.41084013675146</c:v>
                </c:pt>
                <c:pt idx="7">
                  <c:v>183.24497714602427</c:v>
                </c:pt>
                <c:pt idx="8">
                  <c:v>196.27767980712804</c:v>
                </c:pt>
                <c:pt idx="10">
                  <c:v>88.672727178245694</c:v>
                </c:pt>
                <c:pt idx="11">
                  <c:v>87.357882681535756</c:v>
                </c:pt>
                <c:pt idx="12">
                  <c:v>84.559607459462228</c:v>
                </c:pt>
                <c:pt idx="13">
                  <c:v>86.9457419513449</c:v>
                </c:pt>
                <c:pt idx="14">
                  <c:v>91.870107239718436</c:v>
                </c:pt>
                <c:pt idx="15">
                  <c:v>112.58429272743091</c:v>
                </c:pt>
                <c:pt idx="16">
                  <c:v>148.41084013675146</c:v>
                </c:pt>
                <c:pt idx="17">
                  <c:v>183.24497714602427</c:v>
                </c:pt>
                <c:pt idx="18">
                  <c:v>196.27767980712804</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86.9457419513449</c:v>
                </c:pt>
                <c:pt idx="5">
                  <c:v>87.492893650053077</c:v>
                </c:pt>
                <c:pt idx="6">
                  <c:v>88.040045348761254</c:v>
                </c:pt>
                <c:pt idx="7">
                  <c:v>88.587197047469431</c:v>
                </c:pt>
                <c:pt idx="8">
                  <c:v>88.587197047469431</c:v>
                </c:pt>
                <c:pt idx="9">
                  <c:v>88.587197047469431</c:v>
                </c:pt>
                <c:pt idx="10">
                  <c:v>89.134348746177608</c:v>
                </c:pt>
                <c:pt idx="11">
                  <c:v>89.681500444885785</c:v>
                </c:pt>
                <c:pt idx="12">
                  <c:v>90.228652143593962</c:v>
                </c:pt>
                <c:pt idx="13">
                  <c:v>90.775803842302139</c:v>
                </c:pt>
                <c:pt idx="14">
                  <c:v>91.322955541010316</c:v>
                </c:pt>
                <c:pt idx="15">
                  <c:v>91.870107239718436</c:v>
                </c:pt>
                <c:pt idx="16">
                  <c:v>93.941525788489685</c:v>
                </c:pt>
                <c:pt idx="17">
                  <c:v>96.012944337260933</c:v>
                </c:pt>
                <c:pt idx="18">
                  <c:v>96.012944337260933</c:v>
                </c:pt>
                <c:pt idx="19">
                  <c:v>96.012944337260933</c:v>
                </c:pt>
                <c:pt idx="20">
                  <c:v>98.084362886032181</c:v>
                </c:pt>
                <c:pt idx="21">
                  <c:v>100.15578143480343</c:v>
                </c:pt>
                <c:pt idx="22">
                  <c:v>102.22719998357468</c:v>
                </c:pt>
                <c:pt idx="23">
                  <c:v>104.29861853234593</c:v>
                </c:pt>
                <c:pt idx="24">
                  <c:v>106.37003708111718</c:v>
                </c:pt>
                <c:pt idx="25">
                  <c:v>108.44145562988842</c:v>
                </c:pt>
                <c:pt idx="26">
                  <c:v>110.51287417865967</c:v>
                </c:pt>
                <c:pt idx="27">
                  <c:v>112.58429272743091</c:v>
                </c:pt>
                <c:pt idx="28">
                  <c:v>130.49756643209119</c:v>
                </c:pt>
                <c:pt idx="29">
                  <c:v>148.41084013675146</c:v>
                </c:pt>
                <c:pt idx="30">
                  <c:v>183.24497714602427</c:v>
                </c:pt>
                <c:pt idx="31">
                  <c:v>196.27767980712804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86.9457419513449</c:v>
                </c:pt>
                <c:pt idx="7">
                  <c:v>87.492893650053077</c:v>
                </c:pt>
                <c:pt idx="8">
                  <c:v>88.040045348761254</c:v>
                </c:pt>
                <c:pt idx="9">
                  <c:v>88.587197047469431</c:v>
                </c:pt>
                <c:pt idx="10">
                  <c:v>89.134348746177608</c:v>
                </c:pt>
                <c:pt idx="11">
                  <c:v>89.681500444885785</c:v>
                </c:pt>
                <c:pt idx="12">
                  <c:v>90.228652143593962</c:v>
                </c:pt>
                <c:pt idx="13">
                  <c:v>90.775803842302139</c:v>
                </c:pt>
                <c:pt idx="14">
                  <c:v>90.228652143593962</c:v>
                </c:pt>
                <c:pt idx="15">
                  <c:v>90.775803842302139</c:v>
                </c:pt>
                <c:pt idx="16">
                  <c:v>91.322955541010316</c:v>
                </c:pt>
                <c:pt idx="17">
                  <c:v>91.870107239718436</c:v>
                </c:pt>
                <c:pt idx="18">
                  <c:v>93.941525788489685</c:v>
                </c:pt>
                <c:pt idx="19">
                  <c:v>96.012944337260933</c:v>
                </c:pt>
                <c:pt idx="20">
                  <c:v>98.084362886032181</c:v>
                </c:pt>
                <c:pt idx="21">
                  <c:v>100.15578143480343</c:v>
                </c:pt>
                <c:pt idx="22">
                  <c:v>102.22719998357468</c:v>
                </c:pt>
                <c:pt idx="23">
                  <c:v>104.29861853234593</c:v>
                </c:pt>
                <c:pt idx="24">
                  <c:v>106.37003708111718</c:v>
                </c:pt>
                <c:pt idx="25">
                  <c:v>108.44145562988842</c:v>
                </c:pt>
                <c:pt idx="26">
                  <c:v>110.51287417865967</c:v>
                </c:pt>
                <c:pt idx="27">
                  <c:v>112.58429272743091</c:v>
                </c:pt>
                <c:pt idx="28">
                  <c:v>116.16694746836296</c:v>
                </c:pt>
                <c:pt idx="29">
                  <c:v>119.74960220929502</c:v>
                </c:pt>
                <c:pt idx="30">
                  <c:v>123.33225695022708</c:v>
                </c:pt>
                <c:pt idx="31">
                  <c:v>126.91491169115913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0.11520732560017592</c:v>
                </c:pt>
                <c:pt idx="16">
                  <c:v>9.2591622021171202E-2</c:v>
                </c:pt>
                <c:pt idx="17">
                  <c:v>7.2344307725924581E-2</c:v>
                </c:pt>
                <c:pt idx="18">
                  <c:v>4.7390606229744323E-2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4.385395164516483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4.9615033054014743</c:v>
                </c:pt>
                <c:pt idx="15">
                  <c:v>6.7642418779762927</c:v>
                </c:pt>
                <c:pt idx="16">
                  <c:v>9.2249522826237769</c:v>
                </c:pt>
                <c:pt idx="17">
                  <c:v>10.502346212946236</c:v>
                </c:pt>
                <c:pt idx="18">
                  <c:v>11.371100945986138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9">
                  <c:v>0</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230.71827362227481</c:v>
                </c:pt>
                <c:pt idx="7">
                  <c:v>258.03736688157136</c:v>
                </c:pt>
                <c:pt idx="8">
                  <c:v>282.01731492258176</c:v>
                </c:pt>
                <c:pt idx="9" formatCode="General">
                  <c:v>0</c:v>
                </c:pt>
                <c:pt idx="10">
                  <c:v>113.03311091083582</c:v>
                </c:pt>
                <c:pt idx="11">
                  <c:v>118.46307900397879</c:v>
                </c:pt>
                <c:pt idx="12">
                  <c:v>109.6316893111631</c:v>
                </c:pt>
                <c:pt idx="13">
                  <c:v>116.21592076775832</c:v>
                </c:pt>
                <c:pt idx="14">
                  <c:v>126.1715547725331</c:v>
                </c:pt>
                <c:pt idx="15">
                  <c:v>152.90342153812423</c:v>
                </c:pt>
                <c:pt idx="16">
                  <c:v>195.56561759768886</c:v>
                </c:pt>
                <c:pt idx="17">
                  <c:v>218.90515912975533</c:v>
                </c:pt>
                <c:pt idx="18">
                  <c:v>225.77534424986897</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49.0276331447334</c:v>
                </c:pt>
                <c:pt idx="7">
                  <c:v>54.832940462333923</c:v>
                </c:pt>
                <c:pt idx="8">
                  <c:v>59.928679421048628</c:v>
                </c:pt>
                <c:pt idx="10">
                  <c:v>24.019536068552615</c:v>
                </c:pt>
                <c:pt idx="11">
                  <c:v>25.173404288345498</c:v>
                </c:pt>
                <c:pt idx="12">
                  <c:v>23.296733978622161</c:v>
                </c:pt>
                <c:pt idx="13">
                  <c:v>24.695883163148647</c:v>
                </c:pt>
                <c:pt idx="14">
                  <c:v>26.811455389163289</c:v>
                </c:pt>
                <c:pt idx="15">
                  <c:v>32.491977076851406</c:v>
                </c:pt>
                <c:pt idx="16">
                  <c:v>41.557693739508892</c:v>
                </c:pt>
                <c:pt idx="17">
                  <c:v>46.517346315073013</c:v>
                </c:pt>
                <c:pt idx="18">
                  <c:v>47.977260653097161</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8.6519352608353053</c:v>
                </c:pt>
                <c:pt idx="7">
                  <c:v>9.6764012580589256</c:v>
                </c:pt>
                <c:pt idx="8">
                  <c:v>10.575649309596816</c:v>
                </c:pt>
                <c:pt idx="10">
                  <c:v>4.2387416591563438</c:v>
                </c:pt>
                <c:pt idx="11">
                  <c:v>4.4423654626492048</c:v>
                </c:pt>
                <c:pt idx="12">
                  <c:v>4.1111883491686161</c:v>
                </c:pt>
                <c:pt idx="13">
                  <c:v>4.3580970287909366</c:v>
                </c:pt>
                <c:pt idx="14">
                  <c:v>4.7314333039699914</c:v>
                </c:pt>
                <c:pt idx="15">
                  <c:v>5.7338783076796593</c:v>
                </c:pt>
                <c:pt idx="16">
                  <c:v>7.3337106599133328</c:v>
                </c:pt>
                <c:pt idx="17">
                  <c:v>8.2089434673658257</c:v>
                </c:pt>
                <c:pt idx="18">
                  <c:v>8.4665754093700869</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16.842454125788834</c:v>
                </c:pt>
                <c:pt idx="4">
                  <c:v>17.820918529388283</c:v>
                </c:pt>
                <c:pt idx="5">
                  <c:v>18.073916612121252</c:v>
                </c:pt>
                <c:pt idx="6">
                  <c:v>17.491635529566878</c:v>
                </c:pt>
                <c:pt idx="7">
                  <c:v>17.132754329065854</c:v>
                </c:pt>
                <c:pt idx="8">
                  <c:v>16.428437925556729</c:v>
                </c:pt>
                <c:pt idx="9" formatCode="General">
                  <c:v>0</c:v>
                </c:pt>
                <c:pt idx="10">
                  <c:v>16.019623147367891</c:v>
                </c:pt>
                <c:pt idx="11">
                  <c:v>16.390365445896254</c:v>
                </c:pt>
                <c:pt idx="12">
                  <c:v>16.665664027538941</c:v>
                </c:pt>
                <c:pt idx="13">
                  <c:v>16.842454125788834</c:v>
                </c:pt>
                <c:pt idx="14">
                  <c:v>18.277076400505315</c:v>
                </c:pt>
                <c:pt idx="15">
                  <c:v>18.990907205064687</c:v>
                </c:pt>
                <c:pt idx="16">
                  <c:v>18.568913941995799</c:v>
                </c:pt>
                <c:pt idx="17">
                  <c:v>18.295799890482993</c:v>
                </c:pt>
                <c:pt idx="18">
                  <c:v>18.237052920326864</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105.82543554779683</c:v>
                </c:pt>
                <c:pt idx="4">
                  <c:v>111.97337698825345</c:v>
                </c:pt>
                <c:pt idx="5">
                  <c:v>113.56302847835181</c:v>
                </c:pt>
                <c:pt idx="6">
                  <c:v>109.90440790486855</c:v>
                </c:pt>
                <c:pt idx="7">
                  <c:v>107.64946577652486</c:v>
                </c:pt>
                <c:pt idx="8">
                  <c:v>103.22406615197222</c:v>
                </c:pt>
                <c:pt idx="9" formatCode="General">
                  <c:v>0</c:v>
                </c:pt>
                <c:pt idx="10">
                  <c:v>100.65537861765586</c:v>
                </c:pt>
                <c:pt idx="11">
                  <c:v>102.9848470505062</c:v>
                </c:pt>
                <c:pt idx="12">
                  <c:v>104.71461826380103</c:v>
                </c:pt>
                <c:pt idx="13">
                  <c:v>105.82543554779683</c:v>
                </c:pt>
                <c:pt idx="14">
                  <c:v>111.14979482373028</c:v>
                </c:pt>
                <c:pt idx="15">
                  <c:v>112.51889621028938</c:v>
                </c:pt>
                <c:pt idx="16">
                  <c:v>110.01863565633192</c:v>
                </c:pt>
                <c:pt idx="17">
                  <c:v>108.40046695675839</c:v>
                </c:pt>
                <c:pt idx="18">
                  <c:v>108.05239805376762</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2.8312206322409188</c:v>
                </c:pt>
                <c:pt idx="4">
                  <c:v>3.0837140091185553</c:v>
                </c:pt>
                <c:pt idx="5">
                  <c:v>3.3270719583361981</c:v>
                </c:pt>
                <c:pt idx="6">
                  <c:v>3.5116050165620889</c:v>
                </c:pt>
                <c:pt idx="7">
                  <c:v>3.6159272158105646</c:v>
                </c:pt>
                <c:pt idx="8">
                  <c:v>3.6584895419821946</c:v>
                </c:pt>
                <c:pt idx="10">
                  <c:v>1.8199995725306073</c:v>
                </c:pt>
                <c:pt idx="11">
                  <c:v>2.7827386966557452</c:v>
                </c:pt>
                <c:pt idx="12">
                  <c:v>2.7728192749407472</c:v>
                </c:pt>
                <c:pt idx="13">
                  <c:v>2.8312206322409188</c:v>
                </c:pt>
                <c:pt idx="14">
                  <c:v>2.7107997568530555</c:v>
                </c:pt>
                <c:pt idx="15">
                  <c:v>2.9247283726769364</c:v>
                </c:pt>
                <c:pt idx="16">
                  <c:v>3.0869458052569052</c:v>
                </c:pt>
                <c:pt idx="17">
                  <c:v>3.1786522966892869</c:v>
                </c:pt>
                <c:pt idx="18">
                  <c:v>3.2160675508587659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9.1197012950280598</c:v>
                </c:pt>
                <c:pt idx="4">
                  <c:v>9.6495114415779959</c:v>
                </c:pt>
                <c:pt idx="5">
                  <c:v>9.7865025787072693</c:v>
                </c:pt>
                <c:pt idx="6">
                  <c:v>9.4712142304070923</c:v>
                </c:pt>
                <c:pt idx="7">
                  <c:v>9.2768904504800904</c:v>
                </c:pt>
                <c:pt idx="8">
                  <c:v>8.8955235089868872</c:v>
                </c:pt>
                <c:pt idx="9" formatCode="General">
                  <c:v>0</c:v>
                </c:pt>
                <c:pt idx="10">
                  <c:v>8.6741621423932465</c:v>
                </c:pt>
                <c:pt idx="11">
                  <c:v>8.8749083635056305</c:v>
                </c:pt>
                <c:pt idx="12">
                  <c:v>9.0239745751619225</c:v>
                </c:pt>
                <c:pt idx="13">
                  <c:v>9.1197012950280598</c:v>
                </c:pt>
                <c:pt idx="14">
                  <c:v>13.586246150610366</c:v>
                </c:pt>
                <c:pt idx="15">
                  <c:v>17.088844511599678</c:v>
                </c:pt>
                <c:pt idx="16">
                  <c:v>16.709116614471966</c:v>
                </c:pt>
                <c:pt idx="17">
                  <c:v>16.46335670896357</c:v>
                </c:pt>
                <c:pt idx="18">
                  <c:v>16.410493629402108</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9" formatCode="General">
                  <c:v>0</c:v>
                </c:pt>
                <c:pt idx="10">
                  <c:v>0.64854136839212595</c:v>
                </c:pt>
                <c:pt idx="11">
                  <c:v>0.6995709084876961</c:v>
                </c:pt>
                <c:pt idx="12">
                  <c:v>0.64248252977129328</c:v>
                </c:pt>
                <c:pt idx="13">
                  <c:v>0.68522387738371804</c:v>
                </c:pt>
                <c:pt idx="14">
                  <c:v>1.4819498780717364</c:v>
                </c:pt>
                <c:pt idx="15">
                  <c:v>2.5138635661777662</c:v>
                </c:pt>
                <c:pt idx="16">
                  <c:v>4.3095625394226769</c:v>
                </c:pt>
                <c:pt idx="17">
                  <c:v>5.623397503663158</c:v>
                </c:pt>
                <c:pt idx="18">
                  <c:v>6.6634521251781704</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164.79876687305341</c:v>
                </c:pt>
                <c:pt idx="7">
                  <c:v>184.31240491540811</c:v>
                </c:pt>
                <c:pt idx="8">
                  <c:v>201.44093923041561</c:v>
                </c:pt>
                <c:pt idx="10">
                  <c:v>80.737936364882756</c:v>
                </c:pt>
                <c:pt idx="11">
                  <c:v>84.616485002842012</c:v>
                </c:pt>
                <c:pt idx="12">
                  <c:v>78.308349507973659</c:v>
                </c:pt>
                <c:pt idx="13">
                  <c:v>83.011371976970224</c:v>
                </c:pt>
                <c:pt idx="14">
                  <c:v>90.122539123237956</c:v>
                </c:pt>
                <c:pt idx="15">
                  <c:v>109.21672967008878</c:v>
                </c:pt>
                <c:pt idx="16">
                  <c:v>139.68972685549204</c:v>
                </c:pt>
                <c:pt idx="17">
                  <c:v>156.36082794982522</c:v>
                </c:pt>
                <c:pt idx="18">
                  <c:v>161.2681030356207</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35.019737960523855</c:v>
                </c:pt>
                <c:pt idx="7">
                  <c:v>39.166386044524231</c:v>
                </c:pt>
                <c:pt idx="8">
                  <c:v>42.806199586463322</c:v>
                </c:pt>
                <c:pt idx="10">
                  <c:v>17.156811477537588</c:v>
                </c:pt>
                <c:pt idx="11">
                  <c:v>17.98100306310393</c:v>
                </c:pt>
                <c:pt idx="12">
                  <c:v>16.640524270444406</c:v>
                </c:pt>
                <c:pt idx="13">
                  <c:v>17.639916545106175</c:v>
                </c:pt>
                <c:pt idx="14">
                  <c:v>19.151039563688069</c:v>
                </c:pt>
                <c:pt idx="15">
                  <c:v>23.208555054893868</c:v>
                </c:pt>
                <c:pt idx="16">
                  <c:v>29.684066956792066</c:v>
                </c:pt>
                <c:pt idx="17">
                  <c:v>33.226675939337866</c:v>
                </c:pt>
                <c:pt idx="18">
                  <c:v>34.269471895069401</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6.1799537577395034</c:v>
                </c:pt>
                <c:pt idx="7">
                  <c:v>6.9117151843278037</c:v>
                </c:pt>
                <c:pt idx="8">
                  <c:v>7.5540352211405857</c:v>
                </c:pt>
                <c:pt idx="10">
                  <c:v>3.0276726136831034</c:v>
                </c:pt>
                <c:pt idx="11">
                  <c:v>3.1731181876065753</c:v>
                </c:pt>
                <c:pt idx="12">
                  <c:v>2.9365631065490123</c:v>
                </c:pt>
                <c:pt idx="13">
                  <c:v>3.1129264491363839</c:v>
                </c:pt>
                <c:pt idx="14">
                  <c:v>3.3795952171214232</c:v>
                </c:pt>
                <c:pt idx="15">
                  <c:v>4.0956273626283295</c:v>
                </c:pt>
                <c:pt idx="16">
                  <c:v>5.2383647570809524</c:v>
                </c:pt>
                <c:pt idx="17">
                  <c:v>5.8635310481184462</c:v>
                </c:pt>
                <c:pt idx="18">
                  <c:v>6.047553863835776</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0.67369816503155333</c:v>
                </c:pt>
                <c:pt idx="4">
                  <c:v>0.71283674117553131</c:v>
                </c:pt>
                <c:pt idx="5">
                  <c:v>0.72295666448485008</c:v>
                </c:pt>
                <c:pt idx="6">
                  <c:v>0.69966542118267516</c:v>
                </c:pt>
                <c:pt idx="7">
                  <c:v>0.68531017316263421</c:v>
                </c:pt>
                <c:pt idx="8">
                  <c:v>0.65713751702226919</c:v>
                </c:pt>
                <c:pt idx="10">
                  <c:v>0.6407849258947157</c:v>
                </c:pt>
                <c:pt idx="11">
                  <c:v>0.65561461783585018</c:v>
                </c:pt>
                <c:pt idx="12">
                  <c:v>0.6666265611015576</c:v>
                </c:pt>
                <c:pt idx="13">
                  <c:v>0.67369816503155333</c:v>
                </c:pt>
                <c:pt idx="14">
                  <c:v>0.73108305602021262</c:v>
                </c:pt>
                <c:pt idx="15">
                  <c:v>0.75963628820258744</c:v>
                </c:pt>
                <c:pt idx="16">
                  <c:v>0.74275655767983195</c:v>
                </c:pt>
                <c:pt idx="17">
                  <c:v>0.73183199561931966</c:v>
                </c:pt>
                <c:pt idx="18">
                  <c:v>0.72948211681307451</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7.5589596819854874</c:v>
                </c:pt>
                <c:pt idx="4">
                  <c:v>7.9980983563038182</c:v>
                </c:pt>
                <c:pt idx="5">
                  <c:v>8.1116448913108439</c:v>
                </c:pt>
                <c:pt idx="6">
                  <c:v>7.8503148503477531</c:v>
                </c:pt>
                <c:pt idx="7">
                  <c:v>7.6892475554660615</c:v>
                </c:pt>
                <c:pt idx="8">
                  <c:v>7.37314758228373</c:v>
                </c:pt>
                <c:pt idx="10">
                  <c:v>7.1896699012611327</c:v>
                </c:pt>
                <c:pt idx="11">
                  <c:v>7.3560605036075861</c:v>
                </c:pt>
                <c:pt idx="12">
                  <c:v>7.4796155902715018</c:v>
                </c:pt>
                <c:pt idx="13">
                  <c:v>7.5589596819854874</c:v>
                </c:pt>
                <c:pt idx="14">
                  <c:v>7.9392710588378765</c:v>
                </c:pt>
                <c:pt idx="15">
                  <c:v>8.03706401502067</c:v>
                </c:pt>
                <c:pt idx="16">
                  <c:v>7.8584739754522799</c:v>
                </c:pt>
                <c:pt idx="17">
                  <c:v>7.7428904969113139</c:v>
                </c:pt>
                <c:pt idx="18">
                  <c:v>7.7180284324119723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0.11324882528963676</c:v>
                </c:pt>
                <c:pt idx="4">
                  <c:v>0.12334856036474222</c:v>
                </c:pt>
                <c:pt idx="5">
                  <c:v>0.13308287833344792</c:v>
                </c:pt>
                <c:pt idx="6">
                  <c:v>0.14046420066248355</c:v>
                </c:pt>
                <c:pt idx="7">
                  <c:v>0.14463708863242258</c:v>
                </c:pt>
                <c:pt idx="8">
                  <c:v>0.14633958167928779</c:v>
                </c:pt>
                <c:pt idx="10">
                  <c:v>7.2799982901224289E-2</c:v>
                </c:pt>
                <c:pt idx="11">
                  <c:v>0.1113095478662298</c:v>
                </c:pt>
                <c:pt idx="12">
                  <c:v>0.11091277099762989</c:v>
                </c:pt>
                <c:pt idx="13">
                  <c:v>0.11324882528963676</c:v>
                </c:pt>
                <c:pt idx="14">
                  <c:v>0.10843199027412222</c:v>
                </c:pt>
                <c:pt idx="15">
                  <c:v>0.11698913490707746</c:v>
                </c:pt>
                <c:pt idx="16">
                  <c:v>0.12347783221027621</c:v>
                </c:pt>
                <c:pt idx="17">
                  <c:v>0.12714609186757148</c:v>
                </c:pt>
                <c:pt idx="18">
                  <c:v>0.12864270203435063</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230.71827362227481</c:v>
                </c:pt>
                <c:pt idx="7">
                  <c:v>258.03736688157136</c:v>
                </c:pt>
                <c:pt idx="8">
                  <c:v>282.01731492258176</c:v>
                </c:pt>
                <c:pt idx="9" formatCode="General">
                  <c:v>0</c:v>
                </c:pt>
                <c:pt idx="10">
                  <c:v>113.03311091083582</c:v>
                </c:pt>
                <c:pt idx="11">
                  <c:v>118.46307900397879</c:v>
                </c:pt>
                <c:pt idx="12">
                  <c:v>109.6316893111631</c:v>
                </c:pt>
                <c:pt idx="13">
                  <c:v>116.21592076775832</c:v>
                </c:pt>
                <c:pt idx="14">
                  <c:v>126.1715547725331</c:v>
                </c:pt>
                <c:pt idx="15">
                  <c:v>152.90342153812423</c:v>
                </c:pt>
                <c:pt idx="16">
                  <c:v>195.56561759768886</c:v>
                </c:pt>
                <c:pt idx="17">
                  <c:v>218.90515912975533</c:v>
                </c:pt>
                <c:pt idx="18">
                  <c:v>225.77534424986897</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49.0276331447334</c:v>
                </c:pt>
                <c:pt idx="7">
                  <c:v>54.832940462333923</c:v>
                </c:pt>
                <c:pt idx="8">
                  <c:v>59.928679421048628</c:v>
                </c:pt>
                <c:pt idx="10">
                  <c:v>24.019536068552615</c:v>
                </c:pt>
                <c:pt idx="11">
                  <c:v>25.173404288345498</c:v>
                </c:pt>
                <c:pt idx="12">
                  <c:v>23.296733978622161</c:v>
                </c:pt>
                <c:pt idx="13">
                  <c:v>24.695883163148647</c:v>
                </c:pt>
                <c:pt idx="14">
                  <c:v>26.811455389163289</c:v>
                </c:pt>
                <c:pt idx="15">
                  <c:v>32.491977076851406</c:v>
                </c:pt>
                <c:pt idx="16">
                  <c:v>41.557693739508892</c:v>
                </c:pt>
                <c:pt idx="17">
                  <c:v>46.517346315073013</c:v>
                </c:pt>
                <c:pt idx="18">
                  <c:v>47.977260653097161</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8.6519352608353053</c:v>
                </c:pt>
                <c:pt idx="7">
                  <c:v>9.6764012580589256</c:v>
                </c:pt>
                <c:pt idx="8">
                  <c:v>10.575649309596816</c:v>
                </c:pt>
                <c:pt idx="10">
                  <c:v>4.2387416591563438</c:v>
                </c:pt>
                <c:pt idx="11">
                  <c:v>4.4423654626492048</c:v>
                </c:pt>
                <c:pt idx="12">
                  <c:v>4.1111883491686161</c:v>
                </c:pt>
                <c:pt idx="13">
                  <c:v>4.3580970287909366</c:v>
                </c:pt>
                <c:pt idx="14">
                  <c:v>4.7314333039699914</c:v>
                </c:pt>
                <c:pt idx="15">
                  <c:v>5.7338783076796593</c:v>
                </c:pt>
                <c:pt idx="16">
                  <c:v>7.3337106599133328</c:v>
                </c:pt>
                <c:pt idx="17">
                  <c:v>8.2089434673658257</c:v>
                </c:pt>
                <c:pt idx="18">
                  <c:v>8.4665754093700869</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16.842454125788834</c:v>
                </c:pt>
                <c:pt idx="4">
                  <c:v>17.820918529388283</c:v>
                </c:pt>
                <c:pt idx="5">
                  <c:v>18.073916612121252</c:v>
                </c:pt>
                <c:pt idx="6">
                  <c:v>17.491635529566878</c:v>
                </c:pt>
                <c:pt idx="7">
                  <c:v>17.132754329065854</c:v>
                </c:pt>
                <c:pt idx="8">
                  <c:v>16.428437925556729</c:v>
                </c:pt>
                <c:pt idx="9" formatCode="General">
                  <c:v>0</c:v>
                </c:pt>
                <c:pt idx="10">
                  <c:v>16.019623147367891</c:v>
                </c:pt>
                <c:pt idx="11">
                  <c:v>16.390365445896254</c:v>
                </c:pt>
                <c:pt idx="12">
                  <c:v>16.665664027538941</c:v>
                </c:pt>
                <c:pt idx="13">
                  <c:v>16.842454125788834</c:v>
                </c:pt>
                <c:pt idx="14">
                  <c:v>18.277076400505315</c:v>
                </c:pt>
                <c:pt idx="15">
                  <c:v>18.990907205064687</c:v>
                </c:pt>
                <c:pt idx="16">
                  <c:v>18.568913941995799</c:v>
                </c:pt>
                <c:pt idx="17">
                  <c:v>18.295799890482993</c:v>
                </c:pt>
                <c:pt idx="18">
                  <c:v>18.237052920326864</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105.82543554779683</c:v>
                </c:pt>
                <c:pt idx="4">
                  <c:v>111.97337698825345</c:v>
                </c:pt>
                <c:pt idx="5">
                  <c:v>113.56302847835181</c:v>
                </c:pt>
                <c:pt idx="6">
                  <c:v>109.90440790486855</c:v>
                </c:pt>
                <c:pt idx="7">
                  <c:v>107.64946577652486</c:v>
                </c:pt>
                <c:pt idx="8">
                  <c:v>103.22406615197222</c:v>
                </c:pt>
                <c:pt idx="9" formatCode="General">
                  <c:v>0</c:v>
                </c:pt>
                <c:pt idx="10">
                  <c:v>100.65537861765586</c:v>
                </c:pt>
                <c:pt idx="11">
                  <c:v>102.9848470505062</c:v>
                </c:pt>
                <c:pt idx="12">
                  <c:v>104.71461826380103</c:v>
                </c:pt>
                <c:pt idx="13">
                  <c:v>105.82543554779683</c:v>
                </c:pt>
                <c:pt idx="14">
                  <c:v>111.14979482373028</c:v>
                </c:pt>
                <c:pt idx="15">
                  <c:v>112.51889621028938</c:v>
                </c:pt>
                <c:pt idx="16">
                  <c:v>110.01863565633192</c:v>
                </c:pt>
                <c:pt idx="17">
                  <c:v>108.40046695675839</c:v>
                </c:pt>
                <c:pt idx="18">
                  <c:v>108.05239805376762</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2.8312206322409188</c:v>
                </c:pt>
                <c:pt idx="4">
                  <c:v>3.0837140091185553</c:v>
                </c:pt>
                <c:pt idx="5">
                  <c:v>3.3270719583361981</c:v>
                </c:pt>
                <c:pt idx="6">
                  <c:v>3.5116050165620889</c:v>
                </c:pt>
                <c:pt idx="7">
                  <c:v>3.6159272158105646</c:v>
                </c:pt>
                <c:pt idx="8">
                  <c:v>3.6584895419821946</c:v>
                </c:pt>
                <c:pt idx="10">
                  <c:v>1.8199995725306073</c:v>
                </c:pt>
                <c:pt idx="11">
                  <c:v>2.7827386966557452</c:v>
                </c:pt>
                <c:pt idx="12">
                  <c:v>2.7728192749407472</c:v>
                </c:pt>
                <c:pt idx="13">
                  <c:v>2.8312206322409188</c:v>
                </c:pt>
                <c:pt idx="14">
                  <c:v>2.7107997568530555</c:v>
                </c:pt>
                <c:pt idx="15">
                  <c:v>2.9247283726769364</c:v>
                </c:pt>
                <c:pt idx="16">
                  <c:v>3.0869458052569052</c:v>
                </c:pt>
                <c:pt idx="17">
                  <c:v>3.1786522966892869</c:v>
                </c:pt>
                <c:pt idx="18">
                  <c:v>3.2160675508587659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9.1197012950280598</c:v>
                </c:pt>
                <c:pt idx="4">
                  <c:v>9.6495114415779959</c:v>
                </c:pt>
                <c:pt idx="5">
                  <c:v>9.7865025787072693</c:v>
                </c:pt>
                <c:pt idx="6">
                  <c:v>9.4712142304070923</c:v>
                </c:pt>
                <c:pt idx="7">
                  <c:v>9.2768904504800904</c:v>
                </c:pt>
                <c:pt idx="8">
                  <c:v>8.8955235089868872</c:v>
                </c:pt>
                <c:pt idx="9" formatCode="General">
                  <c:v>0</c:v>
                </c:pt>
                <c:pt idx="10">
                  <c:v>8.6741621423932465</c:v>
                </c:pt>
                <c:pt idx="11">
                  <c:v>8.8749083635056305</c:v>
                </c:pt>
                <c:pt idx="12">
                  <c:v>9.0239745751619225</c:v>
                </c:pt>
                <c:pt idx="13">
                  <c:v>9.1197012950280598</c:v>
                </c:pt>
                <c:pt idx="14">
                  <c:v>13.586246150610366</c:v>
                </c:pt>
                <c:pt idx="15">
                  <c:v>17.088844511599678</c:v>
                </c:pt>
                <c:pt idx="16">
                  <c:v>16.709116614471966</c:v>
                </c:pt>
                <c:pt idx="17">
                  <c:v>16.46335670896357</c:v>
                </c:pt>
                <c:pt idx="18">
                  <c:v>16.410493629402108</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9" formatCode="General">
                  <c:v>0</c:v>
                </c:pt>
                <c:pt idx="10">
                  <c:v>0.64854136839212595</c:v>
                </c:pt>
                <c:pt idx="11">
                  <c:v>0.6995709084876961</c:v>
                </c:pt>
                <c:pt idx="12">
                  <c:v>0.64248252977129328</c:v>
                </c:pt>
                <c:pt idx="13">
                  <c:v>0.68522387738371804</c:v>
                </c:pt>
                <c:pt idx="14">
                  <c:v>1.4819498780717364</c:v>
                </c:pt>
                <c:pt idx="15">
                  <c:v>2.5138635661777662</c:v>
                </c:pt>
                <c:pt idx="16">
                  <c:v>4.3095625394226769</c:v>
                </c:pt>
                <c:pt idx="17">
                  <c:v>5.623397503663158</c:v>
                </c:pt>
                <c:pt idx="18">
                  <c:v>6.6634521251781704</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0.51729204386729877</c:v>
                </c:pt>
                <c:pt idx="7">
                  <c:v>0.51729204386729877</c:v>
                </c:pt>
                <c:pt idx="8">
                  <c:v>0.51865795945727067</c:v>
                </c:pt>
                <c:pt idx="10" formatCode="0%">
                  <c:v>0.40039186287579059</c:v>
                </c:pt>
                <c:pt idx="11" formatCode="0%">
                  <c:v>0.40039186287579059</c:v>
                </c:pt>
                <c:pt idx="12" formatCode="0%">
                  <c:v>0.3966824420527032</c:v>
                </c:pt>
                <c:pt idx="13" formatCode="0%">
                  <c:v>0.40045855369940653</c:v>
                </c:pt>
                <c:pt idx="14">
                  <c:v>0.40074768802838273</c:v>
                </c:pt>
                <c:pt idx="15">
                  <c:v>0.43781987491610613</c:v>
                </c:pt>
                <c:pt idx="16">
                  <c:v>0.50435974277061624</c:v>
                </c:pt>
                <c:pt idx="17">
                  <c:v>0.50435974277061624</c:v>
                </c:pt>
                <c:pt idx="18">
                  <c:v>0.50569151047083893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2.2230447152746691</c:v>
                </c:pt>
                <c:pt idx="7">
                  <c:v>2.5121731010596071</c:v>
                </c:pt>
                <c:pt idx="8">
                  <c:v>2.7411143514484757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0.11520732560017592</c:v>
                </c:pt>
                <c:pt idx="16">
                  <c:v>9.2591622021171202E-2</c:v>
                </c:pt>
                <c:pt idx="17">
                  <c:v>7.2344307725924581E-2</c:v>
                </c:pt>
                <c:pt idx="18">
                  <c:v>4.7390606229744323E-2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4.385395164516483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4.9615033054014743</c:v>
                </c:pt>
                <c:pt idx="15">
                  <c:v>6.7642418779762927</c:v>
                </c:pt>
                <c:pt idx="16">
                  <c:v>9.2249522826237769</c:v>
                </c:pt>
                <c:pt idx="17">
                  <c:v>10.502346212946236</c:v>
                </c:pt>
                <c:pt idx="18">
                  <c:v>11.371100945986138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9">
                  <c:v>0</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15.81141736298512</c:v>
                      </c:pt>
                      <c:pt idx="7">
                        <c:v>17.668314181017472</c:v>
                      </c:pt>
                      <c:pt idx="8">
                        <c:v>19.296184114964429</c:v>
                      </c:pt>
                      <c:pt idx="10">
                        <c:v>7.8228147287494769</c:v>
                      </c:pt>
                      <c:pt idx="11">
                        <c:v>8.1980519800018872</c:v>
                      </c:pt>
                      <c:pt idx="12">
                        <c:v>7.6201903898356402</c:v>
                      </c:pt>
                      <c:pt idx="13">
                        <c:v>8.0509655947035181</c:v>
                      </c:pt>
                      <c:pt idx="14">
                        <c:v>9.0124221194341665</c:v>
                      </c:pt>
                      <c:pt idx="15">
                        <c:v>11.215312997171637</c:v>
                      </c:pt>
                      <c:pt idx="16">
                        <c:v>14.269360873256659</c:v>
                      </c:pt>
                      <c:pt idx="17">
                        <c:v>15.956168508123481</c:v>
                      </c:pt>
                      <c:pt idx="18">
                        <c:v>16.953081408490494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208.97104247411164</c:v>
                </c:pt>
                <c:pt idx="7">
                  <c:v>233.51265407810908</c:v>
                </c:pt>
                <c:pt idx="8">
                  <c:v>252.2305955298178</c:v>
                </c:pt>
                <c:pt idx="10">
                  <c:v>138.40313364615901</c:v>
                </c:pt>
                <c:pt idx="11">
                  <c:v>140.46218054044525</c:v>
                </c:pt>
                <c:pt idx="12">
                  <c:v>131.00262524999772</c:v>
                </c:pt>
                <c:pt idx="13">
                  <c:v>135.55581606900626</c:v>
                </c:pt>
                <c:pt idx="14">
                  <c:v>139.38327797959894</c:v>
                </c:pt>
                <c:pt idx="15">
                  <c:v>160.87619606351649</c:v>
                </c:pt>
                <c:pt idx="16">
                  <c:v>194.0624072714709</c:v>
                </c:pt>
                <c:pt idx="17">
                  <c:v>210.88414090194127</c:v>
                </c:pt>
                <c:pt idx="18">
                  <c:v>221.60266476794666</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0.87324556335065862</c:v>
                </c:pt>
                <c:pt idx="7">
                  <c:v>0.87324556335065862</c:v>
                </c:pt>
                <c:pt idx="8">
                  <c:v>0.87555137830179786</c:v>
                </c:pt>
                <c:pt idx="10">
                  <c:v>0.67590526860622457</c:v>
                </c:pt>
                <c:pt idx="11">
                  <c:v>0.67590526860622457</c:v>
                </c:pt>
                <c:pt idx="12">
                  <c:v>0.66964336043507822</c:v>
                </c:pt>
                <c:pt idx="13">
                  <c:v>0.67601785001266457</c:v>
                </c:pt>
                <c:pt idx="14">
                  <c:v>0.6595932918823364</c:v>
                </c:pt>
                <c:pt idx="15">
                  <c:v>0.70259538518859765</c:v>
                </c:pt>
                <c:pt idx="16">
                  <c:v>0.80937583706871419</c:v>
                </c:pt>
                <c:pt idx="17">
                  <c:v>0.80937583706871419</c:v>
                </c:pt>
                <c:pt idx="18">
                  <c:v>0.79122517819136273</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0.30898214998733542</c:v>
                </c:pt>
                <c:pt idx="4">
                  <c:v>0.29114775344395882</c:v>
                </c:pt>
                <c:pt idx="5">
                  <c:v>0.22696118187983172</c:v>
                </c:pt>
                <c:pt idx="6">
                  <c:v>0.11175443664934137</c:v>
                </c:pt>
                <c:pt idx="7">
                  <c:v>0.11175443664934137</c:v>
                </c:pt>
                <c:pt idx="8">
                  <c:v>0.10944862169820213</c:v>
                </c:pt>
                <c:pt idx="10" formatCode="0%">
                  <c:v>0.30909473139377541</c:v>
                </c:pt>
                <c:pt idx="11" formatCode="0%">
                  <c:v>0.30909473139377541</c:v>
                </c:pt>
                <c:pt idx="12" formatCode="0%">
                  <c:v>0.31535663956492177</c:v>
                </c:pt>
                <c:pt idx="13" formatCode="0%">
                  <c:v>0.30898214998733542</c:v>
                </c:pt>
                <c:pt idx="14">
                  <c:v>0.32040670811766359</c:v>
                </c:pt>
                <c:pt idx="15">
                  <c:v>0.27740461481140233</c:v>
                </c:pt>
                <c:pt idx="16">
                  <c:v>0.16562416293128579</c:v>
                </c:pt>
                <c:pt idx="17">
                  <c:v>0.16062416293128579</c:v>
                </c:pt>
                <c:pt idx="18">
                  <c:v>0.17877482180863724</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146.45624086635229</c:v>
                </c:pt>
                <c:pt idx="31">
                  <c:v>164.79876687305341</c:v>
                </c:pt>
                <c:pt idx="32">
                  <c:v>184.31240491540811</c:v>
                </c:pt>
                <c:pt idx="33">
                  <c:v>201.44093923041561</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31.121951184099871</c:v>
                </c:pt>
                <c:pt idx="31">
                  <c:v>35.019737960523855</c:v>
                </c:pt>
                <c:pt idx="32">
                  <c:v>39.166386044524231</c:v>
                </c:pt>
                <c:pt idx="33">
                  <c:v>42.806199586463322</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5.4921090324882123</c:v>
                </c:pt>
                <c:pt idx="31">
                  <c:v>6.1799537577395034</c:v>
                </c:pt>
                <c:pt idx="32">
                  <c:v>6.9117151843278037</c:v>
                </c:pt>
                <c:pt idx="33">
                  <c:v>7.5540352211405857</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0.67369816503155333</c:v>
                </c:pt>
                <c:pt idx="5">
                  <c:v>0.6780468957142175</c:v>
                </c:pt>
                <c:pt idx="6">
                  <c:v>0.68239562639688167</c:v>
                </c:pt>
                <c:pt idx="7">
                  <c:v>0.68239562639688167</c:v>
                </c:pt>
                <c:pt idx="8">
                  <c:v>0.68239562639688167</c:v>
                </c:pt>
                <c:pt idx="9">
                  <c:v>0.68674435707954584</c:v>
                </c:pt>
                <c:pt idx="10">
                  <c:v>0.69109308776221001</c:v>
                </c:pt>
                <c:pt idx="11">
                  <c:v>0.69544181844487418</c:v>
                </c:pt>
                <c:pt idx="12">
                  <c:v>0.69979054912753835</c:v>
                </c:pt>
                <c:pt idx="13">
                  <c:v>0.70413927981020252</c:v>
                </c:pt>
                <c:pt idx="14">
                  <c:v>0.70848801049286669</c:v>
                </c:pt>
                <c:pt idx="15">
                  <c:v>0.71283674117553131</c:v>
                </c:pt>
                <c:pt idx="16">
                  <c:v>0.71384873350646316</c:v>
                </c:pt>
                <c:pt idx="17">
                  <c:v>0.71486072583739502</c:v>
                </c:pt>
                <c:pt idx="18">
                  <c:v>0.71486072583739502</c:v>
                </c:pt>
                <c:pt idx="19">
                  <c:v>0.71486072583739502</c:v>
                </c:pt>
                <c:pt idx="20">
                  <c:v>0.71587271816832687</c:v>
                </c:pt>
                <c:pt idx="21">
                  <c:v>0.71688471049925873</c:v>
                </c:pt>
                <c:pt idx="22">
                  <c:v>0.71789670283019058</c:v>
                </c:pt>
                <c:pt idx="23">
                  <c:v>0.71890869516112244</c:v>
                </c:pt>
                <c:pt idx="24">
                  <c:v>0.71992068749205429</c:v>
                </c:pt>
                <c:pt idx="25">
                  <c:v>0.72093267982298614</c:v>
                </c:pt>
                <c:pt idx="26">
                  <c:v>0.72093267982298614</c:v>
                </c:pt>
                <c:pt idx="27">
                  <c:v>0.721944672153918</c:v>
                </c:pt>
                <c:pt idx="28">
                  <c:v>0.72295666448485008</c:v>
                </c:pt>
                <c:pt idx="29">
                  <c:v>0.72295666448485008</c:v>
                </c:pt>
                <c:pt idx="30">
                  <c:v>0.71131104283376256</c:v>
                </c:pt>
                <c:pt idx="31">
                  <c:v>0.69966542118267516</c:v>
                </c:pt>
                <c:pt idx="32">
                  <c:v>0.68531017316263421</c:v>
                </c:pt>
                <c:pt idx="33">
                  <c:v>0.65713751702226919</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7.5589596819854874</c:v>
                </c:pt>
                <c:pt idx="5">
                  <c:v>7.6077528680208575</c:v>
                </c:pt>
                <c:pt idx="6">
                  <c:v>7.6565460540562276</c:v>
                </c:pt>
                <c:pt idx="7">
                  <c:v>7.6565460540562276</c:v>
                </c:pt>
                <c:pt idx="8">
                  <c:v>7.6565460540562276</c:v>
                </c:pt>
                <c:pt idx="9">
                  <c:v>7.7053392400915977</c:v>
                </c:pt>
                <c:pt idx="10">
                  <c:v>7.7541324261269677</c:v>
                </c:pt>
                <c:pt idx="11">
                  <c:v>7.8029256121623378</c:v>
                </c:pt>
                <c:pt idx="12">
                  <c:v>7.8517187981977079</c:v>
                </c:pt>
                <c:pt idx="13">
                  <c:v>7.900511984233078</c:v>
                </c:pt>
                <c:pt idx="14">
                  <c:v>7.9493051702684481</c:v>
                </c:pt>
                <c:pt idx="15">
                  <c:v>7.9980983563038182</c:v>
                </c:pt>
                <c:pt idx="16">
                  <c:v>8.0094530098045205</c:v>
                </c:pt>
                <c:pt idx="17">
                  <c:v>8.0208076633052237</c:v>
                </c:pt>
                <c:pt idx="18">
                  <c:v>8.0208076633052237</c:v>
                </c:pt>
                <c:pt idx="19">
                  <c:v>8.0208076633052237</c:v>
                </c:pt>
                <c:pt idx="20">
                  <c:v>8.0321623168059268</c:v>
                </c:pt>
                <c:pt idx="21">
                  <c:v>8.04351697030663</c:v>
                </c:pt>
                <c:pt idx="22">
                  <c:v>8.0548716238073332</c:v>
                </c:pt>
                <c:pt idx="23">
                  <c:v>8.0662262773080364</c:v>
                </c:pt>
                <c:pt idx="24">
                  <c:v>8.0775809308087396</c:v>
                </c:pt>
                <c:pt idx="25">
                  <c:v>8.0889355843094428</c:v>
                </c:pt>
                <c:pt idx="26">
                  <c:v>8.0889355843094428</c:v>
                </c:pt>
                <c:pt idx="27">
                  <c:v>8.100290237810146</c:v>
                </c:pt>
                <c:pt idx="28">
                  <c:v>8.1116448913108439</c:v>
                </c:pt>
                <c:pt idx="29">
                  <c:v>8.1116448913108439</c:v>
                </c:pt>
                <c:pt idx="30">
                  <c:v>7.9809798708292981</c:v>
                </c:pt>
                <c:pt idx="31">
                  <c:v>7.8503148503477531</c:v>
                </c:pt>
                <c:pt idx="32">
                  <c:v>7.6892475554660615</c:v>
                </c:pt>
                <c:pt idx="33">
                  <c:v>7.37314758228373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0.11324882528963676</c:v>
                </c:pt>
                <c:pt idx="5">
                  <c:v>0.11437101807575958</c:v>
                </c:pt>
                <c:pt idx="6">
                  <c:v>0.11549321086188241</c:v>
                </c:pt>
                <c:pt idx="7">
                  <c:v>0.11549321086188241</c:v>
                </c:pt>
                <c:pt idx="8">
                  <c:v>0.11549321086188241</c:v>
                </c:pt>
                <c:pt idx="9">
                  <c:v>0.11661540364800524</c:v>
                </c:pt>
                <c:pt idx="10">
                  <c:v>0.11773759643412807</c:v>
                </c:pt>
                <c:pt idx="11">
                  <c:v>0.11885978922025089</c:v>
                </c:pt>
                <c:pt idx="12">
                  <c:v>0.11998198200637372</c:v>
                </c:pt>
                <c:pt idx="13">
                  <c:v>0.12110417479249655</c:v>
                </c:pt>
                <c:pt idx="14">
                  <c:v>0.12222636757861938</c:v>
                </c:pt>
                <c:pt idx="15">
                  <c:v>0.12334856036474222</c:v>
                </c:pt>
                <c:pt idx="16">
                  <c:v>0.12432199216161278</c:v>
                </c:pt>
                <c:pt idx="17">
                  <c:v>0.12529542395848337</c:v>
                </c:pt>
                <c:pt idx="18">
                  <c:v>0.12529542395848337</c:v>
                </c:pt>
                <c:pt idx="19">
                  <c:v>0.12529542395848337</c:v>
                </c:pt>
                <c:pt idx="20">
                  <c:v>0.12626885575535393</c:v>
                </c:pt>
                <c:pt idx="21">
                  <c:v>0.1272422875522245</c:v>
                </c:pt>
                <c:pt idx="22">
                  <c:v>0.12821571934909506</c:v>
                </c:pt>
                <c:pt idx="23">
                  <c:v>0.12918915114596563</c:v>
                </c:pt>
                <c:pt idx="24">
                  <c:v>0.1301625829428362</c:v>
                </c:pt>
                <c:pt idx="25">
                  <c:v>0.13113601473970676</c:v>
                </c:pt>
                <c:pt idx="26">
                  <c:v>0.13113601473970676</c:v>
                </c:pt>
                <c:pt idx="27">
                  <c:v>0.13210944653657733</c:v>
                </c:pt>
                <c:pt idx="28">
                  <c:v>0.13308287833344792</c:v>
                </c:pt>
                <c:pt idx="29">
                  <c:v>0.13308287833344792</c:v>
                </c:pt>
                <c:pt idx="30">
                  <c:v>0.13677353949796572</c:v>
                </c:pt>
                <c:pt idx="31">
                  <c:v>0.14046420066248355</c:v>
                </c:pt>
                <c:pt idx="32">
                  <c:v>0.14463708863242258</c:v>
                </c:pt>
                <c:pt idx="33">
                  <c:v>0.14633958167928779</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9.1197012950280598</c:v>
                </c:pt>
                <c:pt idx="5">
                  <c:v>9.178569089089164</c:v>
                </c:pt>
                <c:pt idx="6">
                  <c:v>9.2374368831502682</c:v>
                </c:pt>
                <c:pt idx="7">
                  <c:v>9.2374368831502682</c:v>
                </c:pt>
                <c:pt idx="8">
                  <c:v>9.2374368831502682</c:v>
                </c:pt>
                <c:pt idx="9">
                  <c:v>9.2963046772113724</c:v>
                </c:pt>
                <c:pt idx="10">
                  <c:v>9.3551724712724766</c:v>
                </c:pt>
                <c:pt idx="11">
                  <c:v>9.4140402653335808</c:v>
                </c:pt>
                <c:pt idx="12">
                  <c:v>9.4729080593946851</c:v>
                </c:pt>
                <c:pt idx="13">
                  <c:v>9.5317758534557893</c:v>
                </c:pt>
                <c:pt idx="14">
                  <c:v>9.5906436475168935</c:v>
                </c:pt>
                <c:pt idx="15">
                  <c:v>9.6495114415779959</c:v>
                </c:pt>
                <c:pt idx="16">
                  <c:v>9.6632105552909238</c:v>
                </c:pt>
                <c:pt idx="17">
                  <c:v>9.6769096690038516</c:v>
                </c:pt>
                <c:pt idx="18">
                  <c:v>9.6769096690038516</c:v>
                </c:pt>
                <c:pt idx="19">
                  <c:v>9.6769096690038516</c:v>
                </c:pt>
                <c:pt idx="20">
                  <c:v>9.6906087827167795</c:v>
                </c:pt>
                <c:pt idx="21">
                  <c:v>9.7043078964297074</c:v>
                </c:pt>
                <c:pt idx="22">
                  <c:v>9.7180070101426352</c:v>
                </c:pt>
                <c:pt idx="23">
                  <c:v>9.7317061238555631</c:v>
                </c:pt>
                <c:pt idx="24">
                  <c:v>9.745405237568491</c:v>
                </c:pt>
                <c:pt idx="25">
                  <c:v>9.7591043512814188</c:v>
                </c:pt>
                <c:pt idx="26">
                  <c:v>9.7591043512814188</c:v>
                </c:pt>
                <c:pt idx="27">
                  <c:v>9.7728034649943467</c:v>
                </c:pt>
                <c:pt idx="28">
                  <c:v>9.7865025787072693</c:v>
                </c:pt>
                <c:pt idx="29">
                  <c:v>9.7865025787072693</c:v>
                </c:pt>
                <c:pt idx="30">
                  <c:v>9.6288584045571817</c:v>
                </c:pt>
                <c:pt idx="31">
                  <c:v>9.4712142304070923</c:v>
                </c:pt>
                <c:pt idx="32">
                  <c:v>9.2768904504800904</c:v>
                </c:pt>
                <c:pt idx="33">
                  <c:v>8.8955235089868872</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0.51775978483244489</c:v>
                </c:pt>
                <c:pt idx="4">
                  <c:v>0.54783276761566269</c:v>
                </c:pt>
                <c:pt idx="5">
                  <c:v>0.60602365990079676</c:v>
                </c:pt>
                <c:pt idx="6">
                  <c:v>0.60602365990079676</c:v>
                </c:pt>
                <c:pt idx="7">
                  <c:v>0.60602365990079676</c:v>
                </c:pt>
                <c:pt idx="8">
                  <c:v>0.72509043455722955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0.48224021516755511</c:v>
                </c:pt>
                <c:pt idx="4">
                  <c:v>0.45216723238433731</c:v>
                </c:pt>
                <c:pt idx="5">
                  <c:v>0.39397634009920324</c:v>
                </c:pt>
                <c:pt idx="6">
                  <c:v>0.39397634009920324</c:v>
                </c:pt>
                <c:pt idx="7">
                  <c:v>0.39397634009920324</c:v>
                </c:pt>
                <c:pt idx="8">
                  <c:v>0.27490956544277045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164.79876687305341</c:v>
                </c:pt>
                <c:pt idx="7">
                  <c:v>184.31240491540811</c:v>
                </c:pt>
                <c:pt idx="8">
                  <c:v>201.44093923041561</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90.122539123237956</c:v>
                </c:pt>
                <c:pt idx="5">
                  <c:v>109.21672967008878</c:v>
                </c:pt>
                <c:pt idx="6">
                  <c:v>139.68972685549204</c:v>
                </c:pt>
                <c:pt idx="7">
                  <c:v>156.36082794982522</c:v>
                </c:pt>
                <c:pt idx="8">
                  <c:v>161.2681030356207</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202</v>
      </c>
      <c r="B1" s="66" t="s">
        <v>28</v>
      </c>
      <c r="C1" s="66" t="s">
        <v>204</v>
      </c>
      <c r="D1" s="66" t="s">
        <v>200</v>
      </c>
    </row>
    <row r="2" spans="1:4">
      <c r="A2" s="65">
        <v>41499</v>
      </c>
      <c r="B2" s="64" t="s">
        <v>203</v>
      </c>
      <c r="C2" s="64" t="s">
        <v>205</v>
      </c>
      <c r="D2" t="s">
        <v>201</v>
      </c>
    </row>
    <row r="3" spans="1:4">
      <c r="A3" s="65">
        <v>41500</v>
      </c>
      <c r="B3" t="s">
        <v>208</v>
      </c>
      <c r="C3" t="s">
        <v>209</v>
      </c>
      <c r="D3" t="s">
        <v>201</v>
      </c>
    </row>
    <row r="4" spans="1:4">
      <c r="A4" s="65">
        <v>41502</v>
      </c>
      <c r="B4" t="s">
        <v>210</v>
      </c>
      <c r="C4" t="s">
        <v>209</v>
      </c>
      <c r="D4" t="s">
        <v>201</v>
      </c>
    </row>
    <row r="5" spans="1:4">
      <c r="A5" s="65">
        <v>41505</v>
      </c>
      <c r="B5" t="s">
        <v>212</v>
      </c>
      <c r="C5" t="s">
        <v>247</v>
      </c>
      <c r="D5" t="s">
        <v>211</v>
      </c>
    </row>
    <row r="7" spans="1:4">
      <c r="A7" s="65">
        <v>41599</v>
      </c>
      <c r="B7" t="s">
        <v>252</v>
      </c>
      <c r="C7" t="s">
        <v>4</v>
      </c>
      <c r="D7" t="s">
        <v>211</v>
      </c>
    </row>
    <row r="9" spans="1:4">
      <c r="A9" s="65" t="s">
        <v>391</v>
      </c>
      <c r="B9" t="s">
        <v>392</v>
      </c>
      <c r="D9" t="s">
        <v>393</v>
      </c>
    </row>
    <row r="11" spans="1:4">
      <c r="A11" s="65">
        <v>42467</v>
      </c>
      <c r="B11" t="s">
        <v>414</v>
      </c>
      <c r="C11" t="s">
        <v>415</v>
      </c>
      <c r="D11" t="s">
        <v>416</v>
      </c>
    </row>
    <row r="13" spans="1:4">
      <c r="A13" s="122">
        <v>42963</v>
      </c>
      <c r="B13" t="s">
        <v>431</v>
      </c>
      <c r="C13" t="s">
        <v>430</v>
      </c>
      <c r="D13" t="s">
        <v>211</v>
      </c>
    </row>
    <row r="14" spans="1:4">
      <c r="B14" t="s">
        <v>432</v>
      </c>
    </row>
    <row r="15" spans="1:4">
      <c r="B15" t="s">
        <v>433</v>
      </c>
    </row>
    <row r="17" spans="1:4">
      <c r="A17" s="122">
        <v>43007</v>
      </c>
      <c r="B17" t="s">
        <v>484</v>
      </c>
      <c r="D17" t="s">
        <v>211</v>
      </c>
    </row>
    <row r="18" spans="1:4">
      <c r="B18" t="s">
        <v>485</v>
      </c>
    </row>
    <row r="20" spans="1:4">
      <c r="A20" s="122">
        <v>43039</v>
      </c>
      <c r="B20" t="s">
        <v>500</v>
      </c>
      <c r="C20" t="s">
        <v>501</v>
      </c>
      <c r="D20" t="s">
        <v>502</v>
      </c>
    </row>
    <row r="21" spans="1:4">
      <c r="B21" t="s">
        <v>503</v>
      </c>
      <c r="C21" t="s">
        <v>4</v>
      </c>
      <c r="D21" t="s">
        <v>502</v>
      </c>
    </row>
    <row r="24" spans="1:4">
      <c r="A24" s="183">
        <v>44007.756886921299</v>
      </c>
      <c r="B24" t="s">
        <v>583</v>
      </c>
      <c r="C24" t="s">
        <v>584</v>
      </c>
      <c r="D24" t="s">
        <v>585</v>
      </c>
    </row>
    <row r="26" spans="1:4">
      <c r="A26" s="65">
        <v>44061</v>
      </c>
      <c r="B26" t="s">
        <v>629</v>
      </c>
      <c r="C26" t="s">
        <v>523</v>
      </c>
      <c r="D26" t="s">
        <v>393</v>
      </c>
    </row>
    <row r="27" spans="1:4">
      <c r="B27" t="s">
        <v>630</v>
      </c>
      <c r="C27" t="s">
        <v>523</v>
      </c>
      <c r="D27" t="s">
        <v>393</v>
      </c>
    </row>
    <row r="28" spans="1:4">
      <c r="B28" t="s">
        <v>631</v>
      </c>
      <c r="C28" t="s">
        <v>523</v>
      </c>
      <c r="D28" t="s">
        <v>393</v>
      </c>
    </row>
    <row r="30" spans="1:4">
      <c r="A30" s="65">
        <v>44298</v>
      </c>
      <c r="B30" t="s">
        <v>679</v>
      </c>
      <c r="C30" t="s">
        <v>584</v>
      </c>
      <c r="D30" t="s">
        <v>585</v>
      </c>
    </row>
    <row r="38" spans="1:2">
      <c r="A38" s="183">
        <f ca="1">NOW()</f>
        <v>45322.911699537035</v>
      </c>
    </row>
    <row r="39" spans="1:2">
      <c r="A39" t="s">
        <v>488</v>
      </c>
      <c r="B39" t="s">
        <v>489</v>
      </c>
    </row>
    <row r="40" spans="1:2">
      <c r="B40" t="s">
        <v>492</v>
      </c>
    </row>
    <row r="41" spans="1:2">
      <c r="B41" t="s">
        <v>490</v>
      </c>
    </row>
    <row r="42" spans="1:2">
      <c r="B42" t="s">
        <v>491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388</v>
      </c>
    </row>
    <row r="4" spans="2:5" ht="18.75" thickTop="1" thickBot="1">
      <c r="B4" s="28" t="s">
        <v>270</v>
      </c>
    </row>
    <row r="5" spans="2:5" ht="15.75" thickTop="1"/>
    <row r="6" spans="2:5" ht="18" thickBot="1">
      <c r="B6" s="28" t="s">
        <v>271</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262</v>
      </c>
    </row>
    <row r="14" spans="2:5">
      <c r="B14" t="s">
        <v>255</v>
      </c>
    </row>
    <row r="15" spans="2:5">
      <c r="B15" t="s">
        <v>256</v>
      </c>
    </row>
    <row r="16" spans="2:5">
      <c r="B16" t="s">
        <v>257</v>
      </c>
    </row>
    <row r="17" spans="2:8">
      <c r="B17" t="s">
        <v>258</v>
      </c>
      <c r="G17" t="s">
        <v>456</v>
      </c>
    </row>
    <row r="18" spans="2:8">
      <c r="G18" t="s">
        <v>455</v>
      </c>
      <c r="H18" t="s">
        <v>457</v>
      </c>
    </row>
    <row r="19" spans="2:8">
      <c r="B19" t="s">
        <v>454</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616</v>
      </c>
      <c r="C7" t="str">
        <f>"DriversGams!"&amp;ADDRESS(ROW(DriversGams!A5),COLUMN(DriversGams!A5),4)</f>
        <v>DriversGams!A5</v>
      </c>
      <c r="D7">
        <v>1</v>
      </c>
      <c r="E7">
        <v>1</v>
      </c>
    </row>
    <row r="8" spans="1:6">
      <c r="A8" t="s">
        <v>286</v>
      </c>
      <c r="B8" t="s">
        <v>593</v>
      </c>
      <c r="C8" t="str">
        <f>"DriversGams!"&amp;ADDRESS(ROW(DriversGams!A43),COLUMN(DriversGams!A43),4)</f>
        <v>DriversGams!A43</v>
      </c>
      <c r="E8">
        <v>1</v>
      </c>
    </row>
    <row r="9" spans="1:6">
      <c r="A9" t="s">
        <v>286</v>
      </c>
      <c r="B9" t="s">
        <v>617</v>
      </c>
      <c r="C9" t="str">
        <f>"DriversGams!"&amp;ADDRESS(ROW(DriversGams!A61),COLUMN(DriversGams!A61),4)</f>
        <v>DriversGams!A61</v>
      </c>
      <c r="D9">
        <v>1</v>
      </c>
      <c r="E9">
        <v>1</v>
      </c>
    </row>
    <row r="10" spans="1:6">
      <c r="A10" t="s">
        <v>286</v>
      </c>
      <c r="B10" t="s">
        <v>493</v>
      </c>
      <c r="C10" t="str">
        <f>"DriversGams!"&amp;ADDRESS(ROW(DriversGams!A71),COLUMN(DriversGams!A71),4)</f>
        <v>DriversGams!A71</v>
      </c>
      <c r="E10">
        <v>1</v>
      </c>
    </row>
    <row r="11" spans="1:6">
      <c r="A11" t="s">
        <v>486</v>
      </c>
      <c r="B11" t="s">
        <v>487</v>
      </c>
      <c r="C11" t="str">
        <f>"DriversGams!"&amp;ADDRESS(ROW(DriversGams!A102),COLUMN(DriversGams!A102),4)</f>
        <v>DriversGams!A102</v>
      </c>
      <c r="D11">
        <v>2</v>
      </c>
      <c r="E11">
        <v>1</v>
      </c>
    </row>
    <row r="12" spans="1:6">
      <c r="A12" t="s">
        <v>286</v>
      </c>
      <c r="B12" t="s">
        <v>693</v>
      </c>
      <c r="C12" t="str">
        <f>"DriversGams!"&amp;ADDRESS(ROW(DriversGams!A130),COLUMN(DriversGams!A130),4)</f>
        <v>DriversGams!A130</v>
      </c>
      <c r="D12">
        <v>1</v>
      </c>
      <c r="E12">
        <v>1</v>
      </c>
    </row>
    <row r="13" spans="1:6">
      <c r="A13" t="s">
        <v>286</v>
      </c>
      <c r="B13" t="s">
        <v>619</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453</v>
      </c>
      <c r="D1">
        <v>2002</v>
      </c>
      <c r="E1">
        <v>2003</v>
      </c>
      <c r="F1">
        <v>2004</v>
      </c>
      <c r="G1">
        <v>2005</v>
      </c>
      <c r="H1">
        <v>2006</v>
      </c>
      <c r="I1">
        <v>2007</v>
      </c>
      <c r="J1">
        <v>2008</v>
      </c>
      <c r="K1">
        <v>2009</v>
      </c>
      <c r="L1">
        <v>2010</v>
      </c>
      <c r="M1">
        <v>2011</v>
      </c>
      <c r="N1">
        <v>2012</v>
      </c>
      <c r="O1">
        <v>2013</v>
      </c>
      <c r="P1">
        <v>2014</v>
      </c>
      <c r="Q1">
        <v>2015</v>
      </c>
      <c r="R1">
        <v>2016</v>
      </c>
      <c r="S1">
        <v>2017</v>
      </c>
    </row>
    <row r="2" spans="1:31">
      <c r="B2" t="s">
        <v>434</v>
      </c>
      <c r="C2" t="s">
        <v>435</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434</v>
      </c>
      <c r="C3" t="s">
        <v>436</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434</v>
      </c>
      <c r="C4" t="s">
        <v>437</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434</v>
      </c>
      <c r="C5" t="s">
        <v>438</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434</v>
      </c>
      <c r="C6" t="s">
        <v>439</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434</v>
      </c>
      <c r="C7" t="s">
        <v>440</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434</v>
      </c>
      <c r="C8" t="s">
        <v>441</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434</v>
      </c>
      <c r="C9" t="s">
        <v>442</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434</v>
      </c>
      <c r="C10" t="s">
        <v>443</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434</v>
      </c>
      <c r="C11" t="s">
        <v>444</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434</v>
      </c>
      <c r="C12" t="s">
        <v>445</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434</v>
      </c>
      <c r="C13" t="s">
        <v>446</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434</v>
      </c>
      <c r="C14" t="s">
        <v>447</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434</v>
      </c>
      <c r="C15" t="s">
        <v>448</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434</v>
      </c>
      <c r="C16" t="s">
        <v>449</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434</v>
      </c>
      <c r="C17" t="s">
        <v>450</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434</v>
      </c>
      <c r="C18" t="s">
        <v>451</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452</v>
      </c>
      <c r="C19" t="s">
        <v>435</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452</v>
      </c>
      <c r="C20" t="s">
        <v>436</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452</v>
      </c>
      <c r="C21" t="s">
        <v>437</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452</v>
      </c>
      <c r="C22" t="s">
        <v>438</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452</v>
      </c>
      <c r="C23" t="s">
        <v>439</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452</v>
      </c>
      <c r="C24" t="s">
        <v>440</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452</v>
      </c>
      <c r="C25" t="s">
        <v>441</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452</v>
      </c>
      <c r="C26" t="s">
        <v>442</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452</v>
      </c>
      <c r="C27" t="s">
        <v>443</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452</v>
      </c>
      <c r="C28" t="s">
        <v>444</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452</v>
      </c>
      <c r="C29" t="s">
        <v>445</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452</v>
      </c>
      <c r="C30" t="s">
        <v>446</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452</v>
      </c>
      <c r="C31" t="s">
        <v>447</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452</v>
      </c>
      <c r="C32" t="s">
        <v>448</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452</v>
      </c>
      <c r="C33" t="s">
        <v>449</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452</v>
      </c>
      <c r="C34" t="s">
        <v>450</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452</v>
      </c>
      <c r="C35" t="s">
        <v>451</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224</v>
      </c>
      <c r="C36" t="s">
        <v>435</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224</v>
      </c>
      <c r="C37" t="s">
        <v>436</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224</v>
      </c>
      <c r="C38" t="s">
        <v>437</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224</v>
      </c>
      <c r="C39" t="s">
        <v>438</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224</v>
      </c>
      <c r="C40" t="s">
        <v>439</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224</v>
      </c>
      <c r="C41" t="s">
        <v>440</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224</v>
      </c>
      <c r="C42" t="s">
        <v>441</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224</v>
      </c>
      <c r="C43" t="s">
        <v>442</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224</v>
      </c>
      <c r="C44" t="s">
        <v>443</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224</v>
      </c>
      <c r="C45" t="s">
        <v>444</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224</v>
      </c>
      <c r="C46" t="s">
        <v>445</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224</v>
      </c>
      <c r="C47" t="s">
        <v>446</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224</v>
      </c>
      <c r="C48" t="s">
        <v>447</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224</v>
      </c>
      <c r="C49" t="s">
        <v>448</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224</v>
      </c>
      <c r="C50" t="s">
        <v>449</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224</v>
      </c>
      <c r="C51" t="s">
        <v>450</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224</v>
      </c>
      <c r="C52" t="s">
        <v>451</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224</v>
      </c>
      <c r="C53" t="s">
        <v>389</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abSelected="1"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589</v>
      </c>
    </row>
    <row r="5" spans="1:53">
      <c r="B5" s="26" t="s">
        <v>550</v>
      </c>
      <c r="C5" s="26" t="s">
        <v>538</v>
      </c>
      <c r="D5" s="26" t="s">
        <v>551</v>
      </c>
      <c r="E5" s="26" t="s">
        <v>552</v>
      </c>
      <c r="F5" s="26" t="s">
        <v>553</v>
      </c>
      <c r="G5" s="26" t="s">
        <v>554</v>
      </c>
      <c r="H5" s="26" t="s">
        <v>539</v>
      </c>
      <c r="I5" s="26" t="s">
        <v>555</v>
      </c>
      <c r="J5" s="26" t="s">
        <v>556</v>
      </c>
      <c r="K5" s="26" t="s">
        <v>557</v>
      </c>
      <c r="L5" s="26" t="s">
        <v>558</v>
      </c>
      <c r="M5" s="26" t="s">
        <v>540</v>
      </c>
      <c r="N5" s="26" t="s">
        <v>559</v>
      </c>
      <c r="O5" s="26" t="s">
        <v>560</v>
      </c>
      <c r="P5" s="26" t="s">
        <v>561</v>
      </c>
      <c r="Q5" s="26" t="s">
        <v>562</v>
      </c>
      <c r="R5" s="26" t="s">
        <v>541</v>
      </c>
      <c r="S5" s="26" t="s">
        <v>563</v>
      </c>
      <c r="T5" s="26" t="s">
        <v>564</v>
      </c>
      <c r="U5" s="26" t="s">
        <v>565</v>
      </c>
      <c r="V5" s="26" t="s">
        <v>566</v>
      </c>
      <c r="W5" s="26" t="s">
        <v>542</v>
      </c>
      <c r="X5" s="26" t="s">
        <v>567</v>
      </c>
      <c r="Y5" s="26" t="s">
        <v>568</v>
      </c>
      <c r="Z5" s="26" t="s">
        <v>569</v>
      </c>
      <c r="AA5" s="26" t="s">
        <v>570</v>
      </c>
      <c r="AB5" s="26" t="s">
        <v>543</v>
      </c>
      <c r="AC5" s="26" t="s">
        <v>571</v>
      </c>
      <c r="AD5" s="26" t="s">
        <v>572</v>
      </c>
      <c r="AE5" s="26" t="s">
        <v>573</v>
      </c>
      <c r="AF5" s="26" t="s">
        <v>574</v>
      </c>
      <c r="AG5" s="26" t="s">
        <v>544</v>
      </c>
      <c r="AH5" s="26" t="s">
        <v>702</v>
      </c>
      <c r="AI5" s="26" t="s">
        <v>703</v>
      </c>
      <c r="AJ5" s="26" t="s">
        <v>704</v>
      </c>
      <c r="AK5" s="26" t="s">
        <v>705</v>
      </c>
      <c r="AL5" s="26" t="s">
        <v>706</v>
      </c>
      <c r="AM5" s="26" t="s">
        <v>707</v>
      </c>
      <c r="AN5" s="26" t="s">
        <v>708</v>
      </c>
      <c r="AO5" s="26" t="s">
        <v>709</v>
      </c>
      <c r="AP5" s="26" t="s">
        <v>710</v>
      </c>
      <c r="AQ5" s="26" t="s">
        <v>711</v>
      </c>
      <c r="AR5" s="26" t="s">
        <v>712</v>
      </c>
      <c r="AS5" s="26" t="s">
        <v>713</v>
      </c>
      <c r="AT5" s="26" t="s">
        <v>714</v>
      </c>
      <c r="AU5" s="26" t="s">
        <v>715</v>
      </c>
      <c r="AV5" s="26" t="s">
        <v>716</v>
      </c>
      <c r="AW5" s="26" t="s">
        <v>717</v>
      </c>
      <c r="AX5" s="26" t="s">
        <v>718</v>
      </c>
      <c r="AY5" s="26" t="s">
        <v>719</v>
      </c>
      <c r="AZ5" s="26" t="s">
        <v>720</v>
      </c>
      <c r="BA5" s="26" t="s">
        <v>721</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618</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371</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505</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506</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507</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508</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509</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372</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510</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580</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511</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576</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577</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801</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512</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581</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698</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692</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700</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701</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550</v>
      </c>
      <c r="B43" s="26" t="s">
        <v>538</v>
      </c>
      <c r="C43" s="26" t="s">
        <v>551</v>
      </c>
      <c r="D43" s="26" t="s">
        <v>552</v>
      </c>
      <c r="E43" s="26" t="s">
        <v>553</v>
      </c>
      <c r="F43" s="26" t="s">
        <v>554</v>
      </c>
      <c r="G43" s="26" t="s">
        <v>539</v>
      </c>
      <c r="H43" s="26" t="s">
        <v>555</v>
      </c>
      <c r="I43" s="26" t="s">
        <v>556</v>
      </c>
      <c r="J43" s="26" t="s">
        <v>557</v>
      </c>
      <c r="K43" s="26" t="s">
        <v>558</v>
      </c>
      <c r="L43" s="26" t="s">
        <v>540</v>
      </c>
      <c r="M43" s="26" t="s">
        <v>559</v>
      </c>
      <c r="N43" s="26" t="s">
        <v>560</v>
      </c>
      <c r="O43" s="26" t="s">
        <v>561</v>
      </c>
      <c r="P43" s="26" t="s">
        <v>562</v>
      </c>
      <c r="Q43" s="26" t="s">
        <v>541</v>
      </c>
      <c r="R43" s="26" t="s">
        <v>563</v>
      </c>
      <c r="S43" s="26" t="s">
        <v>564</v>
      </c>
      <c r="T43" s="26" t="s">
        <v>565</v>
      </c>
      <c r="U43" s="26" t="s">
        <v>566</v>
      </c>
      <c r="V43" s="26" t="s">
        <v>542</v>
      </c>
      <c r="W43" s="26" t="s">
        <v>567</v>
      </c>
      <c r="X43" s="26" t="s">
        <v>568</v>
      </c>
      <c r="Y43" s="26" t="s">
        <v>569</v>
      </c>
      <c r="Z43" s="26" t="s">
        <v>570</v>
      </c>
      <c r="AA43" s="26" t="s">
        <v>543</v>
      </c>
      <c r="AB43" s="26" t="s">
        <v>571</v>
      </c>
      <c r="AC43" s="26" t="s">
        <v>572</v>
      </c>
      <c r="AD43" s="26" t="s">
        <v>573</v>
      </c>
      <c r="AE43" s="26" t="s">
        <v>574</v>
      </c>
      <c r="AF43" s="26" t="s">
        <v>544</v>
      </c>
      <c r="AG43" s="26" t="s">
        <v>702</v>
      </c>
      <c r="AH43" s="26" t="s">
        <v>703</v>
      </c>
      <c r="AI43" s="26" t="s">
        <v>704</v>
      </c>
      <c r="AJ43" s="26" t="s">
        <v>705</v>
      </c>
      <c r="AK43" s="26" t="s">
        <v>706</v>
      </c>
      <c r="AL43" s="26" t="s">
        <v>707</v>
      </c>
      <c r="AM43" s="26" t="s">
        <v>708</v>
      </c>
      <c r="AN43" s="26" t="s">
        <v>709</v>
      </c>
      <c r="AO43" s="26" t="s">
        <v>710</v>
      </c>
      <c r="AP43" s="26" t="s">
        <v>711</v>
      </c>
      <c r="AQ43" s="26" t="s">
        <v>712</v>
      </c>
      <c r="AR43" s="26" t="s">
        <v>713</v>
      </c>
      <c r="AS43" s="26" t="s">
        <v>714</v>
      </c>
      <c r="AT43" s="26" t="s">
        <v>715</v>
      </c>
      <c r="AU43" s="26" t="s">
        <v>716</v>
      </c>
      <c r="AV43" s="26" t="s">
        <v>717</v>
      </c>
      <c r="AW43" s="26" t="s">
        <v>718</v>
      </c>
      <c r="AX43" s="26" t="s">
        <v>719</v>
      </c>
      <c r="AY43" s="26" t="s">
        <v>720</v>
      </c>
      <c r="AZ43" s="26" t="s">
        <v>721</v>
      </c>
      <c r="BA43" s="26" t="s">
        <v>802</v>
      </c>
      <c r="BB43" s="26" t="s">
        <v>803</v>
      </c>
      <c r="BC43" s="26" t="s">
        <v>804</v>
      </c>
      <c r="BD43" s="26" t="s">
        <v>805</v>
      </c>
      <c r="BE43" s="26" t="s">
        <v>806</v>
      </c>
      <c r="BF43" s="26" t="s">
        <v>807</v>
      </c>
      <c r="BG43" s="26" t="s">
        <v>808</v>
      </c>
      <c r="BH43" s="26" t="s">
        <v>809</v>
      </c>
      <c r="BI43" s="26" t="s">
        <v>810</v>
      </c>
      <c r="BJ43" s="26" t="s">
        <v>811</v>
      </c>
      <c r="BK43" s="26" t="s">
        <v>812</v>
      </c>
      <c r="BL43" s="26" t="s">
        <v>813</v>
      </c>
      <c r="BM43" s="26" t="s">
        <v>814</v>
      </c>
      <c r="BN43" s="26" t="s">
        <v>815</v>
      </c>
      <c r="BO43" s="26" t="s">
        <v>816</v>
      </c>
      <c r="BP43" s="26" t="s">
        <v>817</v>
      </c>
      <c r="BQ43" s="26" t="s">
        <v>818</v>
      </c>
      <c r="BR43" s="26" t="s">
        <v>819</v>
      </c>
      <c r="BS43" s="26" t="s">
        <v>820</v>
      </c>
      <c r="BT43" s="26" t="s">
        <v>821</v>
      </c>
      <c r="BU43" s="26" t="s">
        <v>822</v>
      </c>
      <c r="BV43" s="26" t="s">
        <v>823</v>
      </c>
      <c r="BW43" s="26" t="s">
        <v>824</v>
      </c>
      <c r="BX43" s="26" t="s">
        <v>825</v>
      </c>
      <c r="BY43" s="26" t="s">
        <v>826</v>
      </c>
      <c r="BZ43" s="26" t="s">
        <v>827</v>
      </c>
      <c r="CA43" s="26" t="s">
        <v>828</v>
      </c>
      <c r="CB43" s="26" t="s">
        <v>829</v>
      </c>
      <c r="CC43" s="26" t="s">
        <v>830</v>
      </c>
      <c r="CD43" s="26" t="s">
        <v>831</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550</v>
      </c>
      <c r="C61" s="26" t="s">
        <v>538</v>
      </c>
      <c r="D61" s="26" t="s">
        <v>551</v>
      </c>
      <c r="E61" s="26" t="s">
        <v>552</v>
      </c>
      <c r="F61" s="26" t="s">
        <v>553</v>
      </c>
      <c r="G61" s="26" t="s">
        <v>554</v>
      </c>
      <c r="H61" s="26" t="s">
        <v>539</v>
      </c>
      <c r="I61" s="26" t="s">
        <v>555</v>
      </c>
      <c r="J61" s="26" t="s">
        <v>556</v>
      </c>
      <c r="K61" s="26" t="s">
        <v>557</v>
      </c>
      <c r="L61" s="26" t="s">
        <v>558</v>
      </c>
      <c r="M61" s="26" t="s">
        <v>540</v>
      </c>
      <c r="N61" s="26" t="s">
        <v>559</v>
      </c>
      <c r="O61" s="26" t="s">
        <v>560</v>
      </c>
      <c r="P61" s="26" t="s">
        <v>561</v>
      </c>
      <c r="Q61" s="26" t="s">
        <v>562</v>
      </c>
      <c r="R61" s="26" t="s">
        <v>541</v>
      </c>
      <c r="S61" s="26" t="s">
        <v>563</v>
      </c>
      <c r="T61" s="26" t="s">
        <v>564</v>
      </c>
      <c r="U61" s="26" t="s">
        <v>565</v>
      </c>
      <c r="V61" s="26" t="s">
        <v>566</v>
      </c>
      <c r="W61" s="26" t="s">
        <v>542</v>
      </c>
      <c r="X61" s="26" t="s">
        <v>567</v>
      </c>
      <c r="Y61" s="26" t="s">
        <v>568</v>
      </c>
      <c r="Z61" s="26" t="s">
        <v>569</v>
      </c>
      <c r="AA61" s="26" t="s">
        <v>570</v>
      </c>
      <c r="AB61" s="26" t="s">
        <v>543</v>
      </c>
      <c r="AC61" s="26" t="s">
        <v>571</v>
      </c>
      <c r="AD61" s="26" t="s">
        <v>572</v>
      </c>
      <c r="AE61" s="26" t="s">
        <v>573</v>
      </c>
      <c r="AF61" s="26" t="s">
        <v>574</v>
      </c>
      <c r="AG61" s="26" t="s">
        <v>544</v>
      </c>
      <c r="AH61" s="26" t="s">
        <v>702</v>
      </c>
      <c r="AI61" s="26" t="s">
        <v>703</v>
      </c>
      <c r="AJ61" s="26" t="s">
        <v>704</v>
      </c>
      <c r="AK61" s="26" t="s">
        <v>705</v>
      </c>
      <c r="AL61" s="26" t="s">
        <v>706</v>
      </c>
      <c r="AM61" s="26"/>
      <c r="AN61" s="26"/>
      <c r="AO61" s="26"/>
      <c r="AP61" s="26"/>
      <c r="AQ61" s="26"/>
      <c r="AR61" s="26"/>
      <c r="AS61" s="26"/>
      <c r="AT61" s="26"/>
      <c r="AU61" s="26"/>
      <c r="AV61" s="26"/>
      <c r="AW61" s="26"/>
      <c r="AX61" s="26"/>
      <c r="AY61" s="26"/>
      <c r="AZ61" s="26"/>
      <c r="BA61" s="26"/>
    </row>
    <row r="62" spans="1:53">
      <c r="A62" s="26" t="s">
        <v>259</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c r="AN62" s="17"/>
    </row>
    <row r="63" spans="1:53">
      <c r="A63" s="26" t="s">
        <v>260</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c r="AN63" s="17"/>
    </row>
    <row r="64" spans="1:53">
      <c r="A64" s="26" t="s">
        <v>261</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c r="AN64" s="17"/>
    </row>
    <row r="65" spans="1:52">
      <c r="A65" s="26"/>
    </row>
    <row r="66" spans="1:52">
      <c r="A66" s="26"/>
    </row>
    <row r="67" spans="1:52">
      <c r="A67" s="26"/>
    </row>
    <row r="71" spans="1:52">
      <c r="A71" s="26" t="s">
        <v>550</v>
      </c>
      <c r="B71" s="26" t="s">
        <v>538</v>
      </c>
      <c r="C71" s="26" t="s">
        <v>551</v>
      </c>
      <c r="D71" s="26" t="s">
        <v>552</v>
      </c>
      <c r="E71" s="26" t="s">
        <v>553</v>
      </c>
      <c r="F71" s="26" t="s">
        <v>554</v>
      </c>
      <c r="G71" s="26" t="s">
        <v>539</v>
      </c>
      <c r="H71" s="26" t="s">
        <v>555</v>
      </c>
      <c r="I71" s="26" t="s">
        <v>556</v>
      </c>
      <c r="J71" s="26" t="s">
        <v>557</v>
      </c>
      <c r="K71" s="26" t="s">
        <v>558</v>
      </c>
      <c r="L71" s="26" t="s">
        <v>540</v>
      </c>
      <c r="M71" s="26" t="s">
        <v>559</v>
      </c>
      <c r="N71" s="26" t="s">
        <v>560</v>
      </c>
      <c r="O71" s="26" t="s">
        <v>561</v>
      </c>
      <c r="P71" s="26" t="s">
        <v>562</v>
      </c>
      <c r="Q71" s="26" t="s">
        <v>541</v>
      </c>
      <c r="R71" s="26" t="s">
        <v>563</v>
      </c>
      <c r="S71" s="26" t="s">
        <v>564</v>
      </c>
      <c r="T71" s="26" t="s">
        <v>565</v>
      </c>
      <c r="U71" s="26" t="s">
        <v>566</v>
      </c>
      <c r="V71" s="26" t="s">
        <v>542</v>
      </c>
      <c r="W71" s="26" t="s">
        <v>567</v>
      </c>
      <c r="X71" s="26" t="s">
        <v>568</v>
      </c>
      <c r="Y71" s="26" t="s">
        <v>569</v>
      </c>
      <c r="Z71" s="26" t="s">
        <v>570</v>
      </c>
      <c r="AA71" s="26" t="s">
        <v>543</v>
      </c>
      <c r="AB71" s="26" t="s">
        <v>571</v>
      </c>
      <c r="AC71" s="26" t="s">
        <v>572</v>
      </c>
      <c r="AD71" s="26" t="s">
        <v>573</v>
      </c>
      <c r="AE71" s="26" t="s">
        <v>574</v>
      </c>
      <c r="AF71" s="26" t="s">
        <v>544</v>
      </c>
      <c r="AG71" s="26" t="s">
        <v>702</v>
      </c>
      <c r="AH71" s="26" t="s">
        <v>703</v>
      </c>
      <c r="AI71" s="26" t="s">
        <v>704</v>
      </c>
      <c r="AJ71" s="26" t="s">
        <v>705</v>
      </c>
      <c r="AK71" s="26" t="s">
        <v>706</v>
      </c>
      <c r="AL71" s="26"/>
      <c r="AM71" s="26"/>
      <c r="AN71" s="26"/>
      <c r="AO71" s="26"/>
      <c r="AP71" s="26"/>
      <c r="AQ71" s="26"/>
      <c r="AR71" s="26"/>
      <c r="AS71" s="26"/>
      <c r="AT71" s="26"/>
      <c r="AU71" s="26"/>
      <c r="AV71" s="26"/>
      <c r="AW71" s="26"/>
      <c r="AX71" s="26"/>
      <c r="AY71" s="26"/>
      <c r="AZ71" s="26"/>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c r="AM72" s="17"/>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550</v>
      </c>
      <c r="D102" s="26" t="s">
        <v>538</v>
      </c>
      <c r="E102" s="26" t="s">
        <v>551</v>
      </c>
      <c r="F102" s="26" t="s">
        <v>552</v>
      </c>
      <c r="G102" s="26" t="s">
        <v>553</v>
      </c>
      <c r="H102" s="26" t="s">
        <v>554</v>
      </c>
      <c r="I102" s="26" t="s">
        <v>539</v>
      </c>
      <c r="J102" s="26" t="s">
        <v>555</v>
      </c>
      <c r="K102" s="26" t="s">
        <v>556</v>
      </c>
      <c r="L102" s="26" t="s">
        <v>557</v>
      </c>
      <c r="M102" s="26" t="s">
        <v>558</v>
      </c>
      <c r="N102" s="26" t="s">
        <v>540</v>
      </c>
      <c r="O102" s="26" t="s">
        <v>559</v>
      </c>
      <c r="P102" s="26" t="s">
        <v>560</v>
      </c>
      <c r="Q102" s="26" t="s">
        <v>561</v>
      </c>
      <c r="R102" s="26" t="s">
        <v>562</v>
      </c>
      <c r="S102" s="26" t="s">
        <v>541</v>
      </c>
      <c r="T102" s="26" t="s">
        <v>563</v>
      </c>
      <c r="U102" s="26" t="s">
        <v>564</v>
      </c>
      <c r="V102" s="26" t="s">
        <v>565</v>
      </c>
      <c r="W102" s="26" t="s">
        <v>566</v>
      </c>
      <c r="X102" s="26" t="s">
        <v>542</v>
      </c>
      <c r="Y102" s="26" t="s">
        <v>567</v>
      </c>
      <c r="Z102" s="26" t="s">
        <v>568</v>
      </c>
      <c r="AA102" s="26" t="s">
        <v>569</v>
      </c>
      <c r="AB102" s="26" t="s">
        <v>570</v>
      </c>
      <c r="AC102" s="26" t="s">
        <v>543</v>
      </c>
      <c r="AD102" s="26" t="s">
        <v>571</v>
      </c>
      <c r="AE102" s="26" t="s">
        <v>572</v>
      </c>
      <c r="AF102" s="26" t="s">
        <v>573</v>
      </c>
      <c r="AG102" s="26" t="s">
        <v>574</v>
      </c>
      <c r="AH102" s="26" t="s">
        <v>544</v>
      </c>
      <c r="AI102" s="26" t="s">
        <v>702</v>
      </c>
      <c r="AJ102" s="26" t="s">
        <v>703</v>
      </c>
      <c r="AK102" s="26" t="s">
        <v>704</v>
      </c>
      <c r="AL102" s="26" t="s">
        <v>705</v>
      </c>
      <c r="AM102" s="26" t="s">
        <v>706</v>
      </c>
      <c r="AN102" s="26"/>
      <c r="AO102" s="26"/>
      <c r="AP102" s="26"/>
      <c r="AQ102" s="26"/>
      <c r="AR102" s="26"/>
      <c r="AS102" s="26"/>
      <c r="AT102" s="26"/>
      <c r="AU102" s="26"/>
    </row>
    <row r="103" spans="1:47">
      <c r="A103" s="26" t="s">
        <v>259</v>
      </c>
      <c r="B103" s="26"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6" t="s">
        <v>259</v>
      </c>
      <c r="B104" s="26"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row>
    <row r="105" spans="1:47">
      <c r="A105" s="26" t="s">
        <v>259</v>
      </c>
      <c r="B105" s="26"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row>
    <row r="106" spans="1:47">
      <c r="A106" s="26" t="s">
        <v>259</v>
      </c>
      <c r="B106" s="26" t="s">
        <v>516</v>
      </c>
      <c r="C106" t="s">
        <v>379</v>
      </c>
      <c r="D106" t="s">
        <v>379</v>
      </c>
      <c r="E106" t="s">
        <v>379</v>
      </c>
      <c r="F106" t="s">
        <v>379</v>
      </c>
      <c r="G106" t="s">
        <v>379</v>
      </c>
      <c r="H106" t="s">
        <v>379</v>
      </c>
      <c r="I106" t="s">
        <v>379</v>
      </c>
      <c r="J106" t="s">
        <v>379</v>
      </c>
      <c r="K106" t="s">
        <v>379</v>
      </c>
      <c r="L106" t="s">
        <v>379</v>
      </c>
    </row>
    <row r="107" spans="1:47">
      <c r="A107" s="26" t="s">
        <v>259</v>
      </c>
      <c r="B107" s="26" t="s">
        <v>517</v>
      </c>
      <c r="C107" t="s">
        <v>379</v>
      </c>
      <c r="D107" t="s">
        <v>379</v>
      </c>
    </row>
    <row r="108" spans="1:47">
      <c r="A108" s="26" t="s">
        <v>260</v>
      </c>
      <c r="B108" s="26" t="s">
        <v>514</v>
      </c>
      <c r="AD108" t="s">
        <v>379</v>
      </c>
      <c r="AE108" t="s">
        <v>379</v>
      </c>
      <c r="AF108" t="s">
        <v>379</v>
      </c>
      <c r="AG108" t="s">
        <v>379</v>
      </c>
      <c r="AH108" t="s">
        <v>379</v>
      </c>
      <c r="AI108" t="s">
        <v>379</v>
      </c>
      <c r="AJ108" t="s">
        <v>379</v>
      </c>
      <c r="AK108" t="s">
        <v>379</v>
      </c>
      <c r="AL108" t="s">
        <v>379</v>
      </c>
      <c r="AM108" t="s">
        <v>379</v>
      </c>
    </row>
    <row r="109" spans="1:47">
      <c r="A109" s="26" t="s">
        <v>260</v>
      </c>
      <c r="B109" s="26" t="s">
        <v>515</v>
      </c>
      <c r="T109" t="s">
        <v>379</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6" t="s">
        <v>260</v>
      </c>
      <c r="B110" s="26"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6" t="s">
        <v>260</v>
      </c>
      <c r="B111" s="26"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6" t="s">
        <v>260</v>
      </c>
      <c r="B112" s="26"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row>
    <row r="113" spans="1:39">
      <c r="A113" s="26" t="s">
        <v>260</v>
      </c>
      <c r="B113" s="26" t="s">
        <v>519</v>
      </c>
      <c r="C113" t="s">
        <v>379</v>
      </c>
      <c r="D113" t="s">
        <v>379</v>
      </c>
      <c r="E113" t="s">
        <v>379</v>
      </c>
      <c r="F113" t="s">
        <v>379</v>
      </c>
      <c r="G113" t="s">
        <v>379</v>
      </c>
      <c r="H113" t="s">
        <v>379</v>
      </c>
      <c r="I113" t="s">
        <v>379</v>
      </c>
      <c r="J113" t="s">
        <v>379</v>
      </c>
      <c r="K113" t="s">
        <v>379</v>
      </c>
      <c r="L113" t="s">
        <v>379</v>
      </c>
      <c r="M113" t="s">
        <v>379</v>
      </c>
      <c r="N113" t="s">
        <v>379</v>
      </c>
    </row>
    <row r="114" spans="1:39">
      <c r="A114" s="26" t="s">
        <v>260</v>
      </c>
      <c r="B114" s="26" t="s">
        <v>520</v>
      </c>
      <c r="C114" t="s">
        <v>379</v>
      </c>
      <c r="D114" t="s">
        <v>379</v>
      </c>
    </row>
    <row r="115" spans="1:39">
      <c r="A115" s="26" t="s">
        <v>261</v>
      </c>
      <c r="B115" s="26" t="s">
        <v>518</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6" t="s">
        <v>261</v>
      </c>
      <c r="B116" s="26" t="s">
        <v>519</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6" t="s">
        <v>261</v>
      </c>
      <c r="B117" s="26"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6" t="s">
        <v>261</v>
      </c>
      <c r="B118" s="26"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6" t="s">
        <v>261</v>
      </c>
      <c r="B119" s="26" t="s">
        <v>582</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6"/>
      <c r="B120" s="26"/>
    </row>
    <row r="121" spans="1:39">
      <c r="A121" s="26"/>
      <c r="B121" s="26"/>
    </row>
    <row r="122" spans="1:39">
      <c r="A122" s="26"/>
      <c r="B122" s="26"/>
    </row>
    <row r="123" spans="1:39">
      <c r="A123" s="26"/>
      <c r="B123" s="26"/>
    </row>
    <row r="124" spans="1:39">
      <c r="A124" s="26"/>
      <c r="B124" s="26"/>
    </row>
    <row r="125" spans="1:39">
      <c r="A125" s="26"/>
      <c r="B125" s="26"/>
    </row>
    <row r="126" spans="1:39">
      <c r="A126" s="26"/>
      <c r="B126" s="26"/>
    </row>
    <row r="127" spans="1:39">
      <c r="A127" s="26"/>
      <c r="B127" s="26"/>
    </row>
    <row r="128" spans="1:39">
      <c r="A128" s="26"/>
      <c r="B128" s="26"/>
    </row>
    <row r="129" spans="1:53">
      <c r="A129" s="26"/>
      <c r="B129" s="26"/>
    </row>
    <row r="130" spans="1:53">
      <c r="A130" s="26"/>
      <c r="B130" s="26" t="s">
        <v>550</v>
      </c>
      <c r="C130" s="26" t="s">
        <v>538</v>
      </c>
      <c r="D130" s="26" t="s">
        <v>551</v>
      </c>
      <c r="E130" s="26" t="s">
        <v>552</v>
      </c>
      <c r="F130" s="26" t="s">
        <v>553</v>
      </c>
      <c r="G130" s="26" t="s">
        <v>554</v>
      </c>
      <c r="H130" s="26" t="s">
        <v>539</v>
      </c>
      <c r="I130" s="26" t="s">
        <v>555</v>
      </c>
      <c r="J130" s="26" t="s">
        <v>556</v>
      </c>
      <c r="K130" s="26" t="s">
        <v>557</v>
      </c>
      <c r="L130" s="26" t="s">
        <v>558</v>
      </c>
      <c r="M130" s="26" t="s">
        <v>540</v>
      </c>
      <c r="N130" s="26" t="s">
        <v>559</v>
      </c>
      <c r="O130" s="26" t="s">
        <v>560</v>
      </c>
      <c r="P130" s="26" t="s">
        <v>561</v>
      </c>
      <c r="Q130" s="26" t="s">
        <v>562</v>
      </c>
      <c r="R130" s="26" t="s">
        <v>541</v>
      </c>
      <c r="S130" s="26" t="s">
        <v>563</v>
      </c>
      <c r="T130" s="26" t="s">
        <v>564</v>
      </c>
      <c r="U130" s="26" t="s">
        <v>565</v>
      </c>
      <c r="V130" s="26" t="s">
        <v>566</v>
      </c>
      <c r="W130" s="26" t="s">
        <v>542</v>
      </c>
      <c r="X130" s="26" t="s">
        <v>567</v>
      </c>
      <c r="Y130" s="26" t="s">
        <v>568</v>
      </c>
      <c r="Z130" s="26" t="s">
        <v>569</v>
      </c>
      <c r="AA130" s="26" t="s">
        <v>570</v>
      </c>
      <c r="AB130" s="26" t="s">
        <v>543</v>
      </c>
      <c r="AC130" s="26" t="s">
        <v>571</v>
      </c>
      <c r="AD130" s="26" t="s">
        <v>572</v>
      </c>
      <c r="AE130" s="26" t="s">
        <v>573</v>
      </c>
      <c r="AF130" s="26" t="s">
        <v>574</v>
      </c>
      <c r="AG130" s="26" t="s">
        <v>544</v>
      </c>
      <c r="AH130" s="26" t="s">
        <v>702</v>
      </c>
      <c r="AI130" s="26" t="s">
        <v>703</v>
      </c>
      <c r="AJ130" s="26" t="s">
        <v>704</v>
      </c>
      <c r="AK130" s="26" t="s">
        <v>705</v>
      </c>
      <c r="AL130" s="26" t="s">
        <v>706</v>
      </c>
      <c r="AM130" s="26"/>
      <c r="AN130" s="26"/>
      <c r="AO130" s="26"/>
      <c r="AP130" s="26"/>
      <c r="AQ130" s="26"/>
      <c r="AR130" s="26"/>
      <c r="AS130" s="26"/>
      <c r="AT130" s="26"/>
      <c r="AU130" s="26"/>
      <c r="AV130" s="26"/>
      <c r="AW130" s="26"/>
      <c r="AX130" s="26"/>
      <c r="AY130" s="26"/>
      <c r="AZ130" s="26"/>
      <c r="BA130" s="26"/>
    </row>
    <row r="131" spans="1:53">
      <c r="A131" s="26" t="s">
        <v>372</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v>231.71682830981558</v>
      </c>
      <c r="AI131">
        <v>234.59291722137993</v>
      </c>
      <c r="AJ131">
        <v>237.50470439227036</v>
      </c>
      <c r="AK131">
        <v>240.45263291230714</v>
      </c>
      <c r="AL131">
        <v>243.43715137097897</v>
      </c>
    </row>
    <row r="132" spans="1:53">
      <c r="A132" s="26" t="s">
        <v>692</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620</v>
      </c>
      <c r="B163" s="26" t="s">
        <v>4</v>
      </c>
      <c r="C163" s="26" t="s">
        <v>621</v>
      </c>
      <c r="D163" s="26" t="s">
        <v>622</v>
      </c>
      <c r="E163" s="26" t="s">
        <v>642</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pane xSplit="2" ySplit="6" topLeftCell="C7" activePane="bottomRight" state="frozen"/>
      <selection pane="topRight" activeCell="C1" sqref="C1"/>
      <selection pane="bottomLeft" activeCell="A7" sqref="A7"/>
      <selection pane="bottomRight" activeCell="A64" sqref="A64"/>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536</v>
      </c>
      <c r="D3" s="26" t="s">
        <v>545</v>
      </c>
      <c r="E3" s="26" t="s">
        <v>546</v>
      </c>
      <c r="F3" s="26" t="s">
        <v>537</v>
      </c>
      <c r="G3" s="26" t="s">
        <v>547</v>
      </c>
      <c r="H3" s="26" t="s">
        <v>548</v>
      </c>
      <c r="I3" s="26" t="s">
        <v>549</v>
      </c>
      <c r="J3" s="26" t="s">
        <v>550</v>
      </c>
      <c r="K3" s="26" t="s">
        <v>538</v>
      </c>
      <c r="L3" s="26" t="s">
        <v>551</v>
      </c>
      <c r="M3" s="26" t="s">
        <v>552</v>
      </c>
      <c r="N3" s="26" t="s">
        <v>553</v>
      </c>
      <c r="O3" s="26" t="s">
        <v>554</v>
      </c>
      <c r="P3" s="26" t="s">
        <v>539</v>
      </c>
      <c r="Q3" s="26" t="s">
        <v>555</v>
      </c>
      <c r="R3" s="26" t="s">
        <v>556</v>
      </c>
      <c r="S3" s="26" t="s">
        <v>557</v>
      </c>
      <c r="T3" s="26" t="s">
        <v>558</v>
      </c>
      <c r="U3" s="26" t="s">
        <v>540</v>
      </c>
      <c r="V3" s="26" t="s">
        <v>559</v>
      </c>
      <c r="W3" s="26" t="s">
        <v>560</v>
      </c>
      <c r="X3" s="26" t="s">
        <v>561</v>
      </c>
      <c r="Y3" s="26" t="s">
        <v>562</v>
      </c>
      <c r="Z3" s="26" t="s">
        <v>541</v>
      </c>
      <c r="AA3" s="26" t="s">
        <v>563</v>
      </c>
      <c r="AB3" s="26" t="s">
        <v>564</v>
      </c>
      <c r="AC3" s="26" t="s">
        <v>565</v>
      </c>
      <c r="AD3" s="26" t="s">
        <v>566</v>
      </c>
      <c r="AE3" s="26" t="s">
        <v>542</v>
      </c>
      <c r="AF3" s="26" t="s">
        <v>543</v>
      </c>
      <c r="AG3" s="26" t="s">
        <v>544</v>
      </c>
      <c r="AH3" s="26" t="s">
        <v>706</v>
      </c>
      <c r="AI3" s="26" t="s">
        <v>711</v>
      </c>
      <c r="AJ3" s="26" t="s">
        <v>716</v>
      </c>
      <c r="AK3" s="26" t="s">
        <v>721</v>
      </c>
      <c r="AL3" s="26"/>
      <c r="AM3" s="26"/>
      <c r="AN3" s="26"/>
      <c r="AO3" s="26"/>
    </row>
    <row r="5" spans="1:41">
      <c r="A5" t="s">
        <v>590</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591</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5">
        <v>96.797279590965346</v>
      </c>
      <c r="D7" s="265">
        <v>101.32801029182565</v>
      </c>
      <c r="E7" s="265">
        <v>105.4512845971946</v>
      </c>
      <c r="F7" s="265">
        <v>104.03295587682055</v>
      </c>
      <c r="G7" s="265">
        <v>102.86973222443167</v>
      </c>
      <c r="H7" s="265">
        <v>106.45368114150588</v>
      </c>
      <c r="I7" s="265">
        <v>104.83293209544796</v>
      </c>
      <c r="J7" s="265">
        <v>103.19</v>
      </c>
      <c r="K7" s="265">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row>
    <row r="8" spans="1:41">
      <c r="A8" s="115" t="s">
        <v>4</v>
      </c>
      <c r="B8">
        <f>B7+1</f>
        <v>2</v>
      </c>
      <c r="C8" s="265">
        <v>2420.5059603282948</v>
      </c>
      <c r="D8" s="265">
        <v>2489.1047071827661</v>
      </c>
      <c r="E8" s="265">
        <v>2551.5982527371866</v>
      </c>
      <c r="F8" s="265">
        <v>2595.1630396206046</v>
      </c>
      <c r="G8" s="265">
        <v>2628.6516711665686</v>
      </c>
      <c r="H8" s="265">
        <v>2667.1308637985835</v>
      </c>
      <c r="I8" s="265">
        <v>2710.4237502366891</v>
      </c>
      <c r="J8" s="265">
        <v>2746.44</v>
      </c>
      <c r="K8" s="265">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row>
    <row r="9" spans="1:41">
      <c r="A9" s="115" t="s">
        <v>508</v>
      </c>
      <c r="B9">
        <f t="shared" ref="B9:B37" si="11">B8+1</f>
        <v>3</v>
      </c>
      <c r="C9" s="265">
        <v>72.107894835057621</v>
      </c>
      <c r="D9" s="265">
        <v>74.266300997437128</v>
      </c>
      <c r="E9" s="265">
        <v>75.801027741220466</v>
      </c>
      <c r="F9" s="265">
        <v>76.644854367250801</v>
      </c>
      <c r="G9" s="265">
        <v>77.466834349241523</v>
      </c>
      <c r="H9" s="265">
        <v>78.131791577197461</v>
      </c>
      <c r="I9" s="265">
        <v>79.016580660802092</v>
      </c>
      <c r="J9" s="265">
        <v>78.849999999999994</v>
      </c>
      <c r="K9" s="265">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row>
    <row r="10" spans="1:41">
      <c r="A10" s="115" t="s">
        <v>692</v>
      </c>
      <c r="B10">
        <f t="shared" si="11"/>
        <v>4</v>
      </c>
      <c r="C10" s="265">
        <v>2.4554419284149018</v>
      </c>
      <c r="D10" s="265">
        <v>2.4807404210106916</v>
      </c>
      <c r="E10" s="265">
        <v>2.5000863271133542</v>
      </c>
      <c r="F10" s="265">
        <v>2.4936376917457999</v>
      </c>
      <c r="G10" s="265">
        <v>2.4903306992496184</v>
      </c>
      <c r="H10" s="265">
        <v>2.5025665714854908</v>
      </c>
      <c r="I10" s="265">
        <v>2.5113301016003717</v>
      </c>
      <c r="J10" s="265">
        <v>2.4900000000000002</v>
      </c>
      <c r="K10" s="265">
        <v>2.36</v>
      </c>
      <c r="L10" s="6">
        <f t="shared" ref="L10:AG10" si="13">L48/K48*K10</f>
        <v>2.4042696539104442</v>
      </c>
      <c r="M10" s="6">
        <f t="shared" si="13"/>
        <v>2.4550179566590691</v>
      </c>
      <c r="N10" s="6">
        <f t="shared" si="13"/>
        <v>2.459308973932989</v>
      </c>
      <c r="O10" s="6">
        <f t="shared" si="13"/>
        <v>2.4844120991608221</v>
      </c>
      <c r="P10" s="6">
        <f t="shared" si="13"/>
        <v>2.5111941860025979</v>
      </c>
      <c r="Q10" s="6">
        <f t="shared" si="13"/>
        <v>2.5507784966723115</v>
      </c>
      <c r="R10" s="6">
        <f t="shared" si="13"/>
        <v>2.5955294373829858</v>
      </c>
      <c r="S10" s="6">
        <f t="shared" si="13"/>
        <v>2.6445339831791732</v>
      </c>
      <c r="T10" s="6">
        <f t="shared" si="13"/>
        <v>2.7062825372228025</v>
      </c>
      <c r="U10" s="6">
        <f t="shared" si="13"/>
        <v>2.7814243946428032</v>
      </c>
      <c r="V10" s="6">
        <f t="shared" si="13"/>
        <v>2.8703877111476017</v>
      </c>
      <c r="W10" s="6">
        <f t="shared" si="13"/>
        <v>2.9633446916374409</v>
      </c>
      <c r="X10" s="6">
        <f t="shared" si="13"/>
        <v>3.0644773352599146</v>
      </c>
      <c r="Y10" s="6">
        <f t="shared" si="13"/>
        <v>3.177831075406619</v>
      </c>
      <c r="Z10" s="6">
        <f t="shared" si="13"/>
        <v>3.3009541457446412</v>
      </c>
      <c r="AA10" s="6">
        <f t="shared" si="13"/>
        <v>3.431180605249248</v>
      </c>
      <c r="AB10" s="6">
        <f t="shared" si="13"/>
        <v>3.5677186955291949</v>
      </c>
      <c r="AC10" s="6">
        <f t="shared" si="13"/>
        <v>3.7123972071075513</v>
      </c>
      <c r="AD10" s="6">
        <f t="shared" si="13"/>
        <v>3.8592437618342785</v>
      </c>
      <c r="AE10" s="6">
        <f t="shared" si="13"/>
        <v>4.0067001340671311</v>
      </c>
      <c r="AF10" s="6">
        <f t="shared" si="13"/>
        <v>4.7984466837056834</v>
      </c>
      <c r="AG10" s="6">
        <f t="shared" si="13"/>
        <v>5.7503222134702492</v>
      </c>
      <c r="AH10" s="6">
        <f t="shared" si="6"/>
        <v>6.740936423599817</v>
      </c>
      <c r="AI10" s="6">
        <f t="shared" si="7"/>
        <v>7.5483700913142799</v>
      </c>
      <c r="AJ10" s="6">
        <f t="shared" si="8"/>
        <v>8.0758441189923502</v>
      </c>
      <c r="AK10" s="6">
        <f t="shared" si="9"/>
        <v>8.2548009488935836</v>
      </c>
      <c r="AL10" s="107"/>
      <c r="AM10" s="107"/>
    </row>
    <row r="11" spans="1:41">
      <c r="A11" s="115" t="s">
        <v>505</v>
      </c>
      <c r="B11">
        <f t="shared" si="11"/>
        <v>5</v>
      </c>
      <c r="C11" s="265">
        <v>138.08343097582718</v>
      </c>
      <c r="D11" s="265">
        <v>143.16360238477418</v>
      </c>
      <c r="E11" s="265">
        <v>146.98438355117329</v>
      </c>
      <c r="F11" s="265">
        <v>148.78204922418408</v>
      </c>
      <c r="G11" s="265">
        <v>151.86270236184362</v>
      </c>
      <c r="H11" s="265">
        <v>153.55950890468549</v>
      </c>
      <c r="I11" s="265">
        <v>155.74281242834212</v>
      </c>
      <c r="J11" s="265">
        <v>155.24</v>
      </c>
      <c r="K11" s="265">
        <v>152.88999999999999</v>
      </c>
      <c r="L11" s="6">
        <f t="shared" ref="L11:AG11" si="14">L49/K49*K11</f>
        <v>149.89510886468165</v>
      </c>
      <c r="M11" s="6">
        <f t="shared" si="14"/>
        <v>153.05903116134692</v>
      </c>
      <c r="N11" s="6">
        <f t="shared" si="14"/>
        <v>153.32655627042456</v>
      </c>
      <c r="O11" s="6">
        <f t="shared" si="14"/>
        <v>154.89162019025139</v>
      </c>
      <c r="P11" s="6">
        <f t="shared" si="14"/>
        <v>156.56135961246713</v>
      </c>
      <c r="Q11" s="6">
        <f t="shared" si="14"/>
        <v>159.02925856361827</v>
      </c>
      <c r="R11" s="6">
        <f t="shared" si="14"/>
        <v>161.8192730358773</v>
      </c>
      <c r="S11" s="6">
        <f t="shared" si="14"/>
        <v>164.87448014005409</v>
      </c>
      <c r="T11" s="6">
        <f t="shared" si="14"/>
        <v>168.7242173005894</v>
      </c>
      <c r="U11" s="6">
        <f t="shared" si="14"/>
        <v>173.40896507001949</v>
      </c>
      <c r="V11" s="6">
        <f t="shared" si="14"/>
        <v>178.95541697933874</v>
      </c>
      <c r="W11" s="6">
        <f t="shared" si="14"/>
        <v>184.75085539349243</v>
      </c>
      <c r="X11" s="6">
        <f t="shared" si="14"/>
        <v>191.05600864487911</v>
      </c>
      <c r="Y11" s="6">
        <f t="shared" si="14"/>
        <v>198.12309082173635</v>
      </c>
      <c r="Z11" s="6">
        <f t="shared" si="14"/>
        <v>205.79924561662574</v>
      </c>
      <c r="AA11" s="6">
        <f t="shared" si="14"/>
        <v>213.91826391923422</v>
      </c>
      <c r="AB11" s="6">
        <f t="shared" si="14"/>
        <v>222.4307832505832</v>
      </c>
      <c r="AC11" s="6">
        <f t="shared" si="14"/>
        <v>231.45082025356476</v>
      </c>
      <c r="AD11" s="6">
        <f t="shared" si="14"/>
        <v>240.60602473379652</v>
      </c>
      <c r="AE11" s="6">
        <f t="shared" si="14"/>
        <v>249.79924851910894</v>
      </c>
      <c r="AF11" s="6">
        <f t="shared" si="14"/>
        <v>299.16098922830128</v>
      </c>
      <c r="AG11" s="6">
        <f t="shared" si="14"/>
        <v>358.50603229683588</v>
      </c>
      <c r="AH11" s="6">
        <f t="shared" si="6"/>
        <v>420.26625317254434</v>
      </c>
      <c r="AI11" s="6">
        <f t="shared" si="7"/>
        <v>470.60601324322431</v>
      </c>
      <c r="AJ11" s="6">
        <f t="shared" si="8"/>
        <v>503.49158274392454</v>
      </c>
      <c r="AK11" s="6">
        <f t="shared" si="9"/>
        <v>514.64871458081905</v>
      </c>
      <c r="AL11" s="107"/>
      <c r="AM11" s="107"/>
    </row>
    <row r="12" spans="1:41">
      <c r="A12" s="115" t="s">
        <v>580</v>
      </c>
      <c r="B12">
        <f t="shared" si="11"/>
        <v>6</v>
      </c>
      <c r="C12" s="265">
        <v>0.14875454246747444</v>
      </c>
      <c r="D12" s="265">
        <v>0.12</v>
      </c>
      <c r="E12" s="265">
        <v>0.12</v>
      </c>
      <c r="F12" s="265">
        <v>0.12</v>
      </c>
      <c r="G12" s="265">
        <v>0.12</v>
      </c>
      <c r="H12" s="265">
        <v>0.12</v>
      </c>
      <c r="I12" s="265">
        <v>0.12</v>
      </c>
      <c r="J12" s="265">
        <v>0.12</v>
      </c>
      <c r="K12" s="265">
        <v>0.12</v>
      </c>
      <c r="L12" s="6">
        <f t="shared" ref="L12:AG12" si="15">L50/K50*K12</f>
        <v>0.11586841705592502</v>
      </c>
      <c r="M12" s="6">
        <f t="shared" si="15"/>
        <v>0.11831411839320811</v>
      </c>
      <c r="N12" s="6">
        <f t="shared" si="15"/>
        <v>0.11852091440640909</v>
      </c>
      <c r="O12" s="6">
        <f t="shared" si="15"/>
        <v>0.11973070357401548</v>
      </c>
      <c r="P12" s="6">
        <f t="shared" si="15"/>
        <v>0.12102140655434201</v>
      </c>
      <c r="Q12" s="6">
        <f t="shared" si="15"/>
        <v>0.12292908417697884</v>
      </c>
      <c r="R12" s="6">
        <f t="shared" si="15"/>
        <v>0.12508575601845709</v>
      </c>
      <c r="S12" s="6">
        <f t="shared" si="15"/>
        <v>0.12744742087610469</v>
      </c>
      <c r="T12" s="6">
        <f t="shared" si="15"/>
        <v>0.13042325480591815</v>
      </c>
      <c r="U12" s="6">
        <f t="shared" si="15"/>
        <v>0.13404454913941216</v>
      </c>
      <c r="V12" s="6">
        <f t="shared" si="15"/>
        <v>0.13833193788663137</v>
      </c>
      <c r="W12" s="6">
        <f t="shared" si="15"/>
        <v>0.1428117923680694</v>
      </c>
      <c r="X12" s="6">
        <f t="shared" si="15"/>
        <v>0.14768565471132114</v>
      </c>
      <c r="Y12" s="6">
        <f t="shared" si="15"/>
        <v>0.15314848556176472</v>
      </c>
      <c r="Z12" s="6">
        <f t="shared" si="15"/>
        <v>0.15908212750576578</v>
      </c>
      <c r="AA12" s="6">
        <f t="shared" si="15"/>
        <v>0.165358101457795</v>
      </c>
      <c r="AB12" s="6">
        <f t="shared" si="15"/>
        <v>0.17193825038694907</v>
      </c>
      <c r="AC12" s="6">
        <f t="shared" si="15"/>
        <v>0.17891070877626744</v>
      </c>
      <c r="AD12" s="6">
        <f t="shared" si="15"/>
        <v>0.18598765117273622</v>
      </c>
      <c r="AE12" s="6">
        <f t="shared" si="15"/>
        <v>0.19309398236468092</v>
      </c>
      <c r="AF12" s="6">
        <f t="shared" si="15"/>
        <v>0.23125044258822561</v>
      </c>
      <c r="AG12" s="6">
        <f t="shared" si="15"/>
        <v>0.27712396209495166</v>
      </c>
      <c r="AH12" s="6">
        <f t="shared" si="6"/>
        <v>0.32486440595661753</v>
      </c>
      <c r="AI12" s="6">
        <f t="shared" si="7"/>
        <v>0.36377687187056751</v>
      </c>
      <c r="AJ12" s="6">
        <f t="shared" si="8"/>
        <v>0.38919730693939025</v>
      </c>
      <c r="AK12" s="6">
        <f t="shared" si="9"/>
        <v>0.39782173247679908</v>
      </c>
      <c r="AL12" s="107"/>
      <c r="AM12" s="107"/>
    </row>
    <row r="13" spans="1:41">
      <c r="A13" s="115" t="s">
        <v>700</v>
      </c>
      <c r="B13">
        <f t="shared" si="11"/>
        <v>7</v>
      </c>
      <c r="C13" s="265">
        <v>0.28999999999999998</v>
      </c>
      <c r="D13" s="265">
        <v>0.28999999999999998</v>
      </c>
      <c r="E13" s="265">
        <v>0.28999999999999998</v>
      </c>
      <c r="F13" s="265">
        <v>0.28999999999999998</v>
      </c>
      <c r="G13" s="265">
        <v>0.28999999999999998</v>
      </c>
      <c r="H13" s="265">
        <v>0.28999999999999998</v>
      </c>
      <c r="I13" s="265">
        <v>0.28999999999999998</v>
      </c>
      <c r="J13" s="265">
        <v>0.28999999999999998</v>
      </c>
      <c r="K13" s="265">
        <v>0.28999999999999998</v>
      </c>
      <c r="L13" s="6">
        <f t="shared" ref="L13:AG13" si="16">L53/K53*K13</f>
        <v>0.29456709709411816</v>
      </c>
      <c r="M13" s="6">
        <f t="shared" si="16"/>
        <v>0.30078469427536703</v>
      </c>
      <c r="N13" s="6">
        <f t="shared" si="16"/>
        <v>0.30131042253546614</v>
      </c>
      <c r="O13" s="6">
        <f t="shared" si="16"/>
        <v>0.30438601545588834</v>
      </c>
      <c r="P13" s="6">
        <f t="shared" si="16"/>
        <v>0.30766731194535368</v>
      </c>
      <c r="Q13" s="6">
        <f t="shared" si="16"/>
        <v>0.31251711548776595</v>
      </c>
      <c r="R13" s="6">
        <f t="shared" si="16"/>
        <v>0.31799992590211951</v>
      </c>
      <c r="S13" s="6">
        <f t="shared" si="16"/>
        <v>0.32400388089781668</v>
      </c>
      <c r="T13" s="6">
        <f t="shared" si="16"/>
        <v>0.33156921047089821</v>
      </c>
      <c r="U13" s="6">
        <f t="shared" si="16"/>
        <v>0.34077546517467872</v>
      </c>
      <c r="V13" s="6">
        <f t="shared" si="16"/>
        <v>0.35167510193050655</v>
      </c>
      <c r="W13" s="6">
        <f t="shared" si="16"/>
        <v>0.36306403571877388</v>
      </c>
      <c r="X13" s="6">
        <f t="shared" si="16"/>
        <v>0.37545463808106438</v>
      </c>
      <c r="Y13" s="6">
        <f t="shared" si="16"/>
        <v>0.3893425487509295</v>
      </c>
      <c r="Z13" s="6">
        <f t="shared" si="16"/>
        <v>0.40442738141759726</v>
      </c>
      <c r="AA13" s="6">
        <f t="shared" si="16"/>
        <v>0.42038250944523969</v>
      </c>
      <c r="AB13" s="6">
        <f t="shared" si="16"/>
        <v>0.43711092791989914</v>
      </c>
      <c r="AC13" s="6">
        <f t="shared" si="16"/>
        <v>0.45483669719799097</v>
      </c>
      <c r="AD13" s="6">
        <f t="shared" si="16"/>
        <v>0.47282809149678362</v>
      </c>
      <c r="AE13" s="6">
        <f t="shared" si="16"/>
        <v>0.49089419961656738</v>
      </c>
      <c r="AF13" s="6">
        <f t="shared" si="16"/>
        <v>0.58789766276055611</v>
      </c>
      <c r="AG13" s="6">
        <f t="shared" si="16"/>
        <v>0.70451986074971651</v>
      </c>
      <c r="AH13" s="6">
        <f t="shared" ref="AH13:AH14" si="17">AH53/AG53*AG13</f>
        <v>0.82588825707058888</v>
      </c>
      <c r="AI13" s="6">
        <f t="shared" ref="AI13:AI14" si="18">AI53/AH53*AH13</f>
        <v>0.92481367968608619</v>
      </c>
      <c r="AJ13" s="6">
        <f t="shared" ref="AJ13:AJ14" si="19">AJ53/AI53*AI13</f>
        <v>0.98943891540910844</v>
      </c>
      <c r="AK13" s="6">
        <f t="shared" ref="AK13:AK14" si="20">AK53/AJ53*AJ13</f>
        <v>1.011364406921025</v>
      </c>
      <c r="AL13" s="107"/>
      <c r="AM13" s="107"/>
    </row>
    <row r="14" spans="1:41">
      <c r="A14" s="115" t="s">
        <v>701</v>
      </c>
      <c r="B14">
        <f t="shared" si="11"/>
        <v>8</v>
      </c>
      <c r="C14" s="265">
        <v>0.08</v>
      </c>
      <c r="D14" s="265">
        <v>0.08</v>
      </c>
      <c r="E14" s="265">
        <v>0.08</v>
      </c>
      <c r="F14" s="265">
        <v>0.08</v>
      </c>
      <c r="G14" s="265">
        <v>0.08</v>
      </c>
      <c r="H14" s="265">
        <v>0.08</v>
      </c>
      <c r="I14" s="265">
        <v>0.08</v>
      </c>
      <c r="J14" s="265">
        <v>0.08</v>
      </c>
      <c r="K14" s="265">
        <v>0.08</v>
      </c>
      <c r="L14" s="6">
        <f t="shared" ref="L14:AG14" si="21">L54/K54*K14</f>
        <v>8.3762449651115956E-2</v>
      </c>
      <c r="M14" s="6">
        <f t="shared" si="21"/>
        <v>8.5362652656875371E-2</v>
      </c>
      <c r="N14" s="6">
        <f t="shared" si="21"/>
        <v>8.5533377962189128E-2</v>
      </c>
      <c r="O14" s="6">
        <f t="shared" si="21"/>
        <v>8.6388711741811022E-2</v>
      </c>
      <c r="P14" s="6">
        <f t="shared" si="21"/>
        <v>8.733898757097093E-2</v>
      </c>
      <c r="Q14" s="6">
        <f t="shared" si="21"/>
        <v>8.856173339696452E-2</v>
      </c>
      <c r="R14" s="6">
        <f t="shared" si="21"/>
        <v>8.9978721131315956E-2</v>
      </c>
      <c r="S14" s="6">
        <f t="shared" si="21"/>
        <v>9.1598338111679639E-2</v>
      </c>
      <c r="T14" s="6">
        <f t="shared" si="21"/>
        <v>9.3616407250732656E-2</v>
      </c>
      <c r="U14" s="6">
        <f t="shared" si="21"/>
        <v>9.6070875405744882E-2</v>
      </c>
      <c r="V14" s="6">
        <f t="shared" si="21"/>
        <v>9.8893285579531434E-2</v>
      </c>
      <c r="W14" s="6">
        <f t="shared" si="21"/>
        <v>0.10186775225636913</v>
      </c>
      <c r="X14" s="6">
        <f t="shared" si="21"/>
        <v>0.10502338146078069</v>
      </c>
      <c r="Y14" s="6">
        <f t="shared" si="21"/>
        <v>0.10863260720612865</v>
      </c>
      <c r="Z14" s="6">
        <f t="shared" si="21"/>
        <v>0.11245698489217536</v>
      </c>
      <c r="AA14" s="6">
        <f t="shared" si="21"/>
        <v>0.1165103239459233</v>
      </c>
      <c r="AB14" s="6">
        <f t="shared" si="21"/>
        <v>0.1208220236331964</v>
      </c>
      <c r="AC14" s="6">
        <f t="shared" si="21"/>
        <v>0.12533544428447041</v>
      </c>
      <c r="AD14" s="6">
        <f t="shared" si="21"/>
        <v>0.12991839840314054</v>
      </c>
      <c r="AE14" s="6">
        <f t="shared" si="21"/>
        <v>0.1345186275630148</v>
      </c>
      <c r="AF14" s="6">
        <f t="shared" si="21"/>
        <v>0.15958048011121059</v>
      </c>
      <c r="AG14" s="6">
        <f t="shared" si="21"/>
        <v>0.18978255443440251</v>
      </c>
      <c r="AH14" s="6">
        <f t="shared" si="17"/>
        <v>0.22123965632948117</v>
      </c>
      <c r="AI14" s="6">
        <f t="shared" si="18"/>
        <v>0.2468401786190447</v>
      </c>
      <c r="AJ14" s="6">
        <f t="shared" si="19"/>
        <v>0.2634791456581409</v>
      </c>
      <c r="AK14" s="6">
        <f t="shared" si="20"/>
        <v>0.26895676595325468</v>
      </c>
      <c r="AL14" s="107"/>
      <c r="AM14" s="107"/>
    </row>
    <row r="15" spans="1:41">
      <c r="A15" s="115" t="s">
        <v>372</v>
      </c>
      <c r="B15">
        <f>B12+1</f>
        <v>7</v>
      </c>
      <c r="C15" s="265">
        <v>19.344853564503961</v>
      </c>
      <c r="D15" s="265">
        <v>19.93389877641825</v>
      </c>
      <c r="E15" s="265">
        <v>20.313674916573973</v>
      </c>
      <c r="F15" s="265">
        <v>20.822458982202448</v>
      </c>
      <c r="G15" s="265">
        <v>20.887687708565075</v>
      </c>
      <c r="H15" s="265">
        <v>21.03698901557286</v>
      </c>
      <c r="I15" s="265">
        <v>21.050034760845385</v>
      </c>
      <c r="J15" s="265">
        <v>20.85</v>
      </c>
      <c r="K15" s="265">
        <v>19.82</v>
      </c>
      <c r="L15" s="6">
        <f t="shared" ref="L15:AG15" si="22">L53/K53*K15</f>
        <v>20.132137463466972</v>
      </c>
      <c r="M15" s="6">
        <f t="shared" si="22"/>
        <v>20.557078070819912</v>
      </c>
      <c r="N15" s="6">
        <f t="shared" si="22"/>
        <v>20.593008878113583</v>
      </c>
      <c r="O15" s="6">
        <f t="shared" si="22"/>
        <v>20.8032097459852</v>
      </c>
      <c r="P15" s="6">
        <f t="shared" si="22"/>
        <v>21.027469388816932</v>
      </c>
      <c r="Q15" s="6">
        <f t="shared" si="22"/>
        <v>21.358928375750075</v>
      </c>
      <c r="R15" s="6">
        <f t="shared" si="22"/>
        <v>21.733650108206927</v>
      </c>
      <c r="S15" s="6">
        <f t="shared" si="22"/>
        <v>22.143989377223193</v>
      </c>
      <c r="T15" s="6">
        <f t="shared" si="22"/>
        <v>22.661040522528282</v>
      </c>
      <c r="U15" s="6">
        <f t="shared" si="22"/>
        <v>23.290240412972864</v>
      </c>
      <c r="V15" s="6">
        <f t="shared" si="22"/>
        <v>24.0351742078022</v>
      </c>
      <c r="W15" s="6">
        <f t="shared" si="22"/>
        <v>24.813548923952059</v>
      </c>
      <c r="X15" s="6">
        <f t="shared" si="22"/>
        <v>25.660382506092049</v>
      </c>
      <c r="Y15" s="6">
        <f t="shared" si="22"/>
        <v>26.609549366356621</v>
      </c>
      <c r="Z15" s="6">
        <f t="shared" si="22"/>
        <v>27.640519654126813</v>
      </c>
      <c r="AA15" s="6">
        <f t="shared" si="22"/>
        <v>28.730970128291894</v>
      </c>
      <c r="AB15" s="6">
        <f t="shared" si="22"/>
        <v>29.874271004732414</v>
      </c>
      <c r="AC15" s="6">
        <f t="shared" si="22"/>
        <v>31.085735649876483</v>
      </c>
      <c r="AD15" s="6">
        <f t="shared" si="22"/>
        <v>32.315354391262936</v>
      </c>
      <c r="AE15" s="6">
        <f t="shared" si="22"/>
        <v>33.550079435863331</v>
      </c>
      <c r="AF15" s="6">
        <f t="shared" si="22"/>
        <v>40.179764399704219</v>
      </c>
      <c r="AG15" s="6">
        <f t="shared" si="22"/>
        <v>48.150288413997878</v>
      </c>
      <c r="AH15" s="6">
        <f t="shared" ref="AH15:AH27" si="23">AH53/AG53*AG15</f>
        <v>56.445190534962329</v>
      </c>
      <c r="AI15" s="6">
        <f t="shared" ref="AI15:AI27" si="24">AI53/AH53*AH15</f>
        <v>63.206231487511147</v>
      </c>
      <c r="AJ15" s="6">
        <f t="shared" ref="AJ15:AJ27" si="25">AJ53/AI53*AI15</f>
        <v>67.623032080719085</v>
      </c>
      <c r="AK15" s="6">
        <f t="shared" ref="AK15:AK27" si="26">AK53/AJ53*AJ15</f>
        <v>69.121526017843863</v>
      </c>
      <c r="AL15" s="107"/>
      <c r="AM15" s="107"/>
    </row>
    <row r="16" spans="1:41">
      <c r="A16" s="115" t="s">
        <v>371</v>
      </c>
      <c r="B16">
        <f t="shared" si="11"/>
        <v>8</v>
      </c>
      <c r="C16" s="265">
        <v>186.51301855651582</v>
      </c>
      <c r="D16" s="265">
        <v>191.20040429598868</v>
      </c>
      <c r="E16" s="265">
        <v>192.19084947996168</v>
      </c>
      <c r="F16" s="265">
        <v>198.3568473622208</v>
      </c>
      <c r="G16" s="265">
        <v>195.64424405359443</v>
      </c>
      <c r="H16" s="265">
        <v>201.78663829260577</v>
      </c>
      <c r="I16" s="265">
        <v>200.62824410860065</v>
      </c>
      <c r="J16" s="265">
        <v>198.05</v>
      </c>
      <c r="K16" s="265">
        <v>190.12</v>
      </c>
      <c r="L16" s="6">
        <f t="shared" ref="L16:AG16" si="27">L54/K54*K16</f>
        <v>199.06146159587709</v>
      </c>
      <c r="M16" s="6">
        <f t="shared" si="27"/>
        <v>202.86434403906432</v>
      </c>
      <c r="N16" s="6">
        <f t="shared" si="27"/>
        <v>203.27007272714246</v>
      </c>
      <c r="O16" s="6">
        <f t="shared" si="27"/>
        <v>205.30277345441388</v>
      </c>
      <c r="P16" s="6">
        <f t="shared" si="27"/>
        <v>207.5611039624124</v>
      </c>
      <c r="Q16" s="6">
        <f t="shared" si="27"/>
        <v>210.46695941788619</v>
      </c>
      <c r="R16" s="6">
        <f t="shared" si="27"/>
        <v>213.83443076857236</v>
      </c>
      <c r="S16" s="6">
        <f t="shared" si="27"/>
        <v>217.68345052240667</v>
      </c>
      <c r="T16" s="6">
        <f t="shared" si="27"/>
        <v>222.47939183136617</v>
      </c>
      <c r="U16" s="6">
        <f t="shared" si="27"/>
        <v>228.31243540175274</v>
      </c>
      <c r="V16" s="6">
        <f t="shared" si="27"/>
        <v>235.01989317975648</v>
      </c>
      <c r="W16" s="6">
        <f t="shared" si="27"/>
        <v>242.08871323726126</v>
      </c>
      <c r="X16" s="6">
        <f t="shared" si="27"/>
        <v>249.58806604154535</v>
      </c>
      <c r="Y16" s="6">
        <f t="shared" si="27"/>
        <v>258.16539102536478</v>
      </c>
      <c r="Z16" s="6">
        <f t="shared" si="27"/>
        <v>267.25402459625479</v>
      </c>
      <c r="AA16" s="6">
        <f t="shared" si="27"/>
        <v>276.88678485748676</v>
      </c>
      <c r="AB16" s="6">
        <f t="shared" si="27"/>
        <v>287.13353916429128</v>
      </c>
      <c r="AC16" s="6">
        <f t="shared" si="27"/>
        <v>297.85968334204398</v>
      </c>
      <c r="AD16" s="6">
        <f t="shared" si="27"/>
        <v>308.75107380506353</v>
      </c>
      <c r="AE16" s="6">
        <f t="shared" si="27"/>
        <v>319.68351840350471</v>
      </c>
      <c r="AF16" s="6">
        <f t="shared" si="27"/>
        <v>379.24301098429203</v>
      </c>
      <c r="AG16" s="6">
        <f t="shared" si="27"/>
        <v>451.01824061335759</v>
      </c>
      <c r="AH16" s="6">
        <f t="shared" si="23"/>
        <v>525.77604326701203</v>
      </c>
      <c r="AI16" s="6">
        <f t="shared" si="24"/>
        <v>586.61568448815979</v>
      </c>
      <c r="AJ16" s="6">
        <f t="shared" si="25"/>
        <v>626.15818965657195</v>
      </c>
      <c r="AK16" s="6">
        <f t="shared" si="26"/>
        <v>639.17575428790985</v>
      </c>
      <c r="AL16" s="107"/>
      <c r="AM16" s="107"/>
    </row>
    <row r="17" spans="1:39">
      <c r="A17" s="115" t="s">
        <v>698</v>
      </c>
      <c r="B17">
        <f t="shared" si="11"/>
        <v>9</v>
      </c>
      <c r="C17" s="265">
        <v>91.99927686334776</v>
      </c>
      <c r="D17" s="265">
        <v>94.311373368720652</v>
      </c>
      <c r="E17" s="265">
        <v>94.799919645026264</v>
      </c>
      <c r="F17" s="265">
        <v>97.841355308332979</v>
      </c>
      <c r="G17" s="265">
        <v>96.503338558927737</v>
      </c>
      <c r="H17" s="265">
        <v>99.533131506208818</v>
      </c>
      <c r="I17" s="265">
        <v>98.961742827413289</v>
      </c>
      <c r="J17" s="265">
        <v>97.69</v>
      </c>
      <c r="K17" s="265">
        <v>74.06</v>
      </c>
      <c r="L17" s="6">
        <f t="shared" ref="L17:AG17" si="28">L55/K55*K17</f>
        <v>94.326547184944275</v>
      </c>
      <c r="M17" s="6">
        <f t="shared" si="28"/>
        <v>96.317551881937518</v>
      </c>
      <c r="N17" s="6">
        <f t="shared" si="28"/>
        <v>96.485901069684218</v>
      </c>
      <c r="O17" s="6">
        <f t="shared" si="28"/>
        <v>97.470770267879814</v>
      </c>
      <c r="P17" s="6">
        <f t="shared" si="28"/>
        <v>98.521510052447297</v>
      </c>
      <c r="Q17" s="6">
        <f t="shared" si="28"/>
        <v>100.07451861040887</v>
      </c>
      <c r="R17" s="6">
        <f t="shared" si="28"/>
        <v>101.83022921202563</v>
      </c>
      <c r="S17" s="6">
        <f t="shared" si="28"/>
        <v>103.75282121155556</v>
      </c>
      <c r="T17" s="6">
        <f t="shared" si="28"/>
        <v>106.17539801658454</v>
      </c>
      <c r="U17" s="6">
        <f t="shared" si="28"/>
        <v>109.12343337857642</v>
      </c>
      <c r="V17" s="6">
        <f t="shared" si="28"/>
        <v>112.61372510120846</v>
      </c>
      <c r="W17" s="6">
        <f t="shared" si="28"/>
        <v>116.26069997030581</v>
      </c>
      <c r="X17" s="6">
        <f t="shared" si="28"/>
        <v>120.228430072908</v>
      </c>
      <c r="Y17" s="6">
        <f t="shared" si="28"/>
        <v>124.67562962107331</v>
      </c>
      <c r="Z17" s="6">
        <f t="shared" si="28"/>
        <v>129.50610863365219</v>
      </c>
      <c r="AA17" s="6">
        <f t="shared" si="28"/>
        <v>134.61527442843331</v>
      </c>
      <c r="AB17" s="6">
        <f t="shared" si="28"/>
        <v>139.97206400250883</v>
      </c>
      <c r="AC17" s="6">
        <f t="shared" si="28"/>
        <v>145.64822616961308</v>
      </c>
      <c r="AD17" s="6">
        <f t="shared" si="28"/>
        <v>151.40944702553836</v>
      </c>
      <c r="AE17" s="6">
        <f t="shared" si="28"/>
        <v>157.19459281004734</v>
      </c>
      <c r="AF17" s="6">
        <f t="shared" si="28"/>
        <v>188.25713113703131</v>
      </c>
      <c r="AG17" s="6">
        <f t="shared" si="28"/>
        <v>225.6019988087985</v>
      </c>
      <c r="AH17" s="6">
        <f t="shared" si="23"/>
        <v>264.46669848251634</v>
      </c>
      <c r="AI17" s="6">
        <f t="shared" si="24"/>
        <v>296.14468844196443</v>
      </c>
      <c r="AJ17" s="6">
        <f t="shared" si="25"/>
        <v>316.83904095757515</v>
      </c>
      <c r="AK17" s="6">
        <f t="shared" si="26"/>
        <v>323.86004204715402</v>
      </c>
      <c r="AL17" s="107"/>
      <c r="AM17" s="107"/>
    </row>
    <row r="18" spans="1:39">
      <c r="A18" s="115" t="s">
        <v>510</v>
      </c>
      <c r="B18">
        <f t="shared" si="11"/>
        <v>10</v>
      </c>
      <c r="C18" s="265">
        <v>18.748363502594032</v>
      </c>
      <c r="D18" s="265">
        <v>15.909210489014884</v>
      </c>
      <c r="E18" s="265">
        <v>14.603991495393339</v>
      </c>
      <c r="F18" s="265">
        <v>14.80978596739901</v>
      </c>
      <c r="G18" s="265">
        <v>14.414883061658401</v>
      </c>
      <c r="H18" s="265">
        <v>13.877221828490436</v>
      </c>
      <c r="I18" s="265">
        <v>13.621369241672575</v>
      </c>
      <c r="J18" s="265">
        <v>13.08</v>
      </c>
      <c r="K18" s="265">
        <v>12.33</v>
      </c>
      <c r="L18" s="6">
        <f t="shared" ref="L18:AG18" si="29">L56/K56*K18</f>
        <v>12.629657459095826</v>
      </c>
      <c r="M18" s="6">
        <f t="shared" si="29"/>
        <v>12.896238904859688</v>
      </c>
      <c r="N18" s="6">
        <f t="shared" si="29"/>
        <v>12.918779670298596</v>
      </c>
      <c r="O18" s="6">
        <f t="shared" si="29"/>
        <v>13.050646689567692</v>
      </c>
      <c r="P18" s="6">
        <f t="shared" si="29"/>
        <v>13.191333314423288</v>
      </c>
      <c r="Q18" s="6">
        <f t="shared" si="29"/>
        <v>13.399270175290699</v>
      </c>
      <c r="R18" s="6">
        <f t="shared" si="29"/>
        <v>13.634347406011829</v>
      </c>
      <c r="S18" s="6">
        <f t="shared" si="29"/>
        <v>13.891768875495417</v>
      </c>
      <c r="T18" s="6">
        <f t="shared" si="29"/>
        <v>14.216134773845086</v>
      </c>
      <c r="U18" s="6">
        <f t="shared" si="29"/>
        <v>14.610855856195929</v>
      </c>
      <c r="V18" s="6">
        <f t="shared" si="29"/>
        <v>15.078181229642825</v>
      </c>
      <c r="W18" s="6">
        <f t="shared" si="29"/>
        <v>15.566485368119571</v>
      </c>
      <c r="X18" s="6">
        <f t="shared" si="29"/>
        <v>16.097736363534011</v>
      </c>
      <c r="Y18" s="6">
        <f t="shared" si="29"/>
        <v>16.693184926232366</v>
      </c>
      <c r="Z18" s="6">
        <f t="shared" si="29"/>
        <v>17.339951898128483</v>
      </c>
      <c r="AA18" s="6">
        <f t="shared" si="29"/>
        <v>18.024033058899668</v>
      </c>
      <c r="AB18" s="6">
        <f t="shared" si="29"/>
        <v>18.74126929217746</v>
      </c>
      <c r="AC18" s="6">
        <f t="shared" si="29"/>
        <v>19.501267256613158</v>
      </c>
      <c r="AD18" s="6">
        <f t="shared" si="29"/>
        <v>20.272653977828256</v>
      </c>
      <c r="AE18" s="6">
        <f t="shared" si="29"/>
        <v>21.047244077750229</v>
      </c>
      <c r="AF18" s="6">
        <f t="shared" si="29"/>
        <v>25.206298242116603</v>
      </c>
      <c r="AG18" s="6">
        <f t="shared" si="29"/>
        <v>30.206511868349747</v>
      </c>
      <c r="AH18" s="6">
        <f t="shared" si="23"/>
        <v>35.410220249271333</v>
      </c>
      <c r="AI18" s="6">
        <f t="shared" si="24"/>
        <v>39.651679033891881</v>
      </c>
      <c r="AJ18" s="6">
        <f t="shared" si="25"/>
        <v>42.422506456393563</v>
      </c>
      <c r="AK18" s="6">
        <f t="shared" si="26"/>
        <v>43.362568839971125</v>
      </c>
      <c r="AL18" s="107"/>
      <c r="AM18" s="107"/>
    </row>
    <row r="19" spans="1:39">
      <c r="A19" s="115" t="s">
        <v>509</v>
      </c>
      <c r="B19">
        <f t="shared" si="11"/>
        <v>11</v>
      </c>
      <c r="C19" s="265">
        <v>16.099074173411047</v>
      </c>
      <c r="D19" s="265">
        <v>16.518849146566016</v>
      </c>
      <c r="E19" s="265">
        <v>16.808536607755151</v>
      </c>
      <c r="F19" s="265">
        <v>17.0461507724374</v>
      </c>
      <c r="G19" s="265">
        <v>17.232929214387152</v>
      </c>
      <c r="H19" s="265">
        <v>17.424562753451802</v>
      </c>
      <c r="I19" s="265">
        <v>17.64894439854638</v>
      </c>
      <c r="J19" s="265">
        <v>17.63</v>
      </c>
      <c r="K19" s="265">
        <v>16.46</v>
      </c>
      <c r="L19" s="6">
        <f t="shared" ref="L19:AG19" si="30">L57/K57*K19</f>
        <v>17.023001605799649</v>
      </c>
      <c r="M19" s="6">
        <f t="shared" si="30"/>
        <v>17.382315893935495</v>
      </c>
      <c r="N19" s="6">
        <f t="shared" si="30"/>
        <v>17.412697674874938</v>
      </c>
      <c r="O19" s="6">
        <f t="shared" si="30"/>
        <v>17.590435866749111</v>
      </c>
      <c r="P19" s="6">
        <f t="shared" si="30"/>
        <v>17.780061646275421</v>
      </c>
      <c r="Q19" s="6">
        <f t="shared" si="30"/>
        <v>18.060331283667811</v>
      </c>
      <c r="R19" s="6">
        <f t="shared" si="30"/>
        <v>18.377182321711658</v>
      </c>
      <c r="S19" s="6">
        <f t="shared" si="30"/>
        <v>18.724150250381051</v>
      </c>
      <c r="T19" s="6">
        <f t="shared" si="30"/>
        <v>19.161349851902813</v>
      </c>
      <c r="U19" s="6">
        <f t="shared" si="30"/>
        <v>19.693378344398642</v>
      </c>
      <c r="V19" s="6">
        <f t="shared" si="30"/>
        <v>20.323267207844264</v>
      </c>
      <c r="W19" s="6">
        <f t="shared" si="30"/>
        <v>20.981432495408868</v>
      </c>
      <c r="X19" s="6">
        <f t="shared" si="30"/>
        <v>21.697484104671609</v>
      </c>
      <c r="Y19" s="6">
        <f t="shared" si="30"/>
        <v>22.50006500378262</v>
      </c>
      <c r="Z19" s="6">
        <f t="shared" si="30"/>
        <v>23.371815899388775</v>
      </c>
      <c r="AA19" s="6">
        <f t="shared" si="30"/>
        <v>24.293861072507738</v>
      </c>
      <c r="AB19" s="6">
        <f t="shared" si="30"/>
        <v>25.260594619349291</v>
      </c>
      <c r="AC19" s="6">
        <f t="shared" si="30"/>
        <v>26.284964964379984</v>
      </c>
      <c r="AD19" s="6">
        <f t="shared" si="30"/>
        <v>27.324685751461189</v>
      </c>
      <c r="AE19" s="6">
        <f t="shared" si="30"/>
        <v>28.368724242411069</v>
      </c>
      <c r="AF19" s="6">
        <f t="shared" si="30"/>
        <v>33.974544190253518</v>
      </c>
      <c r="AG19" s="6">
        <f t="shared" si="30"/>
        <v>40.714128764450024</v>
      </c>
      <c r="AH19" s="6">
        <f t="shared" si="23"/>
        <v>47.727995641793115</v>
      </c>
      <c r="AI19" s="6">
        <f t="shared" si="24"/>
        <v>53.444885425650945</v>
      </c>
      <c r="AJ19" s="6">
        <f t="shared" si="25"/>
        <v>57.179571011178822</v>
      </c>
      <c r="AK19" s="6">
        <f t="shared" si="26"/>
        <v>58.446642863049803</v>
      </c>
      <c r="AL19" s="107"/>
      <c r="AM19" s="107"/>
    </row>
    <row r="20" spans="1:39">
      <c r="A20" s="115" t="s">
        <v>506</v>
      </c>
      <c r="B20">
        <f t="shared" si="11"/>
        <v>12</v>
      </c>
      <c r="C20" s="265">
        <v>335.77331305186084</v>
      </c>
      <c r="D20" s="265">
        <v>345.12368336779264</v>
      </c>
      <c r="E20" s="265">
        <v>351.73654833895557</v>
      </c>
      <c r="F20" s="265">
        <v>356.62847152051233</v>
      </c>
      <c r="G20" s="265">
        <v>360.31274126727499</v>
      </c>
      <c r="H20" s="265">
        <v>363.08022098030375</v>
      </c>
      <c r="I20" s="265">
        <v>367.26352107202263</v>
      </c>
      <c r="J20" s="265">
        <v>366.87</v>
      </c>
      <c r="K20" s="265">
        <v>340.31</v>
      </c>
      <c r="L20" s="6">
        <f t="shared" ref="L20:AG20" si="31">L58/K58*K20</f>
        <v>354.2387180442268</v>
      </c>
      <c r="M20" s="6">
        <f t="shared" si="31"/>
        <v>361.71583845763558</v>
      </c>
      <c r="N20" s="6">
        <f t="shared" si="31"/>
        <v>362.34806556899423</v>
      </c>
      <c r="O20" s="6">
        <f t="shared" si="31"/>
        <v>366.04669350165898</v>
      </c>
      <c r="P20" s="6">
        <f t="shared" si="31"/>
        <v>369.99269518826236</v>
      </c>
      <c r="Q20" s="6">
        <f t="shared" si="31"/>
        <v>375.82494260006882</v>
      </c>
      <c r="R20" s="6">
        <f t="shared" si="31"/>
        <v>382.41842758742825</v>
      </c>
      <c r="S20" s="6">
        <f t="shared" si="31"/>
        <v>389.63862747347139</v>
      </c>
      <c r="T20" s="6">
        <f t="shared" si="31"/>
        <v>398.73649575539355</v>
      </c>
      <c r="U20" s="6">
        <f t="shared" si="31"/>
        <v>409.80769785646811</v>
      </c>
      <c r="V20" s="6">
        <f t="shared" si="31"/>
        <v>422.91531710390404</v>
      </c>
      <c r="W20" s="6">
        <f t="shared" si="31"/>
        <v>436.61135221728046</v>
      </c>
      <c r="X20" s="6">
        <f t="shared" si="31"/>
        <v>451.51196786618686</v>
      </c>
      <c r="Y20" s="6">
        <f t="shared" si="31"/>
        <v>468.21320748370556</v>
      </c>
      <c r="Z20" s="6">
        <f t="shared" si="31"/>
        <v>486.35383431700279</v>
      </c>
      <c r="AA20" s="6">
        <f t="shared" si="31"/>
        <v>505.54105568184406</v>
      </c>
      <c r="AB20" s="6">
        <f t="shared" si="31"/>
        <v>525.65821599550031</v>
      </c>
      <c r="AC20" s="6">
        <f t="shared" si="31"/>
        <v>546.97476440624382</v>
      </c>
      <c r="AD20" s="6">
        <f t="shared" si="31"/>
        <v>568.61074654784807</v>
      </c>
      <c r="AE20" s="6">
        <f t="shared" si="31"/>
        <v>590.33657758442098</v>
      </c>
      <c r="AF20" s="6">
        <f t="shared" si="31"/>
        <v>706.99041560285298</v>
      </c>
      <c r="AG20" s="6">
        <f t="shared" si="31"/>
        <v>847.23723311479125</v>
      </c>
      <c r="AH20" s="6">
        <f t="shared" si="23"/>
        <v>993.19170511086941</v>
      </c>
      <c r="AI20" s="6">
        <f t="shared" si="24"/>
        <v>1112.156841526293</v>
      </c>
      <c r="AJ20" s="6">
        <f t="shared" si="25"/>
        <v>1189.8734666404514</v>
      </c>
      <c r="AK20" s="6">
        <f t="shared" si="26"/>
        <v>1216.2404916146945</v>
      </c>
      <c r="AL20" s="107"/>
      <c r="AM20" s="107"/>
    </row>
    <row r="21" spans="1:39">
      <c r="A21" s="115" t="s">
        <v>512</v>
      </c>
      <c r="B21">
        <f t="shared" si="11"/>
        <v>13</v>
      </c>
      <c r="C21" s="265">
        <v>49.680584563226056</v>
      </c>
      <c r="D21" s="265">
        <v>48.564231533814059</v>
      </c>
      <c r="E21" s="265">
        <v>47.459267978951466</v>
      </c>
      <c r="F21" s="265">
        <v>46.356109920093544</v>
      </c>
      <c r="G21" s="265">
        <v>46.356109920093544</v>
      </c>
      <c r="H21" s="265">
        <v>46.356109920093544</v>
      </c>
      <c r="I21" s="265">
        <v>46.327221984018706</v>
      </c>
      <c r="J21" s="265">
        <v>46.32</v>
      </c>
      <c r="K21" s="265">
        <v>29.1</v>
      </c>
      <c r="L21" s="6">
        <f t="shared" ref="L21:AG21" si="32">L59/K59*K21</f>
        <v>44.725208983587052</v>
      </c>
      <c r="M21" s="6">
        <f t="shared" si="32"/>
        <v>45.669249699778327</v>
      </c>
      <c r="N21" s="6">
        <f t="shared" si="32"/>
        <v>45.749072960873903</v>
      </c>
      <c r="O21" s="6">
        <f t="shared" si="32"/>
        <v>46.216051579569978</v>
      </c>
      <c r="P21" s="6">
        <f t="shared" si="32"/>
        <v>46.714262929976016</v>
      </c>
      <c r="Q21" s="6">
        <f t="shared" si="32"/>
        <v>47.450626492313823</v>
      </c>
      <c r="R21" s="6">
        <f t="shared" si="32"/>
        <v>48.283101823124433</v>
      </c>
      <c r="S21" s="6">
        <f t="shared" si="32"/>
        <v>49.19470445817641</v>
      </c>
      <c r="T21" s="6">
        <f t="shared" si="32"/>
        <v>50.343376355084402</v>
      </c>
      <c r="U21" s="6">
        <f t="shared" si="32"/>
        <v>51.741195967813091</v>
      </c>
      <c r="V21" s="6">
        <f t="shared" si="32"/>
        <v>53.396128024239701</v>
      </c>
      <c r="W21" s="6">
        <f t="shared" si="32"/>
        <v>55.125351854074779</v>
      </c>
      <c r="X21" s="6">
        <f t="shared" si="32"/>
        <v>57.006662718569956</v>
      </c>
      <c r="Y21" s="6">
        <f t="shared" si="32"/>
        <v>59.115315426841178</v>
      </c>
      <c r="Z21" s="6">
        <f t="shared" si="32"/>
        <v>61.405701217225584</v>
      </c>
      <c r="AA21" s="6">
        <f t="shared" si="32"/>
        <v>63.82822716270887</v>
      </c>
      <c r="AB21" s="6">
        <f t="shared" si="32"/>
        <v>66.368164649362342</v>
      </c>
      <c r="AC21" s="6">
        <f t="shared" si="32"/>
        <v>69.059533587639237</v>
      </c>
      <c r="AD21" s="6">
        <f t="shared" si="32"/>
        <v>71.791233352676187</v>
      </c>
      <c r="AE21" s="6">
        <f t="shared" si="32"/>
        <v>74.534277192766837</v>
      </c>
      <c r="AF21" s="6">
        <f t="shared" si="32"/>
        <v>89.26267083905509</v>
      </c>
      <c r="AG21" s="6">
        <f t="shared" si="32"/>
        <v>106.96984936865132</v>
      </c>
      <c r="AH21" s="6">
        <f t="shared" si="23"/>
        <v>125.39766069925436</v>
      </c>
      <c r="AI21" s="6">
        <f t="shared" si="24"/>
        <v>140.41787254203905</v>
      </c>
      <c r="AJ21" s="6">
        <f t="shared" si="25"/>
        <v>150.2301604786046</v>
      </c>
      <c r="AK21" s="6">
        <f t="shared" si="26"/>
        <v>153.5591887360444</v>
      </c>
      <c r="AL21" s="107"/>
      <c r="AM21" s="107"/>
    </row>
    <row r="22" spans="1:39">
      <c r="A22" s="115" t="s">
        <v>507</v>
      </c>
      <c r="B22">
        <f t="shared" si="11"/>
        <v>14</v>
      </c>
      <c r="C22" s="265">
        <v>21.771602125906632</v>
      </c>
      <c r="D22" s="265">
        <v>22.321967288291042</v>
      </c>
      <c r="E22" s="265">
        <v>22.799481809844082</v>
      </c>
      <c r="F22" s="265">
        <v>23.061502598593702</v>
      </c>
      <c r="G22" s="265">
        <v>23.492490064200549</v>
      </c>
      <c r="H22" s="265">
        <v>23.649212778966675</v>
      </c>
      <c r="I22" s="265">
        <v>24.045917150718431</v>
      </c>
      <c r="J22" s="265">
        <v>24.03</v>
      </c>
      <c r="K22" s="265">
        <v>22.95</v>
      </c>
      <c r="L22" s="6">
        <f t="shared" ref="L22:AG22" si="33">L60/K60*K22</f>
        <v>23.202650515448983</v>
      </c>
      <c r="M22" s="6">
        <f t="shared" si="33"/>
        <v>23.692402208239926</v>
      </c>
      <c r="N22" s="6">
        <f t="shared" si="33"/>
        <v>23.733813109883425</v>
      </c>
      <c r="O22" s="6">
        <f t="shared" si="33"/>
        <v>23.976073390696609</v>
      </c>
      <c r="P22" s="6">
        <f t="shared" si="33"/>
        <v>24.234536662507001</v>
      </c>
      <c r="Q22" s="6">
        <f t="shared" si="33"/>
        <v>24.616549106440019</v>
      </c>
      <c r="R22" s="6">
        <f t="shared" si="33"/>
        <v>25.048422642696039</v>
      </c>
      <c r="S22" s="6">
        <f t="shared" si="33"/>
        <v>25.521346030439972</v>
      </c>
      <c r="T22" s="6">
        <f t="shared" si="33"/>
        <v>26.117256774885121</v>
      </c>
      <c r="U22" s="6">
        <f t="shared" si="33"/>
        <v>26.842420965167289</v>
      </c>
      <c r="V22" s="6">
        <f t="shared" si="33"/>
        <v>27.700970561797934</v>
      </c>
      <c r="W22" s="6">
        <f t="shared" si="33"/>
        <v>28.598061421705907</v>
      </c>
      <c r="X22" s="6">
        <f t="shared" si="33"/>
        <v>29.574052355942069</v>
      </c>
      <c r="Y22" s="6">
        <f t="shared" si="33"/>
        <v>30.667984233743397</v>
      </c>
      <c r="Z22" s="6">
        <f t="shared" si="33"/>
        <v>31.856196033029608</v>
      </c>
      <c r="AA22" s="6">
        <f t="shared" si="33"/>
        <v>33.112959816923464</v>
      </c>
      <c r="AB22" s="6">
        <f t="shared" si="33"/>
        <v>34.430634639986565</v>
      </c>
      <c r="AC22" s="6">
        <f t="shared" si="33"/>
        <v>35.826869432447566</v>
      </c>
      <c r="AD22" s="6">
        <f t="shared" si="33"/>
        <v>37.244027147340439</v>
      </c>
      <c r="AE22" s="6">
        <f t="shared" si="33"/>
        <v>38.667069968527365</v>
      </c>
      <c r="AF22" s="6">
        <f t="shared" si="33"/>
        <v>46.307901128292194</v>
      </c>
      <c r="AG22" s="6">
        <f t="shared" si="33"/>
        <v>55.49407340951408</v>
      </c>
      <c r="AH22" s="6">
        <f t="shared" si="23"/>
        <v>65.054097292812685</v>
      </c>
      <c r="AI22" s="6">
        <f t="shared" si="24"/>
        <v>72.846318592081175</v>
      </c>
      <c r="AJ22" s="6">
        <f t="shared" si="25"/>
        <v>77.936760714612916</v>
      </c>
      <c r="AK22" s="6">
        <f t="shared" si="26"/>
        <v>79.663801928479032</v>
      </c>
      <c r="AL22" s="107"/>
      <c r="AM22" s="107"/>
    </row>
    <row r="23" spans="1:39">
      <c r="A23" s="115" t="s">
        <v>577</v>
      </c>
      <c r="B23">
        <f t="shared" si="11"/>
        <v>15</v>
      </c>
      <c r="C23" s="265">
        <v>234.64829421512601</v>
      </c>
      <c r="D23" s="265">
        <v>241.75157173268613</v>
      </c>
      <c r="E23" s="265">
        <v>247.49716491255998</v>
      </c>
      <c r="F23" s="265">
        <v>250.49509082227485</v>
      </c>
      <c r="G23" s="265">
        <v>252.5592931181983</v>
      </c>
      <c r="H23" s="265">
        <v>256.25966914032193</v>
      </c>
      <c r="I23" s="265">
        <v>259.56135726080817</v>
      </c>
      <c r="J23" s="265">
        <v>260.25</v>
      </c>
      <c r="K23" s="265">
        <v>248.16</v>
      </c>
      <c r="L23" s="6">
        <f t="shared" ref="L23:AG23" si="34">L61/K61*K23</f>
        <v>251.28962949003738</v>
      </c>
      <c r="M23" s="6">
        <f t="shared" si="34"/>
        <v>256.59374426527012</v>
      </c>
      <c r="N23" s="6">
        <f t="shared" si="34"/>
        <v>257.04223311889973</v>
      </c>
      <c r="O23" s="6">
        <f t="shared" si="34"/>
        <v>259.66596337614612</v>
      </c>
      <c r="P23" s="6">
        <f t="shared" si="34"/>
        <v>262.46517546472933</v>
      </c>
      <c r="Q23" s="6">
        <f t="shared" si="34"/>
        <v>266.60245130882288</v>
      </c>
      <c r="R23" s="6">
        <f t="shared" si="34"/>
        <v>271.2797333650289</v>
      </c>
      <c r="S23" s="6">
        <f t="shared" si="34"/>
        <v>276.40159402505213</v>
      </c>
      <c r="T23" s="6">
        <f t="shared" si="34"/>
        <v>282.85543386033504</v>
      </c>
      <c r="U23" s="6">
        <f t="shared" si="34"/>
        <v>290.70911594610016</v>
      </c>
      <c r="V23" s="6">
        <f t="shared" si="34"/>
        <v>300.00739029163185</v>
      </c>
      <c r="W23" s="6">
        <f t="shared" si="34"/>
        <v>309.72307469825057</v>
      </c>
      <c r="X23" s="6">
        <f t="shared" si="34"/>
        <v>320.29326365517778</v>
      </c>
      <c r="Y23" s="6">
        <f t="shared" si="34"/>
        <v>332.14077806207735</v>
      </c>
      <c r="Z23" s="6">
        <f t="shared" si="34"/>
        <v>345.00936402812971</v>
      </c>
      <c r="AA23" s="6">
        <f t="shared" si="34"/>
        <v>358.62038253659301</v>
      </c>
      <c r="AB23" s="6">
        <f t="shared" si="34"/>
        <v>372.89108052669587</v>
      </c>
      <c r="AC23" s="6">
        <f t="shared" si="34"/>
        <v>388.01259965853012</v>
      </c>
      <c r="AD23" s="6">
        <f t="shared" si="34"/>
        <v>403.36071848087175</v>
      </c>
      <c r="AE23" s="6">
        <f t="shared" si="34"/>
        <v>418.77257425340184</v>
      </c>
      <c r="AF23" s="6">
        <f t="shared" si="34"/>
        <v>501.5243973632144</v>
      </c>
      <c r="AG23" s="6">
        <f t="shared" si="34"/>
        <v>601.01259279342662</v>
      </c>
      <c r="AH23" s="6">
        <f t="shared" si="23"/>
        <v>704.5496804184146</v>
      </c>
      <c r="AI23" s="6">
        <f t="shared" si="24"/>
        <v>788.94109086929359</v>
      </c>
      <c r="AJ23" s="6">
        <f t="shared" si="25"/>
        <v>844.07165942480287</v>
      </c>
      <c r="AK23" s="6">
        <f t="shared" si="26"/>
        <v>862.77588230905803</v>
      </c>
      <c r="AL23" s="107"/>
      <c r="AM23" s="107"/>
    </row>
    <row r="24" spans="1:39">
      <c r="A24" s="115" t="s">
        <v>576</v>
      </c>
      <c r="B24">
        <f t="shared" si="11"/>
        <v>16</v>
      </c>
      <c r="C24" s="265">
        <v>40.911909200944407</v>
      </c>
      <c r="D24" s="265">
        <v>43.472466890059046</v>
      </c>
      <c r="E24" s="265">
        <v>46.683336524652951</v>
      </c>
      <c r="F24" s="265">
        <v>48.977367480453168</v>
      </c>
      <c r="G24" s="265">
        <v>50.507366203925315</v>
      </c>
      <c r="H24" s="265">
        <v>54.114758895803412</v>
      </c>
      <c r="I24" s="265">
        <v>58.020027445348646</v>
      </c>
      <c r="J24" s="265">
        <v>60.61</v>
      </c>
      <c r="K24" s="265">
        <v>58.58</v>
      </c>
      <c r="L24" s="6">
        <f t="shared" ref="L24:AG24" si="35">L62/K62*K24</f>
        <v>58.523206314663462</v>
      </c>
      <c r="M24" s="6">
        <f t="shared" si="35"/>
        <v>59.758489298436217</v>
      </c>
      <c r="N24" s="6">
        <f t="shared" si="35"/>
        <v>59.86293851810381</v>
      </c>
      <c r="O24" s="6">
        <f t="shared" si="35"/>
        <v>60.473982863509008</v>
      </c>
      <c r="P24" s="6">
        <f t="shared" si="35"/>
        <v>61.125895427155598</v>
      </c>
      <c r="Q24" s="6">
        <f t="shared" si="35"/>
        <v>62.089431599722403</v>
      </c>
      <c r="R24" s="6">
        <f t="shared" si="35"/>
        <v>63.178730602322396</v>
      </c>
      <c r="S24" s="6">
        <f t="shared" si="35"/>
        <v>64.371568160839246</v>
      </c>
      <c r="T24" s="6">
        <f t="shared" si="35"/>
        <v>65.874612281555855</v>
      </c>
      <c r="U24" s="6">
        <f t="shared" si="35"/>
        <v>67.703667694498122</v>
      </c>
      <c r="V24" s="6">
        <f t="shared" si="35"/>
        <v>69.869156294239417</v>
      </c>
      <c r="W24" s="6">
        <f t="shared" si="35"/>
        <v>72.131856128572409</v>
      </c>
      <c r="X24" s="6">
        <f t="shared" si="35"/>
        <v>74.593562767109816</v>
      </c>
      <c r="Y24" s="6">
        <f t="shared" si="35"/>
        <v>77.352747582488036</v>
      </c>
      <c r="Z24" s="6">
        <f t="shared" si="35"/>
        <v>80.349731234370566</v>
      </c>
      <c r="AA24" s="6">
        <f t="shared" si="35"/>
        <v>83.519621077974662</v>
      </c>
      <c r="AB24" s="6">
        <f t="shared" si="35"/>
        <v>86.843144632941559</v>
      </c>
      <c r="AC24" s="6">
        <f t="shared" si="35"/>
        <v>90.364817157746458</v>
      </c>
      <c r="AD24" s="6">
        <f t="shared" si="35"/>
        <v>93.939262813162898</v>
      </c>
      <c r="AE24" s="6">
        <f t="shared" si="35"/>
        <v>97.528552259360978</v>
      </c>
      <c r="AF24" s="6">
        <f t="shared" si="35"/>
        <v>116.80074437726968</v>
      </c>
      <c r="AG24" s="6">
        <f t="shared" si="35"/>
        <v>139.97069452145857</v>
      </c>
      <c r="AH24" s="6">
        <f t="shared" si="23"/>
        <v>164.08359704192171</v>
      </c>
      <c r="AI24" s="6">
        <f t="shared" si="24"/>
        <v>183.73763503395926</v>
      </c>
      <c r="AJ24" s="6">
        <f t="shared" si="25"/>
        <v>196.57707311330381</v>
      </c>
      <c r="AK24" s="6">
        <f t="shared" si="26"/>
        <v>200.93312671182335</v>
      </c>
      <c r="AL24" s="107"/>
      <c r="AM24" s="107"/>
    </row>
    <row r="25" spans="1:39">
      <c r="A25" s="115" t="s">
        <v>801</v>
      </c>
      <c r="B25">
        <f t="shared" si="11"/>
        <v>17</v>
      </c>
      <c r="C25" s="265">
        <v>6.4158612357306808</v>
      </c>
      <c r="D25" s="265">
        <v>6.604363287904599</v>
      </c>
      <c r="E25" s="265">
        <v>6.7999637989778527</v>
      </c>
      <c r="F25" s="265">
        <v>6.9251895229982949</v>
      </c>
      <c r="G25" s="265">
        <v>6.9893547700170355</v>
      </c>
      <c r="H25" s="265">
        <v>7.0969867972742753</v>
      </c>
      <c r="I25" s="265">
        <v>7.234631601362862</v>
      </c>
      <c r="J25" s="265">
        <v>7.29</v>
      </c>
      <c r="K25" s="265">
        <v>6.9</v>
      </c>
      <c r="L25" s="6">
        <f t="shared" ref="L25:AG25" si="36">L63/K63*K25</f>
        <v>7.0390063361474446</v>
      </c>
      <c r="M25" s="6">
        <f t="shared" si="36"/>
        <v>7.1875826923873927</v>
      </c>
      <c r="N25" s="6">
        <f t="shared" si="36"/>
        <v>7.2001455501893528</v>
      </c>
      <c r="O25" s="6">
        <f t="shared" si="36"/>
        <v>7.2736402421214414</v>
      </c>
      <c r="P25" s="6">
        <f t="shared" si="36"/>
        <v>7.3520504481762794</v>
      </c>
      <c r="Q25" s="6">
        <f t="shared" si="36"/>
        <v>7.4679418637514647</v>
      </c>
      <c r="R25" s="6">
        <f t="shared" si="36"/>
        <v>7.5989596781212709</v>
      </c>
      <c r="S25" s="6">
        <f t="shared" si="36"/>
        <v>7.7424308182233634</v>
      </c>
      <c r="T25" s="6">
        <f t="shared" si="36"/>
        <v>7.9232127294595323</v>
      </c>
      <c r="U25" s="6">
        <f t="shared" si="36"/>
        <v>8.1432063602192937</v>
      </c>
      <c r="V25" s="6">
        <f t="shared" si="36"/>
        <v>8.4036652266128602</v>
      </c>
      <c r="W25" s="6">
        <f t="shared" si="36"/>
        <v>8.6758163863602213</v>
      </c>
      <c r="X25" s="6">
        <f t="shared" si="36"/>
        <v>8.9719035237127649</v>
      </c>
      <c r="Y25" s="6">
        <f t="shared" si="36"/>
        <v>9.3037704978772133</v>
      </c>
      <c r="Z25" s="6">
        <f t="shared" si="36"/>
        <v>9.6642392459752777</v>
      </c>
      <c r="AA25" s="6">
        <f t="shared" si="36"/>
        <v>10.045504663561054</v>
      </c>
      <c r="AB25" s="6">
        <f t="shared" si="36"/>
        <v>10.445248711007162</v>
      </c>
      <c r="AC25" s="6">
        <f t="shared" si="36"/>
        <v>10.868825558158253</v>
      </c>
      <c r="AD25" s="6">
        <f t="shared" si="36"/>
        <v>11.298749808743734</v>
      </c>
      <c r="AE25" s="6">
        <f t="shared" si="36"/>
        <v>11.730459428654374</v>
      </c>
      <c r="AF25" s="6">
        <f t="shared" si="36"/>
        <v>14.048464387234716</v>
      </c>
      <c r="AG25" s="6">
        <f t="shared" si="36"/>
        <v>16.835280697268328</v>
      </c>
      <c r="AH25" s="6">
        <f t="shared" si="23"/>
        <v>19.735512661864533</v>
      </c>
      <c r="AI25" s="6">
        <f t="shared" si="24"/>
        <v>22.099444966136996</v>
      </c>
      <c r="AJ25" s="6">
        <f t="shared" si="25"/>
        <v>23.643736396567974</v>
      </c>
      <c r="AK25" s="6">
        <f t="shared" si="26"/>
        <v>24.16767024796556</v>
      </c>
      <c r="AL25" s="107"/>
      <c r="AM25" s="107"/>
    </row>
    <row r="26" spans="1:39">
      <c r="A26" s="115" t="s">
        <v>581</v>
      </c>
      <c r="B26">
        <f t="shared" si="11"/>
        <v>18</v>
      </c>
      <c r="C26" s="265">
        <v>125.48003402211921</v>
      </c>
      <c r="D26" s="265">
        <v>127.1852732099033</v>
      </c>
      <c r="E26" s="265">
        <v>121.33259319855085</v>
      </c>
      <c r="F26" s="265">
        <v>115.48558072755804</v>
      </c>
      <c r="G26" s="265">
        <v>115.29855189569106</v>
      </c>
      <c r="H26" s="265">
        <v>115.15875256682079</v>
      </c>
      <c r="I26" s="265">
        <v>113.64929765104591</v>
      </c>
      <c r="J26" s="265">
        <v>113.16</v>
      </c>
      <c r="K26" s="265">
        <v>108.36</v>
      </c>
      <c r="L26" s="6">
        <f t="shared" ref="L26:AG26" si="37">L64/K64*K26</f>
        <v>107.78666666482698</v>
      </c>
      <c r="M26" s="6">
        <f t="shared" si="37"/>
        <v>107.34279569525077</v>
      </c>
      <c r="N26" s="6">
        <f t="shared" si="37"/>
        <v>107.87913977939523</v>
      </c>
      <c r="O26" s="6">
        <f t="shared" si="37"/>
        <v>108.69290321835018</v>
      </c>
      <c r="P26" s="6">
        <f t="shared" si="37"/>
        <v>110.17247310884716</v>
      </c>
      <c r="Q26" s="6">
        <f t="shared" si="37"/>
        <v>109.41419353718287</v>
      </c>
      <c r="R26" s="6">
        <f t="shared" si="37"/>
        <v>109.1182795568741</v>
      </c>
      <c r="S26" s="6">
        <f t="shared" si="37"/>
        <v>109.89505374846721</v>
      </c>
      <c r="T26" s="6">
        <f t="shared" si="37"/>
        <v>110.50537632716949</v>
      </c>
      <c r="U26" s="6">
        <f t="shared" si="37"/>
        <v>111.2266666477782</v>
      </c>
      <c r="V26" s="6">
        <f t="shared" si="37"/>
        <v>110.72731180731216</v>
      </c>
      <c r="W26" s="6">
        <f t="shared" si="37"/>
        <v>110.61634406354978</v>
      </c>
      <c r="X26" s="6">
        <f t="shared" si="37"/>
        <v>109.19225804050805</v>
      </c>
      <c r="Y26" s="6">
        <f t="shared" si="37"/>
        <v>108.76688169467332</v>
      </c>
      <c r="Z26" s="6">
        <f t="shared" si="37"/>
        <v>106.7509677148409</v>
      </c>
      <c r="AA26" s="6">
        <f t="shared" si="37"/>
        <v>104.7535483586943</v>
      </c>
      <c r="AB26" s="6">
        <f t="shared" si="37"/>
        <v>103.66236556146104</v>
      </c>
      <c r="AC26" s="6">
        <f t="shared" si="37"/>
        <v>101.60946233443462</v>
      </c>
      <c r="AD26" s="6">
        <f t="shared" si="37"/>
        <v>99.556559107445565</v>
      </c>
      <c r="AE26" s="6">
        <f t="shared" si="37"/>
        <v>97.46666663319553</v>
      </c>
      <c r="AF26" s="6">
        <f t="shared" si="37"/>
        <v>92.103225765883934</v>
      </c>
      <c r="AG26" s="6">
        <f t="shared" si="37"/>
        <v>86.813763393698707</v>
      </c>
      <c r="AH26" s="6">
        <f t="shared" si="23"/>
        <v>81.728458246781216</v>
      </c>
      <c r="AI26" s="6">
        <f t="shared" si="24"/>
        <v>76.941035917361077</v>
      </c>
      <c r="AJ26" s="6">
        <f t="shared" si="25"/>
        <v>72.434047271040967</v>
      </c>
      <c r="AK26" s="6">
        <f t="shared" si="26"/>
        <v>68.19106529445007</v>
      </c>
      <c r="AL26" s="107"/>
      <c r="AM26" s="107"/>
    </row>
    <row r="27" spans="1:39">
      <c r="A27" s="115" t="s">
        <v>511</v>
      </c>
      <c r="B27">
        <f t="shared" si="11"/>
        <v>19</v>
      </c>
      <c r="C27" s="265">
        <v>154.18842101590053</v>
      </c>
      <c r="D27" s="265">
        <v>151.87047226763119</v>
      </c>
      <c r="E27" s="265">
        <v>148.71168942836181</v>
      </c>
      <c r="F27" s="265">
        <v>145.49800306349678</v>
      </c>
      <c r="G27" s="265">
        <v>142.32274916654868</v>
      </c>
      <c r="H27" s="265">
        <v>141.64560568420242</v>
      </c>
      <c r="I27" s="265">
        <v>143.22499710383713</v>
      </c>
      <c r="J27" s="265">
        <v>142.18</v>
      </c>
      <c r="K27" s="265">
        <v>135.41</v>
      </c>
      <c r="L27" s="6">
        <f t="shared" ref="L27:AG27" si="38">L65/K65*K27</f>
        <v>137.2847628084285</v>
      </c>
      <c r="M27" s="6">
        <f t="shared" si="38"/>
        <v>140.18251127621943</v>
      </c>
      <c r="N27" s="6">
        <f t="shared" si="38"/>
        <v>140.42753008586038</v>
      </c>
      <c r="O27" s="6">
        <f t="shared" si="38"/>
        <v>141.86092861794606</v>
      </c>
      <c r="P27" s="6">
        <f t="shared" si="38"/>
        <v>143.39019653246962</v>
      </c>
      <c r="Q27" s="6">
        <f t="shared" si="38"/>
        <v>145.65047656902379</v>
      </c>
      <c r="R27" s="6">
        <f t="shared" si="38"/>
        <v>148.20577325586862</v>
      </c>
      <c r="S27" s="6">
        <f t="shared" si="38"/>
        <v>151.00395250137143</v>
      </c>
      <c r="T27" s="6">
        <f t="shared" si="38"/>
        <v>154.52981973587873</v>
      </c>
      <c r="U27" s="6">
        <f t="shared" si="38"/>
        <v>158.82044997201353</v>
      </c>
      <c r="V27" s="6">
        <f t="shared" si="38"/>
        <v>163.90029107267711</v>
      </c>
      <c r="W27" s="6">
        <f t="shared" si="38"/>
        <v>169.2081719907676</v>
      </c>
      <c r="X27" s="6">
        <f t="shared" si="38"/>
        <v>174.98288655713037</v>
      </c>
      <c r="Y27" s="6">
        <f t="shared" si="38"/>
        <v>181.45543064309763</v>
      </c>
      <c r="Z27" s="6">
        <f t="shared" si="38"/>
        <v>188.48580740641492</v>
      </c>
      <c r="AA27" s="6">
        <f t="shared" si="38"/>
        <v>195.9217905439109</v>
      </c>
      <c r="AB27" s="6">
        <f t="shared" si="38"/>
        <v>203.71817033347028</v>
      </c>
      <c r="AC27" s="6">
        <f t="shared" si="38"/>
        <v>211.97937144841435</v>
      </c>
      <c r="AD27" s="6">
        <f t="shared" si="38"/>
        <v>220.36436869783046</v>
      </c>
      <c r="AE27" s="6">
        <f t="shared" si="38"/>
        <v>228.78418677175296</v>
      </c>
      <c r="AF27" s="6">
        <f t="shared" si="38"/>
        <v>273.99323272661621</v>
      </c>
      <c r="AG27" s="6">
        <f t="shared" si="38"/>
        <v>328.34570775550208</v>
      </c>
      <c r="AH27" s="6">
        <f t="shared" si="23"/>
        <v>384.9101769909326</v>
      </c>
      <c r="AI27" s="6">
        <f t="shared" si="24"/>
        <v>431.01496368797774</v>
      </c>
      <c r="AJ27" s="6">
        <f t="shared" si="25"/>
        <v>461.13394250535458</v>
      </c>
      <c r="AK27" s="6">
        <f t="shared" si="26"/>
        <v>471.35244936292781</v>
      </c>
      <c r="AL27" s="107"/>
      <c r="AM27" s="107"/>
    </row>
    <row r="28" spans="1:39">
      <c r="A28" s="2" t="s">
        <v>5</v>
      </c>
      <c r="B28">
        <f t="shared" si="11"/>
        <v>20</v>
      </c>
      <c r="C28" s="272">
        <f t="shared" ref="C28:K28" si="39">SUM(C7:C27)</f>
        <v>4032.0433682922144</v>
      </c>
      <c r="D28" s="273">
        <f t="shared" si="39"/>
        <v>4135.6011269326036</v>
      </c>
      <c r="E28" s="273">
        <f t="shared" si="39"/>
        <v>4214.5620530894539</v>
      </c>
      <c r="F28" s="273">
        <f t="shared" si="39"/>
        <v>4269.9104508291794</v>
      </c>
      <c r="G28" s="273">
        <f t="shared" si="39"/>
        <v>4306.3530098044157</v>
      </c>
      <c r="H28" s="273">
        <f t="shared" si="39"/>
        <v>4369.2882721535752</v>
      </c>
      <c r="I28" s="273">
        <f t="shared" si="39"/>
        <v>4424.2547121291227</v>
      </c>
      <c r="J28" s="273">
        <f t="shared" si="39"/>
        <v>4454.71</v>
      </c>
      <c r="K28" s="273">
        <f t="shared" si="39"/>
        <v>4168.5599999999995</v>
      </c>
      <c r="L28" s="108">
        <f t="shared" ref="L28:AG28" si="40">SUM(L7:L27)</f>
        <v>4364.6310325648556</v>
      </c>
      <c r="M28" s="108">
        <f t="shared" si="40"/>
        <v>4448.0130874736915</v>
      </c>
      <c r="N28" s="108">
        <f t="shared" si="40"/>
        <v>4456.9091297902005</v>
      </c>
      <c r="O28" s="108">
        <f t="shared" si="40"/>
        <v>4501.478207788391</v>
      </c>
      <c r="P28" s="108">
        <f t="shared" si="40"/>
        <v>4550.9944823232245</v>
      </c>
      <c r="Q28" s="108">
        <f t="shared" si="40"/>
        <v>4614.708289621638</v>
      </c>
      <c r="R28" s="108">
        <f t="shared" si="40"/>
        <v>4688.5435195554583</v>
      </c>
      <c r="S28" s="108">
        <f t="shared" si="40"/>
        <v>4772.9372433232675</v>
      </c>
      <c r="T28" s="108">
        <f t="shared" si="40"/>
        <v>4878.0931798626661</v>
      </c>
      <c r="U28" s="108">
        <f t="shared" si="40"/>
        <v>5005.9886470812162</v>
      </c>
      <c r="V28" s="108">
        <f t="shared" si="40"/>
        <v>5153.0564766050056</v>
      </c>
      <c r="W28" s="108">
        <f t="shared" si="40"/>
        <v>5308.0475622507993</v>
      </c>
      <c r="X28" s="108">
        <f t="shared" si="40"/>
        <v>5472.4784516944173</v>
      </c>
      <c r="Y28" s="108">
        <f t="shared" si="40"/>
        <v>5660.5450310152219</v>
      </c>
      <c r="Z28" s="108">
        <f t="shared" si="40"/>
        <v>5859.8224929164153</v>
      </c>
      <c r="AA28" s="108">
        <f t="shared" si="40"/>
        <v>6071.0304885374553</v>
      </c>
      <c r="AB28" s="108">
        <f t="shared" si="40"/>
        <v>6295.7009754678256</v>
      </c>
      <c r="AC28" s="108">
        <f t="shared" si="40"/>
        <v>6530.8825261203237</v>
      </c>
      <c r="AD28" s="108">
        <f t="shared" si="40"/>
        <v>6769.6872701578986</v>
      </c>
      <c r="AE28" s="108">
        <f t="shared" si="40"/>
        <v>7009.392166140904</v>
      </c>
      <c r="AF28" s="108">
        <f t="shared" si="40"/>
        <v>8315.2945330997427</v>
      </c>
      <c r="AG28" s="108">
        <f t="shared" si="40"/>
        <v>9889.0394007788</v>
      </c>
      <c r="AH28" s="108">
        <f t="shared" ref="AH28:AK28" si="41">SUM(AH7:AH27)</f>
        <v>11528.180235021973</v>
      </c>
      <c r="AI28" s="108">
        <f t="shared" si="41"/>
        <v>12862.151195805931</v>
      </c>
      <c r="AJ28" s="108">
        <f t="shared" si="41"/>
        <v>13729.160735840082</v>
      </c>
      <c r="AK28" s="108">
        <f t="shared" si="41"/>
        <v>14014.58390769064</v>
      </c>
      <c r="AL28" s="108"/>
      <c r="AM28" s="108"/>
    </row>
    <row r="29" spans="1:39" s="24" customFormat="1">
      <c r="A29" s="211" t="s">
        <v>263</v>
      </c>
      <c r="B29">
        <f t="shared" si="11"/>
        <v>21</v>
      </c>
      <c r="C29" s="267"/>
      <c r="D29" s="212">
        <v>2.6436281887547874E-2</v>
      </c>
      <c r="E29" s="212">
        <v>2.0165921894981231E-2</v>
      </c>
      <c r="F29" s="212">
        <v>1.407744097509589E-2</v>
      </c>
      <c r="G29" s="212">
        <v>8.9337784405372211E-3</v>
      </c>
      <c r="H29" s="212">
        <v>1.4827464040109817E-2</v>
      </c>
      <c r="I29" s="212">
        <v>1.2732896737821964E-2</v>
      </c>
      <c r="J29" s="212">
        <v>7.2531087632679014E-3</v>
      </c>
      <c r="K29" s="212">
        <v>-7.2462496857853442E-2</v>
      </c>
      <c r="L29" s="212">
        <f t="shared" ref="L29:AE29" si="42">L28/K28-1</f>
        <v>4.7035674804934091E-2</v>
      </c>
      <c r="M29" s="212">
        <f t="shared" si="42"/>
        <v>1.9104032915203017E-2</v>
      </c>
      <c r="N29" s="212">
        <f t="shared" si="42"/>
        <v>2.0000036289375966E-3</v>
      </c>
      <c r="O29" s="212">
        <f t="shared" si="42"/>
        <v>9.9999970159339036E-3</v>
      </c>
      <c r="P29" s="212">
        <f t="shared" si="42"/>
        <v>1.1000003165440475E-2</v>
      </c>
      <c r="Q29" s="212">
        <f t="shared" si="42"/>
        <v>1.3999974631014878E-2</v>
      </c>
      <c r="R29" s="212">
        <f t="shared" si="42"/>
        <v>1.5999977745044802E-2</v>
      </c>
      <c r="S29" s="212">
        <f t="shared" si="42"/>
        <v>1.7999987291535513E-2</v>
      </c>
      <c r="T29" s="212">
        <f t="shared" si="42"/>
        <v>2.2031703158573501E-2</v>
      </c>
      <c r="U29" s="212">
        <f t="shared" si="42"/>
        <v>2.6218332143903567E-2</v>
      </c>
      <c r="V29" s="212">
        <f t="shared" si="42"/>
        <v>2.9378378556559115E-2</v>
      </c>
      <c r="W29" s="212">
        <f t="shared" si="42"/>
        <v>3.0077505719072972E-2</v>
      </c>
      <c r="X29" s="212">
        <f t="shared" si="42"/>
        <v>3.0977659396460577E-2</v>
      </c>
      <c r="Y29" s="212">
        <f t="shared" si="42"/>
        <v>3.4365887592042288E-2</v>
      </c>
      <c r="Z29" s="212">
        <f t="shared" si="42"/>
        <v>3.5204642098828565E-2</v>
      </c>
      <c r="AA29" s="212">
        <f t="shared" si="42"/>
        <v>3.6043411874055353E-2</v>
      </c>
      <c r="AB29" s="212">
        <f t="shared" si="42"/>
        <v>3.7006977209975256E-2</v>
      </c>
      <c r="AC29" s="212">
        <f t="shared" si="42"/>
        <v>3.7355895962803753E-2</v>
      </c>
      <c r="AD29" s="212">
        <f t="shared" si="42"/>
        <v>3.6565463102800067E-2</v>
      </c>
      <c r="AE29" s="212">
        <f t="shared" si="42"/>
        <v>3.5408562673149069E-2</v>
      </c>
      <c r="AF29" s="212">
        <f>(AF28/AE28)^(1/5)-1</f>
        <v>3.4759579332455992E-2</v>
      </c>
      <c r="AG29" s="212">
        <f>(AG28/AF28)^(1/5)-1</f>
        <v>3.5273968685307411E-2</v>
      </c>
      <c r="AH29" s="212">
        <f t="shared" ref="AH29:AK29" si="43">(AH28/AG28)^(1/5)-1</f>
        <v>3.1148774828663628E-2</v>
      </c>
      <c r="AI29" s="212">
        <f t="shared" si="43"/>
        <v>2.2140438754105096E-2</v>
      </c>
      <c r="AJ29" s="212">
        <f t="shared" si="43"/>
        <v>1.3132100246333822E-2</v>
      </c>
      <c r="AK29" s="212">
        <f t="shared" si="43"/>
        <v>4.123760095195772E-3</v>
      </c>
      <c r="AL29" s="211"/>
      <c r="AM29" s="211"/>
    </row>
    <row r="30" spans="1:39">
      <c r="A30" t="s">
        <v>592</v>
      </c>
      <c r="B30">
        <f t="shared" si="11"/>
        <v>22</v>
      </c>
      <c r="C30" s="266">
        <v>52.325432882070082</v>
      </c>
      <c r="D30" s="265">
        <v>53.104386458423342</v>
      </c>
      <c r="E30" s="265">
        <v>53.912365691429272</v>
      </c>
      <c r="F30" s="265">
        <v>54.750491457321111</v>
      </c>
      <c r="G30" s="265">
        <v>55.619940469824826</v>
      </c>
      <c r="H30" s="265">
        <v>56.521948041648095</v>
      </c>
      <c r="I30" s="265">
        <v>57.436000617299655</v>
      </c>
      <c r="J30" s="265">
        <v>58.364834921819444</v>
      </c>
      <c r="K30" s="265">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39">
      <c r="A31" t="s">
        <v>380</v>
      </c>
      <c r="B31">
        <f t="shared" si="11"/>
        <v>23</v>
      </c>
      <c r="C31" s="268">
        <v>0.5</v>
      </c>
      <c r="D31" s="268">
        <v>0.5</v>
      </c>
      <c r="E31" s="268">
        <v>0.5</v>
      </c>
      <c r="F31" s="268">
        <v>0.5</v>
      </c>
      <c r="G31" s="268">
        <v>0.5</v>
      </c>
      <c r="H31" s="268">
        <v>0.5</v>
      </c>
      <c r="I31" s="268">
        <v>0.5</v>
      </c>
      <c r="J31" s="268">
        <v>0.50152754832852431</v>
      </c>
      <c r="K31" s="268">
        <v>0.51748350868667314</v>
      </c>
      <c r="L31" s="17">
        <f>L81/SUM(L$81:L$83)</f>
        <v>0.46227119237511022</v>
      </c>
      <c r="M31" s="17">
        <f t="shared" ref="M31:AG33" si="44">M81/SUM(M$81:M$83)</f>
        <v>0.45384023967034137</v>
      </c>
      <c r="N31" s="17">
        <f t="shared" si="44"/>
        <v>0.4530506193635141</v>
      </c>
      <c r="O31" s="17">
        <f t="shared" si="44"/>
        <v>0.4492123756297739</v>
      </c>
      <c r="P31" s="17">
        <f t="shared" si="44"/>
        <v>0.44506077484649093</v>
      </c>
      <c r="Q31" s="17">
        <f t="shared" si="44"/>
        <v>0.44048019500661473</v>
      </c>
      <c r="R31" s="17">
        <f t="shared" si="44"/>
        <v>0.43534996792463587</v>
      </c>
      <c r="S31" s="17">
        <f t="shared" si="44"/>
        <v>0.42993618539113665</v>
      </c>
      <c r="T31" s="17">
        <f t="shared" si="44"/>
        <v>0.42371952259311868</v>
      </c>
      <c r="U31" s="17">
        <f t="shared" si="44"/>
        <v>0.41657241965867214</v>
      </c>
      <c r="V31" s="17">
        <f t="shared" si="44"/>
        <v>0.40909885956028302</v>
      </c>
      <c r="W31" s="17">
        <f t="shared" si="44"/>
        <v>0.40185565007277846</v>
      </c>
      <c r="X31" s="17">
        <f t="shared" si="44"/>
        <v>0.39482416004663062</v>
      </c>
      <c r="Y31" s="17">
        <f t="shared" si="44"/>
        <v>0.38744915622957621</v>
      </c>
      <c r="Z31" s="17">
        <f t="shared" si="44"/>
        <v>0.3800592435396562</v>
      </c>
      <c r="AA31" s="17">
        <f t="shared" si="44"/>
        <v>0.37316446554873905</v>
      </c>
      <c r="AB31" s="17">
        <f t="shared" si="44"/>
        <v>0.36622575390923512</v>
      </c>
      <c r="AC31" s="17">
        <f t="shared" si="44"/>
        <v>0.35954615135165829</v>
      </c>
      <c r="AD31" s="17">
        <f t="shared" si="44"/>
        <v>0.35352413753940537</v>
      </c>
      <c r="AE31" s="17">
        <f t="shared" si="44"/>
        <v>0.34790997115201444</v>
      </c>
      <c r="AF31" s="17">
        <f t="shared" si="44"/>
        <v>0.31298090329354977</v>
      </c>
      <c r="AG31" s="17">
        <f t="shared" si="44"/>
        <v>0.27905600345837911</v>
      </c>
      <c r="AH31" s="17">
        <f t="shared" ref="AH31:AK31" si="45">AH81/SUM(AH$81:AH$83)</f>
        <v>0.24552291570350171</v>
      </c>
      <c r="AI31" s="17">
        <f t="shared" si="45"/>
        <v>0.21188609489452759</v>
      </c>
      <c r="AJ31" s="17">
        <f t="shared" si="45"/>
        <v>0.17819185187839537</v>
      </c>
      <c r="AK31" s="17">
        <f t="shared" si="45"/>
        <v>0.14450330331373532</v>
      </c>
      <c r="AL31" s="107"/>
      <c r="AM31" s="107"/>
    </row>
    <row r="32" spans="1:39">
      <c r="A32" t="s">
        <v>381</v>
      </c>
      <c r="B32">
        <f t="shared" si="11"/>
        <v>24</v>
      </c>
      <c r="C32" s="268">
        <v>0.3</v>
      </c>
      <c r="D32" s="268">
        <v>0.3</v>
      </c>
      <c r="E32" s="268">
        <v>0.3</v>
      </c>
      <c r="F32" s="268">
        <v>0.3</v>
      </c>
      <c r="G32" s="268">
        <v>0.3</v>
      </c>
      <c r="H32" s="268">
        <v>0.3</v>
      </c>
      <c r="I32" s="268">
        <v>0.3</v>
      </c>
      <c r="J32" s="268">
        <v>0.29852364948703553</v>
      </c>
      <c r="K32" s="268">
        <v>0.28256768912888669</v>
      </c>
      <c r="L32" s="17">
        <f t="shared" ref="L32:AA32" si="46">L82/SUM(L$81:L$83)</f>
        <v>0.30936026689417673</v>
      </c>
      <c r="M32" s="17">
        <f t="shared" si="46"/>
        <v>0.31355024567841444</v>
      </c>
      <c r="N32" s="17">
        <f t="shared" si="46"/>
        <v>0.31388781690524703</v>
      </c>
      <c r="O32" s="17">
        <f t="shared" si="46"/>
        <v>0.31543894410094331</v>
      </c>
      <c r="P32" s="17">
        <f t="shared" si="46"/>
        <v>0.31721983743486937</v>
      </c>
      <c r="Q32" s="17">
        <f t="shared" si="46"/>
        <v>0.31883263902169873</v>
      </c>
      <c r="R32" s="17">
        <f t="shared" si="46"/>
        <v>0.32078866718521404</v>
      </c>
      <c r="S32" s="17">
        <f t="shared" si="46"/>
        <v>0.32280939346620441</v>
      </c>
      <c r="T32" s="17">
        <f t="shared" si="46"/>
        <v>0.32497598023764895</v>
      </c>
      <c r="U32" s="17">
        <f t="shared" si="46"/>
        <v>0.32775482993460558</v>
      </c>
      <c r="V32" s="17">
        <f t="shared" si="46"/>
        <v>0.33022222974356419</v>
      </c>
      <c r="W32" s="17">
        <f t="shared" si="46"/>
        <v>0.332708026046104</v>
      </c>
      <c r="X32" s="17">
        <f t="shared" si="46"/>
        <v>0.33507942725265366</v>
      </c>
      <c r="Y32" s="17">
        <f t="shared" si="46"/>
        <v>0.33755833542625679</v>
      </c>
      <c r="Z32" s="17">
        <f t="shared" si="46"/>
        <v>0.34023069208670387</v>
      </c>
      <c r="AA32" s="17">
        <f t="shared" si="46"/>
        <v>0.34209365651908852</v>
      </c>
      <c r="AB32" s="17">
        <f t="shared" si="44"/>
        <v>0.34372879918296723</v>
      </c>
      <c r="AC32" s="17">
        <f t="shared" si="44"/>
        <v>0.34562071119418153</v>
      </c>
      <c r="AD32" s="17">
        <f t="shared" si="44"/>
        <v>0.34714667279971562</v>
      </c>
      <c r="AE32" s="17">
        <f t="shared" si="44"/>
        <v>0.34858040550949743</v>
      </c>
      <c r="AF32" s="17">
        <f t="shared" si="44"/>
        <v>0.36410706909886797</v>
      </c>
      <c r="AG32" s="17">
        <f t="shared" si="44"/>
        <v>0.38027781250126996</v>
      </c>
      <c r="AH32" s="17">
        <f t="shared" ref="AH32:AK32" si="47">AH82/SUM(AH$81:AH$83)</f>
        <v>0.39561454073212232</v>
      </c>
      <c r="AI32" s="17">
        <f t="shared" si="47"/>
        <v>0.41121086368233944</v>
      </c>
      <c r="AJ32" s="17">
        <f t="shared" si="47"/>
        <v>0.42692863962271316</v>
      </c>
      <c r="AK32" s="17">
        <f t="shared" si="47"/>
        <v>0.44263272457796088</v>
      </c>
      <c r="AL32" s="107"/>
      <c r="AM32" s="107"/>
    </row>
    <row r="33" spans="1:43">
      <c r="A33" t="s">
        <v>382</v>
      </c>
      <c r="B33">
        <f t="shared" si="11"/>
        <v>25</v>
      </c>
      <c r="C33" s="268">
        <v>0.19999999999999996</v>
      </c>
      <c r="D33" s="268">
        <v>0.19999999999999996</v>
      </c>
      <c r="E33" s="268">
        <v>0.19999999999999996</v>
      </c>
      <c r="F33" s="268">
        <v>0.19999999999999996</v>
      </c>
      <c r="G33" s="268">
        <v>0.19999999999999996</v>
      </c>
      <c r="H33" s="268">
        <v>0.19999999999999996</v>
      </c>
      <c r="I33" s="268">
        <v>0.19999999999999996</v>
      </c>
      <c r="J33" s="268">
        <v>0.19994880218444017</v>
      </c>
      <c r="K33" s="268">
        <v>0.19994880218444014</v>
      </c>
      <c r="L33" s="17">
        <f>L83/SUM(L$81:L$83)</f>
        <v>0.22836854073071305</v>
      </c>
      <c r="M33" s="17">
        <f t="shared" si="44"/>
        <v>0.23260951465124413</v>
      </c>
      <c r="N33" s="17">
        <f t="shared" si="44"/>
        <v>0.23306156373123887</v>
      </c>
      <c r="O33" s="17">
        <f t="shared" si="44"/>
        <v>0.23534868026928282</v>
      </c>
      <c r="P33" s="17">
        <f t="shared" si="44"/>
        <v>0.23771938771863982</v>
      </c>
      <c r="Q33" s="17">
        <f t="shared" si="44"/>
        <v>0.2406871659716866</v>
      </c>
      <c r="R33" s="17">
        <f t="shared" si="44"/>
        <v>0.24386136489015012</v>
      </c>
      <c r="S33" s="17">
        <f t="shared" si="44"/>
        <v>0.24725442114265897</v>
      </c>
      <c r="T33" s="17">
        <f t="shared" si="44"/>
        <v>0.25130449716923237</v>
      </c>
      <c r="U33" s="17">
        <f t="shared" si="44"/>
        <v>0.25567275040672227</v>
      </c>
      <c r="V33" s="17">
        <f t="shared" si="44"/>
        <v>0.26067891069615279</v>
      </c>
      <c r="W33" s="17">
        <f t="shared" si="44"/>
        <v>0.2654363238811176</v>
      </c>
      <c r="X33" s="17">
        <f t="shared" si="44"/>
        <v>0.27009641270071577</v>
      </c>
      <c r="Y33" s="17">
        <f t="shared" si="44"/>
        <v>0.274992508344167</v>
      </c>
      <c r="Z33" s="17">
        <f t="shared" si="44"/>
        <v>0.27971006437363993</v>
      </c>
      <c r="AA33" s="17">
        <f t="shared" si="44"/>
        <v>0.28474187793217243</v>
      </c>
      <c r="AB33" s="17">
        <f t="shared" si="44"/>
        <v>0.29004544690779771</v>
      </c>
      <c r="AC33" s="17">
        <f t="shared" si="44"/>
        <v>0.29483313745416012</v>
      </c>
      <c r="AD33" s="17">
        <f t="shared" si="44"/>
        <v>0.29932918966087896</v>
      </c>
      <c r="AE33" s="17">
        <f t="shared" si="44"/>
        <v>0.30350962333848813</v>
      </c>
      <c r="AF33" s="17">
        <f t="shared" si="44"/>
        <v>0.32291202760758225</v>
      </c>
      <c r="AG33" s="17">
        <f t="shared" si="44"/>
        <v>0.34066618404035093</v>
      </c>
      <c r="AH33" s="17">
        <f t="shared" ref="AH33:AK33" si="48">AH83/SUM(AH$81:AH$83)</f>
        <v>0.35886254356437591</v>
      </c>
      <c r="AI33" s="17">
        <f t="shared" si="48"/>
        <v>0.37690304142313286</v>
      </c>
      <c r="AJ33" s="17">
        <f t="shared" si="48"/>
        <v>0.39487950849889136</v>
      </c>
      <c r="AK33" s="17">
        <f t="shared" si="48"/>
        <v>0.41286397210830378</v>
      </c>
      <c r="AL33" s="107"/>
      <c r="AM33" s="107"/>
    </row>
    <row r="34" spans="1:43">
      <c r="A34" t="s">
        <v>383</v>
      </c>
      <c r="B34">
        <f t="shared" si="11"/>
        <v>26</v>
      </c>
      <c r="C34" s="265">
        <v>26.162716441035041</v>
      </c>
      <c r="D34" s="265">
        <v>26.124793740612695</v>
      </c>
      <c r="E34" s="265">
        <v>25.810272238913001</v>
      </c>
      <c r="F34" s="265">
        <v>25.676476665132281</v>
      </c>
      <c r="G34" s="265">
        <v>25.758415053648385</v>
      </c>
      <c r="H34" s="265">
        <v>25.755361891142741</v>
      </c>
      <c r="I34" s="265">
        <v>25.706039736299225</v>
      </c>
      <c r="J34" s="265">
        <v>25.946710085536886</v>
      </c>
      <c r="K34" s="265">
        <v>26.998265626975765</v>
      </c>
      <c r="L34" s="6">
        <f t="shared" ref="L34:AG34" si="49">L31*L$30</f>
        <v>27.455328536696602</v>
      </c>
      <c r="M34" s="6">
        <f t="shared" si="49"/>
        <v>27.182255123187865</v>
      </c>
      <c r="N34" s="6">
        <f t="shared" si="49"/>
        <v>27.370824378283928</v>
      </c>
      <c r="O34" s="6">
        <f t="shared" si="49"/>
        <v>27.411038436863816</v>
      </c>
      <c r="P34" s="6">
        <f t="shared" si="49"/>
        <v>27.448269217030397</v>
      </c>
      <c r="Q34" s="6">
        <f t="shared" si="49"/>
        <v>27.444135728614732</v>
      </c>
      <c r="R34" s="6">
        <f t="shared" si="49"/>
        <v>27.391748062452859</v>
      </c>
      <c r="S34" s="6">
        <f t="shared" si="49"/>
        <v>27.30718270689772</v>
      </c>
      <c r="T34" s="6">
        <f t="shared" si="49"/>
        <v>27.157765524251296</v>
      </c>
      <c r="U34" s="6">
        <f t="shared" si="49"/>
        <v>26.935271889842749</v>
      </c>
      <c r="V34" s="6">
        <f t="shared" si="49"/>
        <v>26.677960916785743</v>
      </c>
      <c r="W34" s="6">
        <f t="shared" si="49"/>
        <v>26.423184018205994</v>
      </c>
      <c r="X34" s="6">
        <f t="shared" si="49"/>
        <v>26.170599246297112</v>
      </c>
      <c r="Y34" s="6">
        <f t="shared" si="49"/>
        <v>25.883218136769703</v>
      </c>
      <c r="Z34" s="6">
        <f t="shared" si="49"/>
        <v>25.583358467507807</v>
      </c>
      <c r="AA34" s="6">
        <f t="shared" si="49"/>
        <v>25.306496393634095</v>
      </c>
      <c r="AB34" s="6">
        <f t="shared" si="49"/>
        <v>25.016238889567493</v>
      </c>
      <c r="AC34" s="6">
        <f t="shared" si="49"/>
        <v>24.73263863452279</v>
      </c>
      <c r="AD34" s="6">
        <f t="shared" si="49"/>
        <v>24.483958619794251</v>
      </c>
      <c r="AE34" s="6">
        <f t="shared" si="49"/>
        <v>24.254173810563351</v>
      </c>
      <c r="AF34" s="6">
        <f t="shared" si="49"/>
        <v>22.477099460091136</v>
      </c>
      <c r="AG34" s="6">
        <f t="shared" si="49"/>
        <v>20.518919007461761</v>
      </c>
      <c r="AH34" s="6">
        <f t="shared" ref="AH34:AK34" si="50">AH31*AH$30</f>
        <v>18.36488084785201</v>
      </c>
      <c r="AI34" s="6">
        <f t="shared" si="50"/>
        <v>16.031979551451432</v>
      </c>
      <c r="AJ34" s="6">
        <f t="shared" si="50"/>
        <v>13.579652666582088</v>
      </c>
      <c r="AK34" s="6">
        <f t="shared" si="50"/>
        <v>11.054814108119393</v>
      </c>
      <c r="AL34" s="6"/>
      <c r="AM34" s="6"/>
    </row>
    <row r="35" spans="1:43">
      <c r="A35" t="s">
        <v>384</v>
      </c>
      <c r="B35">
        <f t="shared" si="11"/>
        <v>27</v>
      </c>
      <c r="C35" s="265">
        <v>15.697629864621025</v>
      </c>
      <c r="D35" s="265">
        <v>15.706931206012538</v>
      </c>
      <c r="E35" s="265">
        <v>16.206450010480257</v>
      </c>
      <c r="F35" s="265">
        <v>16.65350655721161</v>
      </c>
      <c r="G35" s="265">
        <v>17.096293177200256</v>
      </c>
      <c r="H35" s="265">
        <v>17.422744808714206</v>
      </c>
      <c r="I35" s="265">
        <v>17.892835083270921</v>
      </c>
      <c r="J35" s="265">
        <v>18.376375848815535</v>
      </c>
      <c r="K35" s="265">
        <v>19.311259441517389</v>
      </c>
      <c r="L35" s="6">
        <f t="shared" ref="L35:AG35" si="51">L32*L$30</f>
        <v>18.373603858247002</v>
      </c>
      <c r="M35" s="6">
        <f t="shared" si="51"/>
        <v>18.779742356384702</v>
      </c>
      <c r="N35" s="6">
        <f t="shared" si="51"/>
        <v>18.963373944982962</v>
      </c>
      <c r="O35" s="6">
        <f t="shared" si="51"/>
        <v>19.248154081046206</v>
      </c>
      <c r="P35" s="6">
        <f t="shared" si="51"/>
        <v>19.563924728927528</v>
      </c>
      <c r="Q35" s="6">
        <f t="shared" si="51"/>
        <v>19.864880008719858</v>
      </c>
      <c r="R35" s="6">
        <f t="shared" si="51"/>
        <v>20.183675204378439</v>
      </c>
      <c r="S35" s="6">
        <f t="shared" si="51"/>
        <v>20.503077866928027</v>
      </c>
      <c r="T35" s="6">
        <f t="shared" si="51"/>
        <v>20.828923383789171</v>
      </c>
      <c r="U35" s="6">
        <f t="shared" si="51"/>
        <v>21.192390664584384</v>
      </c>
      <c r="V35" s="6">
        <f t="shared" si="51"/>
        <v>21.534295520700407</v>
      </c>
      <c r="W35" s="6">
        <f t="shared" si="51"/>
        <v>21.876525550799496</v>
      </c>
      <c r="X35" s="6">
        <f t="shared" si="51"/>
        <v>22.210468086026644</v>
      </c>
      <c r="Y35" s="6">
        <f t="shared" si="51"/>
        <v>22.550303412057676</v>
      </c>
      <c r="Z35" s="6">
        <f t="shared" si="51"/>
        <v>22.902334057806431</v>
      </c>
      <c r="AA35" s="6">
        <f t="shared" si="51"/>
        <v>23.199400490223521</v>
      </c>
      <c r="AB35" s="6">
        <f t="shared" si="51"/>
        <v>23.479511371874722</v>
      </c>
      <c r="AC35" s="6">
        <f t="shared" si="51"/>
        <v>23.7747285638774</v>
      </c>
      <c r="AD35" s="6">
        <f t="shared" si="51"/>
        <v>24.042275673128817</v>
      </c>
      <c r="AE35" s="6">
        <f t="shared" si="51"/>
        <v>24.300912429123557</v>
      </c>
      <c r="AF35" s="6">
        <f t="shared" si="51"/>
        <v>26.148786459925194</v>
      </c>
      <c r="AG35" s="6">
        <f t="shared" si="51"/>
        <v>27.961733624598693</v>
      </c>
      <c r="AH35" s="6">
        <f t="shared" ref="AH35:AK35" si="52">AH32*AH$30</f>
        <v>29.591591812949058</v>
      </c>
      <c r="AI35" s="6">
        <f t="shared" si="52"/>
        <v>31.113528998547864</v>
      </c>
      <c r="AJ35" s="6">
        <f t="shared" si="52"/>
        <v>32.535396980156506</v>
      </c>
      <c r="AK35" s="6">
        <f t="shared" si="52"/>
        <v>33.862357303735472</v>
      </c>
      <c r="AL35" s="6"/>
      <c r="AM35" s="6"/>
    </row>
    <row r="36" spans="1:43">
      <c r="A36" t="s">
        <v>385</v>
      </c>
      <c r="B36">
        <f t="shared" si="11"/>
        <v>28</v>
      </c>
      <c r="C36" s="265">
        <v>10.465086576414015</v>
      </c>
      <c r="D36" s="265">
        <v>11.272661511798107</v>
      </c>
      <c r="E36" s="265">
        <v>11.895643442036015</v>
      </c>
      <c r="F36" s="265">
        <v>12.420508234977223</v>
      </c>
      <c r="G36" s="265">
        <v>12.765232238976191</v>
      </c>
      <c r="H36" s="265">
        <v>13.343841341791148</v>
      </c>
      <c r="I36" s="265">
        <v>13.837125797729508</v>
      </c>
      <c r="J36" s="265">
        <v>14.041748987467024</v>
      </c>
      <c r="K36" s="3">
        <f t="shared" ref="K36:AG36" si="53">K33*K$30</f>
        <v>11.858701524628284</v>
      </c>
      <c r="L36" s="6">
        <f t="shared" si="53"/>
        <v>13.563322605056396</v>
      </c>
      <c r="M36" s="6">
        <f t="shared" si="53"/>
        <v>13.931887520427432</v>
      </c>
      <c r="N36" s="6">
        <f t="shared" si="53"/>
        <v>14.080296676733113</v>
      </c>
      <c r="O36" s="6">
        <f t="shared" si="53"/>
        <v>14.361028482089978</v>
      </c>
      <c r="P36" s="6">
        <f t="shared" si="53"/>
        <v>14.660887054042078</v>
      </c>
      <c r="Q36" s="6">
        <f t="shared" si="53"/>
        <v>14.996023262665405</v>
      </c>
      <c r="R36" s="6">
        <f t="shared" si="53"/>
        <v>15.343492733168704</v>
      </c>
      <c r="S36" s="6">
        <f t="shared" si="53"/>
        <v>15.704241426174255</v>
      </c>
      <c r="T36" s="6">
        <f t="shared" si="53"/>
        <v>16.10704309195954</v>
      </c>
      <c r="U36" s="6">
        <f t="shared" si="53"/>
        <v>16.531615445572868</v>
      </c>
      <c r="V36" s="6">
        <f t="shared" si="53"/>
        <v>16.999269562513845</v>
      </c>
      <c r="W36" s="6">
        <f t="shared" si="53"/>
        <v>17.45321443099451</v>
      </c>
      <c r="X36" s="6">
        <f t="shared" si="53"/>
        <v>17.903121667676245</v>
      </c>
      <c r="Y36" s="6">
        <f t="shared" si="53"/>
        <v>18.370645451172628</v>
      </c>
      <c r="Z36" s="6">
        <f t="shared" si="53"/>
        <v>18.82844047468576</v>
      </c>
      <c r="AA36" s="6">
        <f t="shared" si="53"/>
        <v>19.310036116142385</v>
      </c>
      <c r="AB36" s="6">
        <f t="shared" si="53"/>
        <v>19.812495738557786</v>
      </c>
      <c r="AC36" s="6">
        <f t="shared" si="53"/>
        <v>20.281127801599805</v>
      </c>
      <c r="AD36" s="6">
        <f t="shared" si="53"/>
        <v>20.730588707076922</v>
      </c>
      <c r="AE36" s="6">
        <f t="shared" si="53"/>
        <v>21.158850760313094</v>
      </c>
      <c r="AF36" s="6">
        <f t="shared" si="53"/>
        <v>23.190315079983677</v>
      </c>
      <c r="AG36" s="6">
        <f t="shared" si="53"/>
        <v>25.049100367939545</v>
      </c>
      <c r="AH36" s="6">
        <f t="shared" ref="AH36:AK36" si="54">AH33*AH$30</f>
        <v>26.842577339198936</v>
      </c>
      <c r="AI36" s="6">
        <f t="shared" si="54"/>
        <v>28.517689450000706</v>
      </c>
      <c r="AJ36" s="6">
        <f t="shared" si="54"/>
        <v>30.092995353261394</v>
      </c>
      <c r="AK36" s="6">
        <f t="shared" si="54"/>
        <v>31.584983588145132</v>
      </c>
      <c r="AL36" s="6"/>
      <c r="AM36" s="6"/>
    </row>
    <row r="37" spans="1:43">
      <c r="A37" t="s">
        <v>386</v>
      </c>
      <c r="B37">
        <f t="shared" si="11"/>
        <v>29</v>
      </c>
      <c r="C37" s="269">
        <v>0.33936777226430637</v>
      </c>
      <c r="D37" s="268">
        <v>0.34922378908645002</v>
      </c>
      <c r="E37" s="268">
        <v>0.35473666462293074</v>
      </c>
      <c r="F37" s="268">
        <v>0.35856192519926422</v>
      </c>
      <c r="G37" s="268">
        <v>0.35979950950337214</v>
      </c>
      <c r="H37" s="268">
        <v>0.36519987737584303</v>
      </c>
      <c r="I37" s="268">
        <v>0.36857510729613735</v>
      </c>
      <c r="J37" s="268">
        <v>0.36699999999999999</v>
      </c>
      <c r="K37" s="268">
        <v>0.33910000000000001</v>
      </c>
      <c r="L37" s="17">
        <f t="shared" ref="L37:AG37" si="55">L75/K75*K37</f>
        <v>0.35245161852842388</v>
      </c>
      <c r="M37" s="17">
        <f t="shared" si="55"/>
        <v>0.36580323705684775</v>
      </c>
      <c r="N37" s="3">
        <f t="shared" si="55"/>
        <v>0.36630190838476762</v>
      </c>
      <c r="O37" s="3">
        <f t="shared" si="55"/>
        <v>0.36903852791301534</v>
      </c>
      <c r="P37" s="3">
        <f t="shared" si="55"/>
        <v>0.37270142897882824</v>
      </c>
      <c r="Q37" s="3">
        <f t="shared" si="55"/>
        <v>0.37636433004464115</v>
      </c>
      <c r="R37" s="3">
        <f t="shared" si="55"/>
        <v>0.38113241167092948</v>
      </c>
      <c r="S37" s="3">
        <f t="shared" si="55"/>
        <v>0.38643230520600241</v>
      </c>
      <c r="T37" s="3">
        <f t="shared" si="55"/>
        <v>0.41024847577437595</v>
      </c>
      <c r="U37" s="3">
        <f t="shared" si="55"/>
        <v>0.4191111295773014</v>
      </c>
      <c r="V37" s="3">
        <f t="shared" si="55"/>
        <v>0.4287113422728564</v>
      </c>
      <c r="W37" s="3">
        <f t="shared" si="55"/>
        <v>0.43930492481052646</v>
      </c>
      <c r="X37" s="3">
        <f t="shared" si="55"/>
        <v>0.45010913665867985</v>
      </c>
      <c r="Y37" s="3">
        <f t="shared" si="55"/>
        <v>0.46228431649469992</v>
      </c>
      <c r="Z37" s="3">
        <f t="shared" si="55"/>
        <v>0.47511133342480683</v>
      </c>
      <c r="AA37" s="3">
        <f t="shared" si="55"/>
        <v>0.48802367542975372</v>
      </c>
      <c r="AB37" s="3">
        <f t="shared" si="55"/>
        <v>0.50234715585165368</v>
      </c>
      <c r="AC37" s="3">
        <f t="shared" si="55"/>
        <v>0.51869552810607111</v>
      </c>
      <c r="AD37" s="3">
        <f t="shared" si="55"/>
        <v>0.55836575952837519</v>
      </c>
      <c r="AE37" s="3">
        <f t="shared" si="55"/>
        <v>0.57419490509556825</v>
      </c>
      <c r="AF37" s="3">
        <f t="shared" si="55"/>
        <v>0.65781863910535798</v>
      </c>
      <c r="AG37" s="3">
        <f t="shared" si="55"/>
        <v>0.75442973266670366</v>
      </c>
      <c r="AH37" s="3">
        <f t="shared" ref="AH37" si="56">AH75/AG75*AG37</f>
        <v>0.85255058884891299</v>
      </c>
      <c r="AI37" s="3">
        <f t="shared" ref="AI37" si="57">AI75/AH75*AH37</f>
        <v>0.93024587097278821</v>
      </c>
      <c r="AJ37" s="3">
        <f t="shared" ref="AJ37" si="58">AJ75/AI75*AI37</f>
        <v>0.97981500859639237</v>
      </c>
      <c r="AK37" s="3">
        <f t="shared" ref="AK37" si="59">AK75/AJ75*AJ37</f>
        <v>0.99597893814734462</v>
      </c>
      <c r="AL37" s="107"/>
      <c r="AM37" s="107"/>
    </row>
    <row r="38" spans="1:43">
      <c r="A38" t="s">
        <v>263</v>
      </c>
      <c r="C38" s="92"/>
      <c r="D38" s="274">
        <f>(D37/C37)^(1/(D$5-C$5))-1</f>
        <v>2.9042288713459818E-2</v>
      </c>
      <c r="E38" s="274">
        <f t="shared" ref="E38:L38" si="60">(E37/D37)^(1/(E$5-D$5))-1</f>
        <v>1.5786082474226859E-2</v>
      </c>
      <c r="F38" s="274">
        <f t="shared" si="60"/>
        <v>1.0783380907072537E-2</v>
      </c>
      <c r="G38" s="274">
        <f t="shared" si="60"/>
        <v>3.4515218073423171E-3</v>
      </c>
      <c r="H38" s="274">
        <f t="shared" si="60"/>
        <v>1.5009380863039379E-2</v>
      </c>
      <c r="I38" s="274">
        <f t="shared" si="60"/>
        <v>9.2421441774492852E-3</v>
      </c>
      <c r="J38" s="274">
        <f t="shared" si="60"/>
        <v>-4.2735042735043693E-3</v>
      </c>
      <c r="K38" s="274">
        <f t="shared" si="60"/>
        <v>-7.6021798365122573E-2</v>
      </c>
      <c r="L38" s="92">
        <f t="shared" si="60"/>
        <v>3.937369073554664E-2</v>
      </c>
      <c r="M38" s="92">
        <f t="shared" ref="M38" si="61">(M37/L37)^(1/(M$5-L$5))-1</f>
        <v>3.7882131409043618E-2</v>
      </c>
      <c r="N38" s="92">
        <f t="shared" ref="N38" si="62">(N37/M37)^(1/(N$5-M$5))-1</f>
        <v>1.363222840595979E-3</v>
      </c>
      <c r="O38" s="92">
        <f t="shared" ref="O38" si="63">(O37/N37)^(1/(O$5-N$5))-1</f>
        <v>7.4709398602781363E-3</v>
      </c>
      <c r="P38" s="92">
        <f t="shared" ref="P38" si="64">(P37/O37)^(1/(P$5-O$5))-1</f>
        <v>9.9255248131606688E-3</v>
      </c>
      <c r="Q38" s="92">
        <f t="shared" ref="Q38" si="65">(Q37/P37)^(1/(Q$5-P$5))-1</f>
        <v>9.827976983745268E-3</v>
      </c>
      <c r="R38" s="92">
        <f t="shared" ref="R38" si="66">(R37/Q37)^(1/(R$5-Q$5))-1</f>
        <v>1.2668792565232678E-2</v>
      </c>
      <c r="S38" s="92">
        <f t="shared" ref="S38" si="67">(S37/R37)^(1/(S$5-R$5))-1</f>
        <v>1.39056489891205E-2</v>
      </c>
      <c r="T38" s="92">
        <f t="shared" ref="T38" si="68">(T37/S37)^(1/(T$5-S$5))-1</f>
        <v>6.1630899506907033E-2</v>
      </c>
      <c r="U38" s="92">
        <f t="shared" ref="U38" si="69">(U37/T37)^(1/(U$5-T$5))-1</f>
        <v>2.1603136455769834E-2</v>
      </c>
      <c r="V38" s="92">
        <f t="shared" ref="V38" si="70">(V37/U37)^(1/(V$5-U$5))-1</f>
        <v>2.2906126843344365E-2</v>
      </c>
      <c r="W38" s="92">
        <f t="shared" ref="W38" si="71">(W37/V37)^(1/(W$5-V$5))-1</f>
        <v>2.4710292201524542E-2</v>
      </c>
      <c r="X38" s="92">
        <f t="shared" ref="X38" si="72">(X37/W37)^(1/(X$5-W$5))-1</f>
        <v>2.4593878278995618E-2</v>
      </c>
      <c r="Y38" s="92">
        <f t="shared" ref="Y38" si="73">(Y37/X37)^(1/(Y$5-X$5))-1</f>
        <v>2.7049395012064714E-2</v>
      </c>
      <c r="Z38" s="92">
        <f t="shared" ref="Z38" si="74">(Z37/Y37)^(1/(Z$5-Y$5))-1</f>
        <v>2.7747030285103724E-2</v>
      </c>
      <c r="AA38" s="92">
        <f t="shared" ref="AA38" si="75">(AA37/Z37)^(1/(AA$5-Z$5))-1</f>
        <v>2.7177507873510809E-2</v>
      </c>
      <c r="AB38" s="92">
        <f t="shared" ref="AB38" si="76">(AB37/AA37)^(1/(AB$5-AA$5))-1</f>
        <v>2.9349970386757684E-2</v>
      </c>
      <c r="AC38" s="92">
        <f t="shared" ref="AC38" si="77">(AC37/AB37)^(1/(AC$5-AB$5))-1</f>
        <v>3.2543972955716649E-2</v>
      </c>
      <c r="AD38" s="92">
        <f t="shared" ref="AD38" si="78">(AD37/AC37)^(1/(AD$5-AC$5))-1</f>
        <v>7.6480766215882401E-2</v>
      </c>
      <c r="AE38" s="92">
        <f t="shared" ref="AE38" si="79">(AE37/AD37)^(1/(AE$5-AD$5))-1</f>
        <v>2.83490620566762E-2</v>
      </c>
      <c r="AF38" s="92">
        <f t="shared" ref="AF38" si="80">(AF37/AE37)^(1/(AF$5-AE$5))-1</f>
        <v>2.7565153237630202E-2</v>
      </c>
      <c r="AG38" s="92">
        <f t="shared" ref="AG38" si="81">(AG37/AF37)^(1/(AG$5-AF$5))-1</f>
        <v>2.7785589548525946E-2</v>
      </c>
      <c r="AH38" s="92">
        <f t="shared" ref="AH38" si="82">(AH37/AG37)^(1/(AH$5-AG$5))-1</f>
        <v>2.4755534538967172E-2</v>
      </c>
      <c r="AI38" s="92">
        <f t="shared" ref="AI38" si="83">(AI37/AH37)^(1/(AI$5-AH$5))-1</f>
        <v>1.7596298267333221E-2</v>
      </c>
      <c r="AJ38" s="92">
        <f t="shared" ref="AJ38" si="84">(AJ37/AI37)^(1/(AJ$5-AI$5))-1</f>
        <v>1.0437061796241043E-2</v>
      </c>
      <c r="AK38" s="92">
        <f t="shared" ref="AK38" si="85">(AK37/AJ37)^(1/(AK$5-AJ$5))-1</f>
        <v>3.2778251214204968E-3</v>
      </c>
      <c r="AL38" s="92"/>
      <c r="AM38" s="92"/>
    </row>
    <row r="39" spans="1:43">
      <c r="L39" s="6"/>
      <c r="Y39" s="92"/>
      <c r="Z39" s="92"/>
      <c r="AA39" s="92"/>
    </row>
    <row r="40" spans="1:43">
      <c r="A40" s="182" t="s">
        <v>639</v>
      </c>
    </row>
    <row r="41" spans="1:43">
      <c r="C41" s="26" t="s">
        <v>536</v>
      </c>
      <c r="D41" s="26" t="s">
        <v>545</v>
      </c>
      <c r="E41" s="26" t="s">
        <v>546</v>
      </c>
      <c r="F41" s="26" t="s">
        <v>537</v>
      </c>
      <c r="G41" s="26" t="s">
        <v>547</v>
      </c>
      <c r="H41" s="26" t="s">
        <v>548</v>
      </c>
      <c r="I41" s="26" t="s">
        <v>549</v>
      </c>
      <c r="J41" s="26" t="s">
        <v>550</v>
      </c>
      <c r="K41" s="26" t="s">
        <v>538</v>
      </c>
      <c r="L41" s="26" t="s">
        <v>551</v>
      </c>
      <c r="M41" s="26" t="s">
        <v>552</v>
      </c>
      <c r="N41" s="26" t="s">
        <v>553</v>
      </c>
      <c r="O41" s="26" t="s">
        <v>554</v>
      </c>
      <c r="P41" s="26" t="s">
        <v>539</v>
      </c>
      <c r="Q41" s="26" t="s">
        <v>555</v>
      </c>
      <c r="R41" s="26" t="s">
        <v>556</v>
      </c>
      <c r="S41" s="26" t="s">
        <v>557</v>
      </c>
      <c r="T41" s="26" t="s">
        <v>558</v>
      </c>
      <c r="U41" s="26" t="s">
        <v>540</v>
      </c>
      <c r="V41" s="26" t="s">
        <v>559</v>
      </c>
      <c r="W41" s="26" t="s">
        <v>560</v>
      </c>
      <c r="X41" s="26" t="s">
        <v>561</v>
      </c>
      <c r="Y41" s="26" t="s">
        <v>562</v>
      </c>
      <c r="Z41" s="26" t="s">
        <v>541</v>
      </c>
      <c r="AA41" s="26" t="s">
        <v>563</v>
      </c>
      <c r="AB41" s="26" t="s">
        <v>564</v>
      </c>
      <c r="AC41" s="26" t="s">
        <v>565</v>
      </c>
      <c r="AD41" s="26" t="s">
        <v>566</v>
      </c>
      <c r="AE41" s="26" t="s">
        <v>542</v>
      </c>
      <c r="AF41" s="26" t="s">
        <v>543</v>
      </c>
      <c r="AG41" s="26" t="s">
        <v>544</v>
      </c>
      <c r="AH41" s="26" t="s">
        <v>706</v>
      </c>
      <c r="AI41" s="26" t="s">
        <v>711</v>
      </c>
      <c r="AJ41" s="26" t="s">
        <v>716</v>
      </c>
      <c r="AK41" s="26" t="s">
        <v>721</v>
      </c>
      <c r="AL41" s="26"/>
      <c r="AM41" s="26"/>
      <c r="AN41" s="26" t="s">
        <v>782</v>
      </c>
      <c r="AO41" s="26"/>
    </row>
    <row r="43" spans="1:43">
      <c r="A43" t="s">
        <v>590</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591</v>
      </c>
      <c r="C44">
        <v>0</v>
      </c>
      <c r="D44">
        <f>C44+1</f>
        <v>1</v>
      </c>
      <c r="E44">
        <f t="shared" ref="E44" si="86">D44+1</f>
        <v>2</v>
      </c>
      <c r="F44">
        <f t="shared" ref="F44" si="87">E44+1</f>
        <v>3</v>
      </c>
      <c r="G44">
        <f t="shared" ref="G44" si="88">F44+1</f>
        <v>4</v>
      </c>
      <c r="H44">
        <f t="shared" ref="H44" si="89">G44+1</f>
        <v>5</v>
      </c>
      <c r="I44">
        <f t="shared" ref="I44" si="90">H44+1</f>
        <v>6</v>
      </c>
      <c r="J44">
        <f t="shared" ref="J44" si="91">I44+1</f>
        <v>7</v>
      </c>
      <c r="K44">
        <f t="shared" ref="K44" si="92">J44+1</f>
        <v>8</v>
      </c>
      <c r="L44">
        <f t="shared" ref="L44" si="93">K44+1</f>
        <v>9</v>
      </c>
      <c r="M44">
        <f t="shared" ref="M44" si="94">L44+1</f>
        <v>10</v>
      </c>
      <c r="N44">
        <f t="shared" ref="N44" si="95">M44+1</f>
        <v>11</v>
      </c>
      <c r="O44">
        <f t="shared" ref="O44" si="96">N44+1</f>
        <v>12</v>
      </c>
      <c r="P44">
        <f t="shared" ref="P44" si="97">O44+1</f>
        <v>13</v>
      </c>
      <c r="Q44">
        <f t="shared" ref="Q44" si="98">P44+1</f>
        <v>14</v>
      </c>
      <c r="R44">
        <f t="shared" ref="R44" si="99">Q44+1</f>
        <v>15</v>
      </c>
      <c r="S44">
        <f t="shared" ref="S44" si="100">R44+1</f>
        <v>16</v>
      </c>
      <c r="T44">
        <f t="shared" ref="T44" si="101">S44+1</f>
        <v>17</v>
      </c>
      <c r="U44">
        <f t="shared" ref="U44" si="102">T44+1</f>
        <v>18</v>
      </c>
      <c r="V44">
        <f t="shared" ref="V44" si="103">U44+1</f>
        <v>19</v>
      </c>
      <c r="W44">
        <f t="shared" ref="W44" si="104">V44+1</f>
        <v>20</v>
      </c>
      <c r="X44">
        <f t="shared" ref="X44" si="105">W44+1</f>
        <v>21</v>
      </c>
      <c r="Y44">
        <f t="shared" ref="Y44" si="106">X44+1</f>
        <v>22</v>
      </c>
      <c r="Z44">
        <f t="shared" ref="Z44" si="107">Y44+1</f>
        <v>23</v>
      </c>
      <c r="AA44">
        <f t="shared" ref="AA44" si="108">Z44+1</f>
        <v>24</v>
      </c>
      <c r="AB44">
        <f t="shared" ref="AB44" si="109">AA44+1</f>
        <v>25</v>
      </c>
      <c r="AC44">
        <f t="shared" ref="AC44" si="110">AB44+1</f>
        <v>26</v>
      </c>
      <c r="AD44">
        <f t="shared" ref="AD44" si="111">AC44+1</f>
        <v>27</v>
      </c>
      <c r="AE44">
        <f t="shared" ref="AE44" si="112">AD44+1</f>
        <v>28</v>
      </c>
      <c r="AF44">
        <f t="shared" ref="AF44" si="113">AE44+1</f>
        <v>29</v>
      </c>
      <c r="AG44">
        <f t="shared" ref="AG44" si="114">AF44+1</f>
        <v>30</v>
      </c>
      <c r="AH44">
        <f t="shared" ref="AH44" si="115">AG44+1</f>
        <v>31</v>
      </c>
      <c r="AI44">
        <f t="shared" ref="AI44" si="116">AH44+1</f>
        <v>32</v>
      </c>
      <c r="AJ44">
        <f t="shared" ref="AJ44" si="117">AI44+1</f>
        <v>33</v>
      </c>
      <c r="AK44">
        <f t="shared" ref="AK44" si="118">AJ44+1</f>
        <v>34</v>
      </c>
      <c r="AN44">
        <v>31</v>
      </c>
      <c r="AO44">
        <v>32</v>
      </c>
      <c r="AP44">
        <v>33</v>
      </c>
      <c r="AQ44">
        <v>34</v>
      </c>
    </row>
    <row r="45" spans="1:43">
      <c r="A45" s="115" t="s">
        <v>126</v>
      </c>
      <c r="B45">
        <v>1</v>
      </c>
      <c r="C45" s="265">
        <v>96.797279590965346</v>
      </c>
      <c r="D45" s="265">
        <v>101.32801029182565</v>
      </c>
      <c r="E45" s="265">
        <v>105.4512845971946</v>
      </c>
      <c r="F45" s="265">
        <v>104.03295587682055</v>
      </c>
      <c r="G45" s="265">
        <v>102.86973222443167</v>
      </c>
      <c r="H45" s="265">
        <v>106.45368114150588</v>
      </c>
      <c r="I45" s="265">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AO45/AN45*AH45</f>
        <v>314.65951769462703</v>
      </c>
      <c r="AJ45" s="6">
        <f t="shared" ref="AJ45:AK45" si="119">AP45/AO45*AI45</f>
        <v>335.87004092771502</v>
      </c>
      <c r="AK45" s="6">
        <f t="shared" si="119"/>
        <v>342.85263739891138</v>
      </c>
      <c r="AL45" s="107"/>
      <c r="AM45" s="107"/>
      <c r="AN45" s="6">
        <v>282.02525190600596</v>
      </c>
      <c r="AO45" s="6">
        <v>314.65951769462703</v>
      </c>
      <c r="AP45" s="6">
        <v>335.87004092771502</v>
      </c>
      <c r="AQ45" s="6">
        <v>342.85263739891133</v>
      </c>
    </row>
    <row r="46" spans="1:43">
      <c r="A46" s="115" t="s">
        <v>4</v>
      </c>
      <c r="B46">
        <f>B45+1</f>
        <v>2</v>
      </c>
      <c r="C46" s="265">
        <v>2420.5059603282948</v>
      </c>
      <c r="D46" s="265">
        <v>2489.1047071827661</v>
      </c>
      <c r="E46" s="265">
        <v>2551.5982527371866</v>
      </c>
      <c r="F46" s="265">
        <v>2595.1630396206046</v>
      </c>
      <c r="G46" s="265">
        <v>2628.6516711665686</v>
      </c>
      <c r="H46" s="265">
        <v>2667.1308637985835</v>
      </c>
      <c r="I46" s="265">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 t="shared" ref="AI46:AI65" si="120">AO46/AN46*AH46</f>
        <v>7961.5517724759829</v>
      </c>
      <c r="AJ46" s="6">
        <f t="shared" ref="AJ46:AJ65" si="121">AP46/AO46*AI46</f>
        <v>8498.2229022061783</v>
      </c>
      <c r="AK46" s="6">
        <f t="shared" ref="AK46:AK65" si="122">AQ46/AP46*AJ46</f>
        <v>8674.8973715470001</v>
      </c>
      <c r="AL46" s="107"/>
      <c r="AM46" s="107"/>
      <c r="AN46" s="6">
        <v>7135.8357778147301</v>
      </c>
      <c r="AO46" s="6">
        <v>7961.5517724759829</v>
      </c>
      <c r="AP46" s="6">
        <v>8498.2229022061783</v>
      </c>
      <c r="AQ46" s="6">
        <v>8674.8973715470001</v>
      </c>
    </row>
    <row r="47" spans="1:43">
      <c r="A47" s="115" t="s">
        <v>508</v>
      </c>
      <c r="B47">
        <f t="shared" ref="B47:B75" si="123">B46+1</f>
        <v>3</v>
      </c>
      <c r="C47" s="265">
        <v>72.107894835057621</v>
      </c>
      <c r="D47" s="265">
        <v>74.266300997437128</v>
      </c>
      <c r="E47" s="265">
        <v>75.801027741220466</v>
      </c>
      <c r="F47" s="265">
        <v>76.644854367250801</v>
      </c>
      <c r="G47" s="265">
        <v>77.466834349241523</v>
      </c>
      <c r="H47" s="265">
        <v>78.131791577197461</v>
      </c>
      <c r="I47" s="265">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 t="shared" si="120"/>
        <v>239.03171955828549</v>
      </c>
      <c r="AJ47" s="6">
        <f t="shared" si="121"/>
        <v>255.73506376809104</v>
      </c>
      <c r="AK47" s="6">
        <f t="shared" si="122"/>
        <v>261.40203004829675</v>
      </c>
      <c r="AL47" s="107"/>
      <c r="AM47" s="107"/>
      <c r="AN47" s="6">
        <v>213.46298674732751</v>
      </c>
      <c r="AO47" s="6">
        <v>239.03171955828549</v>
      </c>
      <c r="AP47" s="6">
        <v>255.73506376809107</v>
      </c>
      <c r="AQ47" s="6">
        <v>261.40203004829675</v>
      </c>
    </row>
    <row r="48" spans="1:43">
      <c r="A48" s="115" t="s">
        <v>692</v>
      </c>
      <c r="B48">
        <f t="shared" si="123"/>
        <v>4</v>
      </c>
      <c r="C48" s="265">
        <v>2.4554419284149018</v>
      </c>
      <c r="D48" s="265">
        <v>2.4807404210106916</v>
      </c>
      <c r="E48" s="265">
        <v>2.5000863271133542</v>
      </c>
      <c r="F48" s="265">
        <v>2.4936376917457999</v>
      </c>
      <c r="G48" s="265">
        <v>2.4903306992496184</v>
      </c>
      <c r="H48" s="265">
        <v>2.5025665714854908</v>
      </c>
      <c r="I48" s="265">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 t="shared" si="120"/>
        <v>7.5483700913142799</v>
      </c>
      <c r="AJ48" s="6">
        <f t="shared" si="121"/>
        <v>8.0758441189923502</v>
      </c>
      <c r="AK48" s="6">
        <f t="shared" si="122"/>
        <v>8.2548009488935836</v>
      </c>
      <c r="AL48" s="107"/>
      <c r="AM48" s="107"/>
      <c r="AN48" s="6">
        <v>6.740936423599817</v>
      </c>
      <c r="AO48" s="6">
        <v>7.5483700913142799</v>
      </c>
      <c r="AP48" s="6">
        <v>8.0758441189923502</v>
      </c>
      <c r="AQ48" s="6">
        <v>8.2548009488935836</v>
      </c>
    </row>
    <row r="49" spans="1:43">
      <c r="A49" s="115" t="s">
        <v>505</v>
      </c>
      <c r="B49">
        <f t="shared" si="123"/>
        <v>5</v>
      </c>
      <c r="C49" s="265">
        <v>138.08343097582718</v>
      </c>
      <c r="D49" s="265">
        <v>143.16360238477418</v>
      </c>
      <c r="E49" s="265">
        <v>146.98438355117329</v>
      </c>
      <c r="F49" s="265">
        <v>148.78204922418408</v>
      </c>
      <c r="G49" s="265">
        <v>151.86270236184362</v>
      </c>
      <c r="H49" s="265">
        <v>153.55950890468549</v>
      </c>
      <c r="I49" s="265">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 t="shared" si="120"/>
        <v>470.60601324322431</v>
      </c>
      <c r="AJ49" s="6">
        <f t="shared" si="121"/>
        <v>503.49158274392454</v>
      </c>
      <c r="AK49" s="6">
        <f t="shared" si="122"/>
        <v>514.64871458081905</v>
      </c>
      <c r="AL49" s="107"/>
      <c r="AM49" s="107"/>
      <c r="AN49" s="6">
        <v>420.26625317254434</v>
      </c>
      <c r="AO49" s="6">
        <v>470.60601324322437</v>
      </c>
      <c r="AP49" s="6">
        <v>503.49158274392465</v>
      </c>
      <c r="AQ49" s="6">
        <v>514.64871458081916</v>
      </c>
    </row>
    <row r="50" spans="1:43">
      <c r="A50" s="115" t="s">
        <v>580</v>
      </c>
      <c r="B50">
        <f t="shared" si="123"/>
        <v>6</v>
      </c>
      <c r="C50" s="265">
        <v>0.14875454246747444</v>
      </c>
      <c r="D50" s="265">
        <v>0.12</v>
      </c>
      <c r="E50" s="265">
        <v>0.12</v>
      </c>
      <c r="F50" s="265">
        <v>0.12</v>
      </c>
      <c r="G50" s="265">
        <v>0.12</v>
      </c>
      <c r="H50" s="265">
        <v>0.12</v>
      </c>
      <c r="I50" s="265">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 t="shared" si="120"/>
        <v>0.36377687187056768</v>
      </c>
      <c r="AJ50" s="6">
        <f t="shared" si="121"/>
        <v>0.38919730693939042</v>
      </c>
      <c r="AK50" s="6">
        <f t="shared" si="122"/>
        <v>0.39782173247679925</v>
      </c>
      <c r="AL50" s="107"/>
      <c r="AM50" s="107"/>
      <c r="AN50" s="6">
        <v>0.32486440595661764</v>
      </c>
      <c r="AO50" s="6">
        <v>0.36377687187056762</v>
      </c>
      <c r="AP50" s="6">
        <v>0.38919730693939036</v>
      </c>
      <c r="AQ50" s="6">
        <v>0.39782173247679914</v>
      </c>
    </row>
    <row r="51" spans="1:43">
      <c r="A51" s="115" t="s">
        <v>700</v>
      </c>
      <c r="B51">
        <f t="shared" si="123"/>
        <v>7</v>
      </c>
      <c r="C51" s="265">
        <v>0.28999999999999998</v>
      </c>
      <c r="D51" s="265">
        <v>0.28999999999999998</v>
      </c>
      <c r="E51" s="265">
        <v>0.28999999999999998</v>
      </c>
      <c r="F51" s="265">
        <v>0.28999999999999998</v>
      </c>
      <c r="G51" s="265">
        <v>0.28999999999999998</v>
      </c>
      <c r="H51" s="265">
        <v>0.28999999999999998</v>
      </c>
      <c r="I51" s="265">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 t="shared" si="120"/>
        <v>0.8791274403538718</v>
      </c>
      <c r="AJ51" s="6">
        <f t="shared" si="121"/>
        <v>0.94056015843686014</v>
      </c>
      <c r="AK51" s="6">
        <f t="shared" si="122"/>
        <v>0.96140252015226479</v>
      </c>
      <c r="AL51" s="107"/>
      <c r="AM51" s="107"/>
      <c r="AN51" s="6">
        <v>0.7850889810618259</v>
      </c>
      <c r="AO51" s="6">
        <v>0.87912744035387169</v>
      </c>
      <c r="AP51" s="6">
        <v>0.94056015843685992</v>
      </c>
      <c r="AQ51" s="6">
        <v>0.96140252015226446</v>
      </c>
    </row>
    <row r="52" spans="1:43">
      <c r="A52" s="115" t="s">
        <v>701</v>
      </c>
      <c r="B52">
        <f t="shared" si="123"/>
        <v>8</v>
      </c>
      <c r="C52" s="265">
        <v>0.08</v>
      </c>
      <c r="D52" s="265">
        <v>0.08</v>
      </c>
      <c r="E52" s="265">
        <v>0.08</v>
      </c>
      <c r="F52" s="265">
        <v>0.08</v>
      </c>
      <c r="G52" s="265">
        <v>0.08</v>
      </c>
      <c r="H52" s="265">
        <v>0.08</v>
      </c>
      <c r="I52" s="265">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 t="shared" si="120"/>
        <v>0.24251791458037844</v>
      </c>
      <c r="AJ52" s="6">
        <f t="shared" si="121"/>
        <v>0.25946487129292689</v>
      </c>
      <c r="AK52" s="6">
        <f t="shared" si="122"/>
        <v>0.26521448831786609</v>
      </c>
      <c r="AL52" s="107"/>
      <c r="AM52" s="107"/>
      <c r="AN52" s="6">
        <v>0.21657627063774509</v>
      </c>
      <c r="AO52" s="6">
        <v>0.24251791458037844</v>
      </c>
      <c r="AP52" s="6">
        <v>0.25946487129292689</v>
      </c>
      <c r="AQ52" s="6">
        <v>0.26521448831786609</v>
      </c>
    </row>
    <row r="53" spans="1:43">
      <c r="A53" s="115" t="s">
        <v>372</v>
      </c>
      <c r="B53">
        <f>B50+1</f>
        <v>7</v>
      </c>
      <c r="C53" s="265">
        <v>19.344853564503961</v>
      </c>
      <c r="D53" s="265">
        <v>19.93389877641825</v>
      </c>
      <c r="E53" s="265">
        <v>20.313674916573973</v>
      </c>
      <c r="F53" s="265">
        <v>20.822458982202448</v>
      </c>
      <c r="G53" s="265">
        <v>20.887687708565075</v>
      </c>
      <c r="H53" s="265">
        <v>21.03698901557286</v>
      </c>
      <c r="I53" s="265">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 t="shared" si="120"/>
        <v>63.206231487511133</v>
      </c>
      <c r="AJ53" s="6">
        <f t="shared" si="121"/>
        <v>67.623032080719071</v>
      </c>
      <c r="AK53" s="6">
        <f t="shared" si="122"/>
        <v>69.121526017843848</v>
      </c>
      <c r="AL53" s="107"/>
      <c r="AM53" s="107"/>
      <c r="AN53" s="6">
        <v>56.445190534962315</v>
      </c>
      <c r="AO53" s="6">
        <v>63.206231487511133</v>
      </c>
      <c r="AP53" s="6">
        <v>67.623032080719071</v>
      </c>
      <c r="AQ53" s="6">
        <v>69.121526017843848</v>
      </c>
    </row>
    <row r="54" spans="1:43">
      <c r="A54" s="115" t="s">
        <v>371</v>
      </c>
      <c r="B54">
        <f t="shared" si="123"/>
        <v>8</v>
      </c>
      <c r="C54" s="265">
        <v>186.51301855651582</v>
      </c>
      <c r="D54" s="265">
        <v>191.20040429598868</v>
      </c>
      <c r="E54" s="265">
        <v>192.19084947996168</v>
      </c>
      <c r="F54" s="265">
        <v>198.3568473622208</v>
      </c>
      <c r="G54" s="265">
        <v>195.64424405359443</v>
      </c>
      <c r="H54" s="265">
        <v>201.78663829260577</v>
      </c>
      <c r="I54" s="265">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 t="shared" si="120"/>
        <v>586.61568448815979</v>
      </c>
      <c r="AJ54" s="6">
        <f t="shared" si="121"/>
        <v>626.15818965657195</v>
      </c>
      <c r="AK54" s="6">
        <f t="shared" si="122"/>
        <v>639.17575428790985</v>
      </c>
      <c r="AL54" s="107"/>
      <c r="AM54" s="107"/>
      <c r="AN54" s="6">
        <v>525.77604326701203</v>
      </c>
      <c r="AO54" s="6">
        <v>586.61568448815979</v>
      </c>
      <c r="AP54" s="6">
        <v>626.15818965657195</v>
      </c>
      <c r="AQ54" s="6">
        <v>639.17575428790974</v>
      </c>
    </row>
    <row r="55" spans="1:43">
      <c r="A55" s="115" t="s">
        <v>698</v>
      </c>
      <c r="B55">
        <f t="shared" si="123"/>
        <v>9</v>
      </c>
      <c r="C55" s="265">
        <v>91.99927686334776</v>
      </c>
      <c r="D55" s="265">
        <v>94.311373368720652</v>
      </c>
      <c r="E55" s="265">
        <v>94.799919645026264</v>
      </c>
      <c r="F55" s="265">
        <v>97.841355308332979</v>
      </c>
      <c r="G55" s="265">
        <v>96.503338558927737</v>
      </c>
      <c r="H55" s="265">
        <v>99.533131506208818</v>
      </c>
      <c r="I55" s="265">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 t="shared" si="120"/>
        <v>296.1446884419646</v>
      </c>
      <c r="AJ55" s="6">
        <f t="shared" si="121"/>
        <v>316.83904095757532</v>
      </c>
      <c r="AK55" s="6">
        <f t="shared" si="122"/>
        <v>323.8600420471542</v>
      </c>
      <c r="AL55" s="107"/>
      <c r="AM55" s="107"/>
      <c r="AN55" s="6">
        <v>264.46669848251645</v>
      </c>
      <c r="AO55" s="6">
        <v>296.1446884419646</v>
      </c>
      <c r="AP55" s="6">
        <v>316.83904095757532</v>
      </c>
      <c r="AQ55" s="6">
        <v>323.8600420471542</v>
      </c>
    </row>
    <row r="56" spans="1:43">
      <c r="A56" s="115" t="s">
        <v>510</v>
      </c>
      <c r="B56">
        <f t="shared" si="123"/>
        <v>10</v>
      </c>
      <c r="C56" s="265">
        <v>18.748363502594032</v>
      </c>
      <c r="D56" s="265">
        <v>15.909210489014884</v>
      </c>
      <c r="E56" s="265">
        <v>14.603991495393339</v>
      </c>
      <c r="F56" s="265">
        <v>14.80978596739901</v>
      </c>
      <c r="G56" s="265">
        <v>14.414883061658401</v>
      </c>
      <c r="H56" s="265">
        <v>13.877221828490436</v>
      </c>
      <c r="I56" s="265">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 t="shared" si="120"/>
        <v>39.651679033891867</v>
      </c>
      <c r="AJ56" s="6">
        <f t="shared" si="121"/>
        <v>42.422506456393542</v>
      </c>
      <c r="AK56" s="6">
        <f t="shared" si="122"/>
        <v>43.362568839971104</v>
      </c>
      <c r="AL56" s="107"/>
      <c r="AM56" s="107"/>
      <c r="AN56" s="6">
        <v>35.410220249271326</v>
      </c>
      <c r="AO56" s="6">
        <v>39.651679033891874</v>
      </c>
      <c r="AP56" s="6">
        <v>42.422506456393549</v>
      </c>
      <c r="AQ56" s="6">
        <v>43.362568839971111</v>
      </c>
    </row>
    <row r="57" spans="1:43">
      <c r="A57" s="115" t="s">
        <v>509</v>
      </c>
      <c r="B57">
        <f t="shared" si="123"/>
        <v>11</v>
      </c>
      <c r="C57" s="265">
        <v>16.099074173411047</v>
      </c>
      <c r="D57" s="265">
        <v>16.518849146566016</v>
      </c>
      <c r="E57" s="265">
        <v>16.808536607755151</v>
      </c>
      <c r="F57" s="265">
        <v>17.0461507724374</v>
      </c>
      <c r="G57" s="265">
        <v>17.232929214387152</v>
      </c>
      <c r="H57" s="265">
        <v>17.424562753451802</v>
      </c>
      <c r="I57" s="265">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 t="shared" si="120"/>
        <v>53.444885425650895</v>
      </c>
      <c r="AJ57" s="6">
        <f t="shared" si="121"/>
        <v>57.179571011178773</v>
      </c>
      <c r="AK57" s="6">
        <f t="shared" si="122"/>
        <v>58.446642863049753</v>
      </c>
      <c r="AL57" s="107"/>
      <c r="AM57" s="107"/>
      <c r="AN57" s="6">
        <v>47.727995641793072</v>
      </c>
      <c r="AO57" s="6">
        <v>53.444885425650895</v>
      </c>
      <c r="AP57" s="6">
        <v>57.179571011178766</v>
      </c>
      <c r="AQ57" s="6">
        <v>58.446642863049739</v>
      </c>
    </row>
    <row r="58" spans="1:43">
      <c r="A58" s="115" t="s">
        <v>506</v>
      </c>
      <c r="B58">
        <f t="shared" si="123"/>
        <v>12</v>
      </c>
      <c r="C58" s="265">
        <v>335.77331305186084</v>
      </c>
      <c r="D58" s="265">
        <v>345.12368336779264</v>
      </c>
      <c r="E58" s="265">
        <v>351.73654833895557</v>
      </c>
      <c r="F58" s="265">
        <v>356.62847152051233</v>
      </c>
      <c r="G58" s="265">
        <v>360.31274126727499</v>
      </c>
      <c r="H58" s="265">
        <v>363.08022098030375</v>
      </c>
      <c r="I58" s="265">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 t="shared" si="120"/>
        <v>1112.156841526293</v>
      </c>
      <c r="AJ58" s="6">
        <f t="shared" si="121"/>
        <v>1189.8734666404514</v>
      </c>
      <c r="AK58" s="6">
        <f t="shared" si="122"/>
        <v>1216.2404916146945</v>
      </c>
      <c r="AL58" s="107"/>
      <c r="AM58" s="107"/>
      <c r="AN58" s="6">
        <v>993.19170511086941</v>
      </c>
      <c r="AO58" s="6">
        <v>1112.156841526293</v>
      </c>
      <c r="AP58" s="6">
        <v>1189.8734666404512</v>
      </c>
      <c r="AQ58" s="6">
        <v>1216.2404916146943</v>
      </c>
    </row>
    <row r="59" spans="1:43">
      <c r="A59" s="115" t="s">
        <v>512</v>
      </c>
      <c r="B59">
        <f t="shared" si="123"/>
        <v>13</v>
      </c>
      <c r="C59" s="265">
        <v>49.680584563226056</v>
      </c>
      <c r="D59" s="265">
        <v>48.564231533814059</v>
      </c>
      <c r="E59" s="265">
        <v>47.459267978951466</v>
      </c>
      <c r="F59" s="265">
        <v>46.356109920093544</v>
      </c>
      <c r="G59" s="265">
        <v>46.356109920093544</v>
      </c>
      <c r="H59" s="265">
        <v>46.356109920093544</v>
      </c>
      <c r="I59" s="265">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 t="shared" si="120"/>
        <v>140.41787254203911</v>
      </c>
      <c r="AJ59" s="6">
        <f t="shared" si="121"/>
        <v>150.23016047860466</v>
      </c>
      <c r="AK59" s="6">
        <f t="shared" si="122"/>
        <v>153.55918873604446</v>
      </c>
      <c r="AL59" s="107"/>
      <c r="AM59" s="107"/>
      <c r="AN59" s="6">
        <v>125.3976606992544</v>
      </c>
      <c r="AO59" s="6">
        <v>140.41787254203911</v>
      </c>
      <c r="AP59" s="6">
        <v>150.23016047860466</v>
      </c>
      <c r="AQ59" s="6">
        <v>153.55918873604446</v>
      </c>
    </row>
    <row r="60" spans="1:43">
      <c r="A60" s="115" t="s">
        <v>507</v>
      </c>
      <c r="B60">
        <f t="shared" si="123"/>
        <v>14</v>
      </c>
      <c r="C60" s="265">
        <v>21.771602125906632</v>
      </c>
      <c r="D60" s="265">
        <v>22.321967288291042</v>
      </c>
      <c r="E60" s="265">
        <v>22.799481809844082</v>
      </c>
      <c r="F60" s="265">
        <v>23.061502598593702</v>
      </c>
      <c r="G60" s="265">
        <v>23.492490064200549</v>
      </c>
      <c r="H60" s="265">
        <v>23.649212778966675</v>
      </c>
      <c r="I60" s="265">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 t="shared" si="120"/>
        <v>72.846318592081175</v>
      </c>
      <c r="AJ60" s="6">
        <f t="shared" si="121"/>
        <v>77.936760714612916</v>
      </c>
      <c r="AK60" s="6">
        <f t="shared" si="122"/>
        <v>79.663801928479032</v>
      </c>
      <c r="AL60" s="107"/>
      <c r="AM60" s="107"/>
      <c r="AN60" s="6">
        <v>65.054097292812685</v>
      </c>
      <c r="AO60" s="6">
        <v>72.846318592081175</v>
      </c>
      <c r="AP60" s="6">
        <v>77.936760714612916</v>
      </c>
      <c r="AQ60" s="6">
        <v>79.663801928479032</v>
      </c>
    </row>
    <row r="61" spans="1:43">
      <c r="A61" s="115" t="s">
        <v>577</v>
      </c>
      <c r="B61">
        <f t="shared" si="123"/>
        <v>15</v>
      </c>
      <c r="C61" s="265">
        <v>234.64829421512601</v>
      </c>
      <c r="D61" s="265">
        <v>241.75157173268613</v>
      </c>
      <c r="E61" s="265">
        <v>247.49716491255998</v>
      </c>
      <c r="F61" s="265">
        <v>250.49509082227485</v>
      </c>
      <c r="G61" s="265">
        <v>252.5592931181983</v>
      </c>
      <c r="H61" s="265">
        <v>256.25966914032193</v>
      </c>
      <c r="I61" s="265">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 t="shared" si="120"/>
        <v>788.94109086929359</v>
      </c>
      <c r="AJ61" s="6">
        <f t="shared" si="121"/>
        <v>844.07165942480287</v>
      </c>
      <c r="AK61" s="6">
        <f t="shared" si="122"/>
        <v>862.77588230905803</v>
      </c>
      <c r="AL61" s="107"/>
      <c r="AM61" s="107"/>
      <c r="AN61" s="6">
        <v>704.5496804184146</v>
      </c>
      <c r="AO61" s="6">
        <v>788.94109086929359</v>
      </c>
      <c r="AP61" s="6">
        <v>844.07165942480287</v>
      </c>
      <c r="AQ61" s="6">
        <v>862.77588230905815</v>
      </c>
    </row>
    <row r="62" spans="1:43">
      <c r="A62" s="115" t="s">
        <v>576</v>
      </c>
      <c r="B62">
        <f t="shared" si="123"/>
        <v>16</v>
      </c>
      <c r="C62" s="265">
        <v>40.911909200944407</v>
      </c>
      <c r="D62" s="265">
        <v>43.472466890059046</v>
      </c>
      <c r="E62" s="265">
        <v>46.683336524652951</v>
      </c>
      <c r="F62" s="265">
        <v>48.977367480453168</v>
      </c>
      <c r="G62" s="265">
        <v>50.507366203925315</v>
      </c>
      <c r="H62" s="265">
        <v>54.114758895803412</v>
      </c>
      <c r="I62" s="265">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 t="shared" si="120"/>
        <v>183.73763503395921</v>
      </c>
      <c r="AJ62" s="6">
        <f t="shared" si="121"/>
        <v>196.57707311330375</v>
      </c>
      <c r="AK62" s="6">
        <f t="shared" si="122"/>
        <v>200.93312671182329</v>
      </c>
      <c r="AL62" s="107"/>
      <c r="AM62" s="107"/>
      <c r="AN62" s="6">
        <v>164.08359704192165</v>
      </c>
      <c r="AO62" s="6">
        <v>183.73763503395921</v>
      </c>
      <c r="AP62" s="6">
        <v>196.57707311330375</v>
      </c>
      <c r="AQ62" s="6">
        <v>200.93312671182329</v>
      </c>
    </row>
    <row r="63" spans="1:43">
      <c r="A63" s="115" t="s">
        <v>801</v>
      </c>
      <c r="B63">
        <f t="shared" si="123"/>
        <v>17</v>
      </c>
      <c r="C63" s="265">
        <v>6.4158612357306808</v>
      </c>
      <c r="D63" s="265">
        <v>6.604363287904599</v>
      </c>
      <c r="E63" s="265">
        <v>6.7999637989778527</v>
      </c>
      <c r="F63" s="265">
        <v>6.9251895229982949</v>
      </c>
      <c r="G63" s="265">
        <v>6.9893547700170355</v>
      </c>
      <c r="H63" s="265">
        <v>7.0969867972742753</v>
      </c>
      <c r="I63" s="265">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 t="shared" si="120"/>
        <v>22.099444966136986</v>
      </c>
      <c r="AJ63" s="6">
        <f t="shared" si="121"/>
        <v>23.643736396567963</v>
      </c>
      <c r="AK63" s="6">
        <f t="shared" si="122"/>
        <v>24.16767024796555</v>
      </c>
      <c r="AL63" s="107"/>
      <c r="AM63" s="107"/>
      <c r="AN63" s="6">
        <v>19.735512661864522</v>
      </c>
      <c r="AO63" s="6">
        <v>22.099444966136986</v>
      </c>
      <c r="AP63" s="6">
        <v>23.643736396567963</v>
      </c>
      <c r="AQ63" s="6">
        <v>24.167670247965546</v>
      </c>
    </row>
    <row r="64" spans="1:43">
      <c r="A64" s="115" t="s">
        <v>581</v>
      </c>
      <c r="B64">
        <f t="shared" si="123"/>
        <v>18</v>
      </c>
      <c r="C64" s="265">
        <v>125.48003402211921</v>
      </c>
      <c r="D64" s="265">
        <v>127.1852732099033</v>
      </c>
      <c r="E64" s="265">
        <v>121.33259319855085</v>
      </c>
      <c r="F64" s="265">
        <v>115.48558072755804</v>
      </c>
      <c r="G64" s="265">
        <v>115.29855189569106</v>
      </c>
      <c r="H64" s="265">
        <v>115.15875256682079</v>
      </c>
      <c r="I64" s="265">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 t="shared" si="120"/>
        <v>76.941035917361077</v>
      </c>
      <c r="AJ64" s="6">
        <f t="shared" si="121"/>
        <v>72.434047271040967</v>
      </c>
      <c r="AK64" s="6">
        <f t="shared" si="122"/>
        <v>68.19106529445007</v>
      </c>
      <c r="AL64" s="107"/>
      <c r="AM64" s="107"/>
      <c r="AN64" s="6">
        <v>81.728458246781216</v>
      </c>
      <c r="AO64" s="6">
        <v>76.941035917361077</v>
      </c>
      <c r="AP64" s="6">
        <v>72.434047271040967</v>
      </c>
      <c r="AQ64" s="6">
        <v>68.19106529445007</v>
      </c>
    </row>
    <row r="65" spans="1:43">
      <c r="A65" s="115" t="s">
        <v>511</v>
      </c>
      <c r="B65">
        <f t="shared" si="123"/>
        <v>19</v>
      </c>
      <c r="C65" s="265">
        <v>154.18842101590053</v>
      </c>
      <c r="D65" s="265">
        <v>151.87047226763119</v>
      </c>
      <c r="E65" s="265">
        <v>148.71168942836181</v>
      </c>
      <c r="F65" s="265">
        <v>145.49800306349678</v>
      </c>
      <c r="G65" s="265">
        <v>142.32274916654868</v>
      </c>
      <c r="H65" s="265">
        <v>141.64560568420242</v>
      </c>
      <c r="I65" s="265">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 t="shared" si="120"/>
        <v>431.01496368797757</v>
      </c>
      <c r="AJ65" s="6">
        <f t="shared" si="121"/>
        <v>461.13394250535436</v>
      </c>
      <c r="AK65" s="6">
        <f t="shared" si="122"/>
        <v>471.35244936292759</v>
      </c>
      <c r="AL65" s="107"/>
      <c r="AM65" s="107"/>
      <c r="AN65" s="6">
        <v>384.91017699093248</v>
      </c>
      <c r="AO65" s="6">
        <v>431.01496368797757</v>
      </c>
      <c r="AP65" s="6">
        <v>461.13394250535436</v>
      </c>
      <c r="AQ65" s="6">
        <v>471.35244936292753</v>
      </c>
    </row>
    <row r="66" spans="1:43">
      <c r="A66" s="2" t="s">
        <v>5</v>
      </c>
      <c r="B66">
        <f t="shared" si="123"/>
        <v>20</v>
      </c>
      <c r="C66" s="290">
        <f>SUM(C45:C65)</f>
        <v>4032.0433682922144</v>
      </c>
      <c r="D66" s="290">
        <f t="shared" ref="D66:I66" si="124">SUM(D45:D65)</f>
        <v>4135.6011269326036</v>
      </c>
      <c r="E66" s="290">
        <f t="shared" si="124"/>
        <v>4214.5620530894539</v>
      </c>
      <c r="F66" s="290">
        <f t="shared" si="124"/>
        <v>4269.9104508291794</v>
      </c>
      <c r="G66" s="290">
        <f t="shared" si="124"/>
        <v>4306.3530098044157</v>
      </c>
      <c r="H66" s="290">
        <f t="shared" si="124"/>
        <v>4369.2882721535752</v>
      </c>
      <c r="I66" s="290">
        <f t="shared" si="124"/>
        <v>4424.2547121291227</v>
      </c>
      <c r="J66" s="108">
        <f t="shared" ref="J66:AK66" si="125">SUM(J45:J65)</f>
        <v>4454.71</v>
      </c>
      <c r="K66" s="108">
        <f t="shared" si="125"/>
        <v>4168.5599999999995</v>
      </c>
      <c r="L66" s="108">
        <f t="shared" si="125"/>
        <v>4364.6099639706999</v>
      </c>
      <c r="M66" s="108">
        <f t="shared" si="125"/>
        <v>4447.9917419918056</v>
      </c>
      <c r="N66" s="108">
        <f t="shared" si="125"/>
        <v>4456.887725475789</v>
      </c>
      <c r="O66" s="108">
        <f t="shared" si="125"/>
        <v>4501.4566027305473</v>
      </c>
      <c r="P66" s="108">
        <f t="shared" si="125"/>
        <v>4550.9726253605832</v>
      </c>
      <c r="Q66" s="108">
        <f t="shared" si="125"/>
        <v>4614.6862421156311</v>
      </c>
      <c r="R66" s="108">
        <f t="shared" si="125"/>
        <v>4688.5212219894811</v>
      </c>
      <c r="S66" s="108">
        <f t="shared" si="125"/>
        <v>4772.9146039852931</v>
      </c>
      <c r="T66" s="108">
        <f t="shared" si="125"/>
        <v>4878.0701326139297</v>
      </c>
      <c r="U66" s="108">
        <f t="shared" si="125"/>
        <v>5005.9651047671505</v>
      </c>
      <c r="V66" s="108">
        <f t="shared" si="125"/>
        <v>5153.0324316926462</v>
      </c>
      <c r="W66" s="108">
        <f t="shared" si="125"/>
        <v>5308.0229668226275</v>
      </c>
      <c r="X66" s="108">
        <f t="shared" si="125"/>
        <v>5472.4533377769021</v>
      </c>
      <c r="Y66" s="108">
        <f t="shared" si="125"/>
        <v>5660.5192636897464</v>
      </c>
      <c r="Z66" s="108">
        <f t="shared" si="125"/>
        <v>5859.7961117765817</v>
      </c>
      <c r="AA66" s="108">
        <f t="shared" si="125"/>
        <v>6071.0034498502264</v>
      </c>
      <c r="AB66" s="108">
        <f t="shared" si="125"/>
        <v>6295.6731854549653</v>
      </c>
      <c r="AC66" s="108">
        <f t="shared" si="125"/>
        <v>6530.8539953309019</v>
      </c>
      <c r="AD66" s="108">
        <f t="shared" si="125"/>
        <v>6769.6579855924483</v>
      </c>
      <c r="AE66" s="108">
        <f t="shared" si="125"/>
        <v>7009.3621264260146</v>
      </c>
      <c r="AF66" s="108">
        <f t="shared" si="125"/>
        <v>8315.2600771548514</v>
      </c>
      <c r="AG66" s="62">
        <f t="shared" si="125"/>
        <v>9888.9995639134086</v>
      </c>
      <c r="AH66" s="62">
        <f t="shared" si="125"/>
        <v>11528.13477236027</v>
      </c>
      <c r="AI66" s="62">
        <f t="shared" si="125"/>
        <v>12862.10118730256</v>
      </c>
      <c r="AJ66" s="62">
        <f t="shared" si="125"/>
        <v>13729.107842808744</v>
      </c>
      <c r="AK66" s="62">
        <f t="shared" si="125"/>
        <v>14014.530203526238</v>
      </c>
      <c r="AL66" s="108"/>
      <c r="AM66" s="108"/>
      <c r="AN66" s="62">
        <v>11528.13477236027</v>
      </c>
      <c r="AO66" s="62">
        <v>12862.10118730256</v>
      </c>
      <c r="AP66" s="62">
        <v>13729.107842808744</v>
      </c>
      <c r="AQ66" s="62">
        <v>14014.530203526238</v>
      </c>
    </row>
    <row r="67" spans="1:43" s="24" customFormat="1">
      <c r="A67" s="211" t="s">
        <v>263</v>
      </c>
      <c r="B67">
        <f t="shared" si="123"/>
        <v>21</v>
      </c>
      <c r="C67" s="267"/>
      <c r="D67" s="212">
        <v>2.6436281887547874E-2</v>
      </c>
      <c r="E67" s="212">
        <v>2.0165921894981231E-2</v>
      </c>
      <c r="F67" s="212">
        <v>1.407744097509589E-2</v>
      </c>
      <c r="G67" s="212">
        <v>8.9337784405372211E-3</v>
      </c>
      <c r="H67" s="212">
        <v>1.4827464040109817E-2</v>
      </c>
      <c r="I67" s="212">
        <v>1.2732896737821964E-2</v>
      </c>
      <c r="J67" s="212">
        <v>7.2531087632679014E-3</v>
      </c>
      <c r="K67" s="212">
        <v>-7.2462496857853442E-2</v>
      </c>
      <c r="L67" s="212">
        <f t="shared" ref="L67" si="126">L66/K66-1</f>
        <v>4.7030620638949694E-2</v>
      </c>
      <c r="M67" s="212">
        <f t="shared" ref="M67" si="127">M66/L66-1</f>
        <v>1.9104061693808072E-2</v>
      </c>
      <c r="N67" s="212">
        <f t="shared" ref="N67" si="128">N66/M66-1</f>
        <v>2.0000000000000018E-3</v>
      </c>
      <c r="O67" s="212">
        <f t="shared" ref="O67" si="129">O66/N66-1</f>
        <v>1.0000000000000009E-2</v>
      </c>
      <c r="P67" s="212">
        <f t="shared" ref="P67" si="130">P66/O66-1</f>
        <v>1.0999999999999899E-2</v>
      </c>
      <c r="Q67" s="212">
        <f t="shared" ref="Q67" si="131">Q66/P66-1</f>
        <v>1.4000000000000012E-2</v>
      </c>
      <c r="R67" s="212">
        <f t="shared" ref="R67" si="132">R66/Q66-1</f>
        <v>1.6000000000000014E-2</v>
      </c>
      <c r="S67" s="212">
        <f t="shared" ref="S67" si="133">S66/R66-1</f>
        <v>1.8000000000000238E-2</v>
      </c>
      <c r="T67" s="212">
        <f t="shared" ref="T67" si="134">T66/S66-1</f>
        <v>2.2031722197760173E-2</v>
      </c>
      <c r="U67" s="212">
        <f t="shared" ref="U67" si="135">U66/T66-1</f>
        <v>2.6218354528799726E-2</v>
      </c>
      <c r="V67" s="212">
        <f t="shared" ref="V67" si="136">V66/U66-1</f>
        <v>2.9378416318852185E-2</v>
      </c>
      <c r="W67" s="212">
        <f t="shared" ref="W67" si="137">W66/V66-1</f>
        <v>3.0077539232383765E-2</v>
      </c>
      <c r="X67" s="212">
        <f t="shared" ref="X67" si="138">X66/W66-1</f>
        <v>3.0977705255239796E-2</v>
      </c>
      <c r="Y67" s="212">
        <f t="shared" ref="Y67" si="139">Y66/X66-1</f>
        <v>3.4365925902849925E-2</v>
      </c>
      <c r="Z67" s="212">
        <f t="shared" ref="Z67" si="140">Z66/Y66-1</f>
        <v>3.5204693916532914E-2</v>
      </c>
      <c r="AA67" s="212">
        <f t="shared" ref="AA67" si="141">AA66/Z66-1</f>
        <v>3.6043461930215681E-2</v>
      </c>
      <c r="AB67" s="212">
        <f t="shared" ref="AB67" si="142">AB66/AA66-1</f>
        <v>3.7007018273112813E-2</v>
      </c>
      <c r="AC67" s="212">
        <f t="shared" ref="AC67" si="143">AC66/AB66-1</f>
        <v>3.7355943192743934E-2</v>
      </c>
      <c r="AD67" s="212">
        <f t="shared" ref="AD67" si="144">AD66/AC66-1</f>
        <v>3.656550742556397E-2</v>
      </c>
      <c r="AE67" s="212">
        <f t="shared" ref="AE67" si="145">AE66/AD66-1</f>
        <v>3.5408604296364388E-2</v>
      </c>
      <c r="AF67" s="212">
        <f>(AF66/AE66)^(1/5)-1</f>
        <v>3.4759608710357215E-2</v>
      </c>
      <c r="AG67" s="212">
        <f>(AG66/AF66)^(1/5)-1</f>
        <v>3.5273992558261025E-2</v>
      </c>
      <c r="AH67" s="212">
        <f t="shared" ref="AH67:AK67" si="146">(AH66/AG66)^(1/5)-1</f>
        <v>3.1148792311749718E-2</v>
      </c>
      <c r="AI67" s="212">
        <f t="shared" si="146"/>
        <v>2.2140450115355259E-2</v>
      </c>
      <c r="AJ67" s="212">
        <f t="shared" si="146"/>
        <v>1.3132107425591899E-2</v>
      </c>
      <c r="AK67" s="212">
        <f t="shared" si="146"/>
        <v>4.1237642291809262E-3</v>
      </c>
      <c r="AL67" s="211"/>
      <c r="AM67" s="211"/>
      <c r="AN67" s="212">
        <v>3.1148792311749718E-2</v>
      </c>
      <c r="AO67" s="212">
        <v>2.2140450115355259E-2</v>
      </c>
      <c r="AP67" s="212">
        <v>1.3132107425591899E-2</v>
      </c>
      <c r="AQ67" s="212">
        <v>4.1237642291809262E-3</v>
      </c>
    </row>
    <row r="68" spans="1:43">
      <c r="A68" t="s">
        <v>592</v>
      </c>
      <c r="B68">
        <f t="shared" si="123"/>
        <v>22</v>
      </c>
      <c r="C68" s="266">
        <v>52.325432882070082</v>
      </c>
      <c r="D68" s="265">
        <v>53.104386458423342</v>
      </c>
      <c r="E68" s="265">
        <v>53.912365691429272</v>
      </c>
      <c r="F68" s="265">
        <v>54.750491457321111</v>
      </c>
      <c r="G68" s="265">
        <v>55.619940469824826</v>
      </c>
      <c r="H68" s="265">
        <v>56.521948041648095</v>
      </c>
      <c r="I68" s="265">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7">AO68/AN68*AH68</f>
        <v>75.663198000000008</v>
      </c>
      <c r="AJ68" s="6">
        <f t="shared" ref="AJ68" si="148">AP68/AO68*AI68</f>
        <v>76.208045000000013</v>
      </c>
      <c r="AK68" s="6">
        <f t="shared" ref="AK68" si="149">AQ68/AP68*AJ68</f>
        <v>76.50215500000003</v>
      </c>
      <c r="AL68" s="107"/>
      <c r="AM68" s="107"/>
      <c r="AN68" s="107">
        <v>74.799050000000008</v>
      </c>
      <c r="AO68" s="107">
        <v>75.663198000000008</v>
      </c>
      <c r="AP68" s="107">
        <v>76.208044999999998</v>
      </c>
      <c r="AQ68" s="107">
        <v>76.502155000000002</v>
      </c>
    </row>
    <row r="69" spans="1:43">
      <c r="A69" t="s">
        <v>380</v>
      </c>
      <c r="B69">
        <f t="shared" si="123"/>
        <v>23</v>
      </c>
      <c r="C69" s="268">
        <v>0.5</v>
      </c>
      <c r="D69" s="268">
        <v>0.5</v>
      </c>
      <c r="E69" s="268">
        <v>0.5</v>
      </c>
      <c r="F69" s="268">
        <v>0.5</v>
      </c>
      <c r="G69" s="268">
        <v>0.5</v>
      </c>
      <c r="H69" s="268">
        <v>0.5</v>
      </c>
      <c r="I69" s="268">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 t="shared" ref="AI69:AI70" si="150">AO69/AN69*AH69</f>
        <v>0.21188609489452759</v>
      </c>
      <c r="AJ69" s="17">
        <f t="shared" ref="AJ69:AJ70" si="151">AP69/AO69*AI69</f>
        <v>0.17819185187839537</v>
      </c>
      <c r="AK69" s="17">
        <f t="shared" ref="AK69:AK70" si="152">AQ69/AP69*AJ69</f>
        <v>0.14450330331373529</v>
      </c>
      <c r="AL69" s="107"/>
      <c r="AM69" s="107"/>
      <c r="AN69" s="17">
        <v>0.24552291570350171</v>
      </c>
      <c r="AO69" s="17">
        <v>0.21188609489452759</v>
      </c>
      <c r="AP69" s="17">
        <v>0.17819185187839537</v>
      </c>
      <c r="AQ69" s="17">
        <v>0.14450330331373529</v>
      </c>
    </row>
    <row r="70" spans="1:43">
      <c r="A70" t="s">
        <v>381</v>
      </c>
      <c r="B70">
        <f t="shared" si="123"/>
        <v>24</v>
      </c>
      <c r="C70" s="268">
        <v>0.3</v>
      </c>
      <c r="D70" s="268">
        <v>0.3</v>
      </c>
      <c r="E70" s="268">
        <v>0.3</v>
      </c>
      <c r="F70" s="268">
        <v>0.3</v>
      </c>
      <c r="G70" s="268">
        <v>0.3</v>
      </c>
      <c r="H70" s="268">
        <v>0.3</v>
      </c>
      <c r="I70" s="268">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 t="shared" si="150"/>
        <v>0.41121086368233944</v>
      </c>
      <c r="AJ70" s="17">
        <f t="shared" si="151"/>
        <v>0.42692863962271316</v>
      </c>
      <c r="AK70" s="17">
        <f t="shared" si="152"/>
        <v>0.44263272457796082</v>
      </c>
      <c r="AL70" s="107"/>
      <c r="AM70" s="107"/>
      <c r="AN70" s="17">
        <v>0.39561454073212232</v>
      </c>
      <c r="AO70" s="17">
        <v>0.4112108636823395</v>
      </c>
      <c r="AP70" s="17">
        <v>0.42692863962271321</v>
      </c>
      <c r="AQ70" s="17">
        <v>0.44263272457796088</v>
      </c>
    </row>
    <row r="71" spans="1:43">
      <c r="A71" t="s">
        <v>382</v>
      </c>
      <c r="B71">
        <f t="shared" si="123"/>
        <v>25</v>
      </c>
      <c r="C71" s="268">
        <v>0.19999999999999996</v>
      </c>
      <c r="D71" s="268">
        <v>0.19999999999999996</v>
      </c>
      <c r="E71" s="268">
        <v>0.19999999999999996</v>
      </c>
      <c r="F71" s="268">
        <v>0.19999999999999996</v>
      </c>
      <c r="G71" s="268">
        <v>0.19999999999999996</v>
      </c>
      <c r="H71" s="268">
        <v>0.19999999999999996</v>
      </c>
      <c r="I71" s="268">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1-AI70-AI69</f>
        <v>0.37690304142313291</v>
      </c>
      <c r="AJ71" s="17">
        <f t="shared" ref="AJ71:AK71" si="153">1-AJ70-AJ69</f>
        <v>0.39487950849889142</v>
      </c>
      <c r="AK71" s="17">
        <f t="shared" si="153"/>
        <v>0.41286397210830383</v>
      </c>
      <c r="AL71" s="107"/>
      <c r="AM71" s="107"/>
      <c r="AN71" s="17">
        <v>0.35886254356437597</v>
      </c>
      <c r="AO71" s="17">
        <v>0.37690304142313291</v>
      </c>
      <c r="AP71" s="17">
        <v>0.39487950849889142</v>
      </c>
      <c r="AQ71" s="17">
        <v>0.41286397210830383</v>
      </c>
    </row>
    <row r="72" spans="1:43">
      <c r="A72" t="s">
        <v>383</v>
      </c>
      <c r="B72">
        <f t="shared" si="123"/>
        <v>26</v>
      </c>
      <c r="C72" s="265">
        <f>C69*C$68</f>
        <v>26.162716441035041</v>
      </c>
      <c r="D72" s="265">
        <f t="shared" ref="D72:I72" si="154">D69*D$68</f>
        <v>26.552193229211671</v>
      </c>
      <c r="E72" s="265">
        <f t="shared" si="154"/>
        <v>26.956182845714636</v>
      </c>
      <c r="F72" s="265">
        <f t="shared" si="154"/>
        <v>27.375245728660555</v>
      </c>
      <c r="G72" s="265">
        <f t="shared" si="154"/>
        <v>27.809970234912413</v>
      </c>
      <c r="H72" s="265">
        <f t="shared" si="154"/>
        <v>28.260974020824047</v>
      </c>
      <c r="I72" s="265">
        <f t="shared" si="154"/>
        <v>28.718000308649827</v>
      </c>
      <c r="J72" s="6">
        <f t="shared" ref="J72:K72" si="155">J69*J$30</f>
        <v>25.946710085536886</v>
      </c>
      <c r="K72" s="6">
        <f t="shared" si="155"/>
        <v>26.998265626975765</v>
      </c>
      <c r="L72" s="6">
        <f t="shared" ref="L72:L74" si="156">L69*L$30</f>
        <v>27.455328536696602</v>
      </c>
      <c r="M72" s="6">
        <f t="shared" ref="M72:AG72" si="157">M69*M$30</f>
        <v>27.182255123187865</v>
      </c>
      <c r="N72" s="6">
        <f t="shared" si="157"/>
        <v>27.370824378283928</v>
      </c>
      <c r="O72" s="6">
        <f t="shared" si="157"/>
        <v>27.411038436863816</v>
      </c>
      <c r="P72" s="6">
        <f t="shared" si="157"/>
        <v>27.448269217030393</v>
      </c>
      <c r="Q72" s="6">
        <f t="shared" si="157"/>
        <v>27.444135728614732</v>
      </c>
      <c r="R72" s="6">
        <f t="shared" si="157"/>
        <v>27.391748062452859</v>
      </c>
      <c r="S72" s="6">
        <f t="shared" si="157"/>
        <v>27.30718270689772</v>
      </c>
      <c r="T72" s="6">
        <f t="shared" si="157"/>
        <v>27.157765524251296</v>
      </c>
      <c r="U72" s="6">
        <f t="shared" si="157"/>
        <v>26.935271889842749</v>
      </c>
      <c r="V72" s="6">
        <f t="shared" si="157"/>
        <v>26.677960916785743</v>
      </c>
      <c r="W72" s="6">
        <f t="shared" si="157"/>
        <v>26.423184018205994</v>
      </c>
      <c r="X72" s="6">
        <f t="shared" si="157"/>
        <v>26.170599246297112</v>
      </c>
      <c r="Y72" s="6">
        <f t="shared" si="157"/>
        <v>25.883218136769703</v>
      </c>
      <c r="Z72" s="6">
        <f t="shared" si="157"/>
        <v>25.583358467507807</v>
      </c>
      <c r="AA72" s="6">
        <f t="shared" si="157"/>
        <v>25.306496393634095</v>
      </c>
      <c r="AB72" s="6">
        <f t="shared" si="157"/>
        <v>25.016238889567493</v>
      </c>
      <c r="AC72" s="6">
        <f t="shared" si="157"/>
        <v>24.73263863452279</v>
      </c>
      <c r="AD72" s="6">
        <f t="shared" si="157"/>
        <v>24.483958619794251</v>
      </c>
      <c r="AE72" s="6">
        <f t="shared" si="157"/>
        <v>24.254173810563351</v>
      </c>
      <c r="AF72" s="6">
        <f t="shared" si="157"/>
        <v>22.477099460091136</v>
      </c>
      <c r="AG72" s="6">
        <f t="shared" si="157"/>
        <v>20.518919007461761</v>
      </c>
      <c r="AH72" s="6">
        <f t="shared" ref="AH72:AK72" si="158">AH69*AH$30</f>
        <v>18.36488084785201</v>
      </c>
      <c r="AI72" s="6">
        <f t="shared" si="158"/>
        <v>16.031979551451432</v>
      </c>
      <c r="AJ72" s="6">
        <f t="shared" si="158"/>
        <v>13.579652666582088</v>
      </c>
      <c r="AK72" s="6">
        <f t="shared" si="158"/>
        <v>11.054814108119391</v>
      </c>
      <c r="AL72" s="6"/>
      <c r="AM72" s="6"/>
      <c r="AN72" s="6">
        <v>18.36488084785201</v>
      </c>
      <c r="AO72" s="6">
        <v>16.031979551451432</v>
      </c>
      <c r="AP72" s="6">
        <v>13.579652666582088</v>
      </c>
      <c r="AQ72" s="6">
        <v>11.054814108119391</v>
      </c>
    </row>
    <row r="73" spans="1:43">
      <c r="A73" t="s">
        <v>384</v>
      </c>
      <c r="B73">
        <f t="shared" si="123"/>
        <v>27</v>
      </c>
      <c r="C73" s="265">
        <f t="shared" ref="C73:I74" si="159">C70*C$68</f>
        <v>15.697629864621025</v>
      </c>
      <c r="D73" s="265">
        <f t="shared" si="159"/>
        <v>15.931315937527001</v>
      </c>
      <c r="E73" s="265">
        <f t="shared" si="159"/>
        <v>16.173709707428781</v>
      </c>
      <c r="F73" s="265">
        <f t="shared" si="159"/>
        <v>16.425147437196333</v>
      </c>
      <c r="G73" s="265">
        <f t="shared" si="159"/>
        <v>16.685982140947448</v>
      </c>
      <c r="H73" s="265">
        <f t="shared" si="159"/>
        <v>16.956584412494429</v>
      </c>
      <c r="I73" s="265">
        <f t="shared" si="159"/>
        <v>17.230800185189896</v>
      </c>
      <c r="J73" s="6">
        <f t="shared" ref="J73:K73" si="160">J70*J$30</f>
        <v>18.376375848815535</v>
      </c>
      <c r="K73" s="6">
        <f t="shared" si="160"/>
        <v>19.311259441517389</v>
      </c>
      <c r="L73" s="6">
        <f t="shared" si="156"/>
        <v>18.373603858247002</v>
      </c>
      <c r="M73" s="6">
        <f t="shared" ref="M73:AG73" si="161">M70*M$30</f>
        <v>18.779742356384702</v>
      </c>
      <c r="N73" s="6">
        <f t="shared" si="161"/>
        <v>18.963373944982962</v>
      </c>
      <c r="O73" s="6">
        <f t="shared" si="161"/>
        <v>19.248154081046206</v>
      </c>
      <c r="P73" s="6">
        <f t="shared" si="161"/>
        <v>19.563924728927525</v>
      </c>
      <c r="Q73" s="6">
        <f t="shared" si="161"/>
        <v>19.864880008719858</v>
      </c>
      <c r="R73" s="6">
        <f t="shared" si="161"/>
        <v>20.183675204378439</v>
      </c>
      <c r="S73" s="6">
        <f t="shared" si="161"/>
        <v>20.503077866928027</v>
      </c>
      <c r="T73" s="6">
        <f t="shared" si="161"/>
        <v>20.828923383789171</v>
      </c>
      <c r="U73" s="6">
        <f t="shared" si="161"/>
        <v>21.192390664584384</v>
      </c>
      <c r="V73" s="6">
        <f t="shared" si="161"/>
        <v>21.534295520700407</v>
      </c>
      <c r="W73" s="6">
        <f t="shared" si="161"/>
        <v>21.876525550799496</v>
      </c>
      <c r="X73" s="6">
        <f t="shared" si="161"/>
        <v>22.210468086026644</v>
      </c>
      <c r="Y73" s="6">
        <f t="shared" si="161"/>
        <v>22.550303412057676</v>
      </c>
      <c r="Z73" s="6">
        <f t="shared" si="161"/>
        <v>22.902334057806431</v>
      </c>
      <c r="AA73" s="6">
        <f t="shared" si="161"/>
        <v>23.199400490223521</v>
      </c>
      <c r="AB73" s="6">
        <f t="shared" si="161"/>
        <v>23.479511371874722</v>
      </c>
      <c r="AC73" s="6">
        <f t="shared" si="161"/>
        <v>23.7747285638774</v>
      </c>
      <c r="AD73" s="6">
        <f t="shared" si="161"/>
        <v>24.042275673128817</v>
      </c>
      <c r="AE73" s="6">
        <f t="shared" si="161"/>
        <v>24.300912429123557</v>
      </c>
      <c r="AF73" s="6">
        <f t="shared" si="161"/>
        <v>26.148786459925194</v>
      </c>
      <c r="AG73" s="6">
        <f t="shared" si="161"/>
        <v>27.961733624598693</v>
      </c>
      <c r="AH73" s="6">
        <f t="shared" ref="AH73:AK73" si="162">AH70*AH$30</f>
        <v>29.591591812949058</v>
      </c>
      <c r="AI73" s="6">
        <f t="shared" si="162"/>
        <v>31.113528998547864</v>
      </c>
      <c r="AJ73" s="6">
        <f t="shared" si="162"/>
        <v>32.535396980156506</v>
      </c>
      <c r="AK73" s="6">
        <f t="shared" si="162"/>
        <v>33.862357303735472</v>
      </c>
      <c r="AL73" s="6"/>
      <c r="AM73" s="6"/>
      <c r="AN73" s="6">
        <v>29.591591812949058</v>
      </c>
      <c r="AO73" s="6">
        <v>31.113528998547867</v>
      </c>
      <c r="AP73" s="6">
        <v>32.535396980156513</v>
      </c>
      <c r="AQ73" s="6">
        <v>33.862357303735472</v>
      </c>
    </row>
    <row r="74" spans="1:43">
      <c r="A74" t="s">
        <v>385</v>
      </c>
      <c r="B74">
        <f t="shared" si="123"/>
        <v>28</v>
      </c>
      <c r="C74" s="265">
        <f t="shared" si="159"/>
        <v>10.465086576414015</v>
      </c>
      <c r="D74" s="265">
        <f t="shared" si="159"/>
        <v>10.620877291684666</v>
      </c>
      <c r="E74" s="265">
        <f t="shared" si="159"/>
        <v>10.782473138285852</v>
      </c>
      <c r="F74" s="265">
        <f t="shared" si="159"/>
        <v>10.95009829146422</v>
      </c>
      <c r="G74" s="265">
        <f t="shared" si="159"/>
        <v>11.123988093964963</v>
      </c>
      <c r="H74" s="265">
        <f t="shared" si="159"/>
        <v>11.304389608329616</v>
      </c>
      <c r="I74" s="265">
        <f t="shared" si="159"/>
        <v>11.487200123459928</v>
      </c>
      <c r="J74" s="6">
        <f t="shared" ref="J74:K74" si="163">J71*J$30</f>
        <v>14.041748987467022</v>
      </c>
      <c r="K74" s="6">
        <f t="shared" si="163"/>
        <v>12.999164931506851</v>
      </c>
      <c r="L74" s="6">
        <f t="shared" si="156"/>
        <v>13.563322605056396</v>
      </c>
      <c r="M74" s="6">
        <f t="shared" ref="M74:AG74" si="164">M71*M$30</f>
        <v>13.931887520427432</v>
      </c>
      <c r="N74" s="6">
        <f t="shared" si="164"/>
        <v>14.080296676733113</v>
      </c>
      <c r="O74" s="6">
        <f t="shared" si="164"/>
        <v>14.361028482089978</v>
      </c>
      <c r="P74" s="6">
        <f t="shared" si="164"/>
        <v>14.660887054042076</v>
      </c>
      <c r="Q74" s="6">
        <f t="shared" si="164"/>
        <v>14.996023262665405</v>
      </c>
      <c r="R74" s="6">
        <f t="shared" si="164"/>
        <v>15.343492733168704</v>
      </c>
      <c r="S74" s="6">
        <f t="shared" si="164"/>
        <v>15.704241426174255</v>
      </c>
      <c r="T74" s="6">
        <f t="shared" si="164"/>
        <v>16.10704309195954</v>
      </c>
      <c r="U74" s="6">
        <f t="shared" si="164"/>
        <v>16.531615445572868</v>
      </c>
      <c r="V74" s="6">
        <f t="shared" si="164"/>
        <v>16.999269562513845</v>
      </c>
      <c r="W74" s="6">
        <f t="shared" si="164"/>
        <v>17.45321443099451</v>
      </c>
      <c r="X74" s="6">
        <f t="shared" si="164"/>
        <v>17.903121667676245</v>
      </c>
      <c r="Y74" s="6">
        <f t="shared" si="164"/>
        <v>18.370645451172628</v>
      </c>
      <c r="Z74" s="6">
        <f t="shared" si="164"/>
        <v>18.82844047468576</v>
      </c>
      <c r="AA74" s="6">
        <f t="shared" si="164"/>
        <v>19.310036116142385</v>
      </c>
      <c r="AB74" s="6">
        <f t="shared" si="164"/>
        <v>19.812495738557786</v>
      </c>
      <c r="AC74" s="6">
        <f t="shared" si="164"/>
        <v>20.281127801599805</v>
      </c>
      <c r="AD74" s="6">
        <f t="shared" si="164"/>
        <v>20.730588707076922</v>
      </c>
      <c r="AE74" s="6">
        <f t="shared" si="164"/>
        <v>21.158850760313094</v>
      </c>
      <c r="AF74" s="6">
        <f t="shared" si="164"/>
        <v>23.190315079983677</v>
      </c>
      <c r="AG74" s="6">
        <f t="shared" si="164"/>
        <v>25.049100367939545</v>
      </c>
      <c r="AH74" s="6">
        <f t="shared" ref="AH74:AK74" si="165">AH71*AH$30</f>
        <v>26.84257733919894</v>
      </c>
      <c r="AI74" s="6">
        <f t="shared" si="165"/>
        <v>28.517689450000709</v>
      </c>
      <c r="AJ74" s="6">
        <f t="shared" si="165"/>
        <v>30.092995353261401</v>
      </c>
      <c r="AK74" s="6">
        <f t="shared" si="165"/>
        <v>31.584983588145139</v>
      </c>
      <c r="AL74" s="6"/>
      <c r="AM74" s="6"/>
      <c r="AN74" s="6">
        <v>26.84257733919894</v>
      </c>
      <c r="AO74" s="6">
        <v>28.517689450000709</v>
      </c>
      <c r="AP74" s="6">
        <v>30.092995353261401</v>
      </c>
      <c r="AQ74" s="6">
        <v>31.584983588145139</v>
      </c>
    </row>
    <row r="75" spans="1:43">
      <c r="A75" t="s">
        <v>386</v>
      </c>
      <c r="B75">
        <f t="shared" si="123"/>
        <v>29</v>
      </c>
      <c r="C75" s="269">
        <v>0.33936777226430637</v>
      </c>
      <c r="D75" s="268">
        <v>0.34922378908645002</v>
      </c>
      <c r="E75" s="268">
        <v>0.35473666462293074</v>
      </c>
      <c r="F75" s="268">
        <v>0.35856192519926422</v>
      </c>
      <c r="G75" s="268">
        <v>0.35979950950337214</v>
      </c>
      <c r="H75" s="268">
        <v>0.36519987737584303</v>
      </c>
      <c r="I75" s="268">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s="17">
        <f t="shared" ref="AI75" si="166">AO75/AN75*AH75</f>
        <v>0.82133769911310128</v>
      </c>
      <c r="AJ75" s="17">
        <f t="shared" ref="AJ75" si="167">AP75/AO75*AI75</f>
        <v>0.86510354931807643</v>
      </c>
      <c r="AK75" s="17">
        <f t="shared" ref="AK75" si="168">AQ75/AP75*AJ75</f>
        <v>0.87937509313274786</v>
      </c>
      <c r="AL75" s="107"/>
      <c r="AM75" s="107"/>
      <c r="AN75">
        <v>0.75273856178520915</v>
      </c>
      <c r="AO75">
        <v>0.82133769911310128</v>
      </c>
      <c r="AP75">
        <v>0.86510354931807654</v>
      </c>
      <c r="AQ75">
        <v>0.87937509313274809</v>
      </c>
    </row>
    <row r="76" spans="1:43">
      <c r="A76" t="s">
        <v>263</v>
      </c>
      <c r="C76" s="92"/>
      <c r="D76" s="274">
        <f>(D75/C75)^(1/(D$5-C$5))-1</f>
        <v>2.9042288713459818E-2</v>
      </c>
      <c r="E76" s="274">
        <f t="shared" ref="E76" si="169">(E75/D75)^(1/(E$5-D$5))-1</f>
        <v>1.5786082474226859E-2</v>
      </c>
      <c r="F76" s="274">
        <f t="shared" ref="F76" si="170">(F75/E75)^(1/(F$5-E$5))-1</f>
        <v>1.0783380907072537E-2</v>
      </c>
      <c r="G76" s="274">
        <f t="shared" ref="G76" si="171">(G75/F75)^(1/(G$5-F$5))-1</f>
        <v>3.4515218073423171E-3</v>
      </c>
      <c r="H76" s="274">
        <f t="shared" ref="H76" si="172">(H75/G75)^(1/(H$5-G$5))-1</f>
        <v>1.5009380863039379E-2</v>
      </c>
      <c r="I76" s="274">
        <f t="shared" ref="I76" si="173">(I75/H75)^(1/(I$5-H$5))-1</f>
        <v>9.2421441774492852E-3</v>
      </c>
      <c r="J76" s="92">
        <f t="shared" ref="J76" si="174">(J75/I75)^(1/(J$5-I$5))-1</f>
        <v>-0.11497007382565971</v>
      </c>
      <c r="K76" s="92">
        <f t="shared" ref="K76" si="175">(K75/J75)^(1/(K$5-J$5))-1</f>
        <v>-8.2158185162476971E-2</v>
      </c>
      <c r="L76" s="92">
        <f t="shared" ref="L76" si="176">(L75/K75)^(1/(L$5-K$5))-1</f>
        <v>3.937369073554664E-2</v>
      </c>
      <c r="M76" s="92">
        <f t="shared" ref="M76" si="177">(M75/L75)^(1/(M$5-L$5))-1</f>
        <v>3.7882131409043618E-2</v>
      </c>
      <c r="N76" s="92">
        <f t="shared" ref="N76" si="178">(N75/M75)^(1/(N$5-M$5))-1</f>
        <v>1.363222840595979E-3</v>
      </c>
      <c r="O76" s="92">
        <f t="shared" ref="O76" si="179">(O75/N75)^(1/(O$5-N$5))-1</f>
        <v>7.4709398602781363E-3</v>
      </c>
      <c r="P76" s="92">
        <f t="shared" ref="P76" si="180">(P75/O75)^(1/(P$5-O$5))-1</f>
        <v>9.9255248131606688E-3</v>
      </c>
      <c r="Q76" s="92">
        <f t="shared" ref="Q76" si="181">(Q75/P75)^(1/(Q$5-P$5))-1</f>
        <v>9.827976983745268E-3</v>
      </c>
      <c r="R76" s="92">
        <f t="shared" ref="R76" si="182">(R75/Q75)^(1/(R$5-Q$5))-1</f>
        <v>1.2668792565232678E-2</v>
      </c>
      <c r="S76" s="92">
        <f t="shared" ref="S76" si="183">(S75/R75)^(1/(S$5-R$5))-1</f>
        <v>1.39056489891205E-2</v>
      </c>
      <c r="T76" s="92">
        <f t="shared" ref="T76" si="184">(T75/S75)^(1/(T$5-S$5))-1</f>
        <v>6.1630899506907033E-2</v>
      </c>
      <c r="U76" s="92">
        <f t="shared" ref="U76" si="185">(U75/T75)^(1/(U$5-T$5))-1</f>
        <v>2.1603136455769834E-2</v>
      </c>
      <c r="V76" s="92">
        <f t="shared" ref="V76" si="186">(V75/U75)^(1/(V$5-U$5))-1</f>
        <v>2.2906126843344365E-2</v>
      </c>
      <c r="W76" s="92">
        <f t="shared" ref="W76" si="187">(W75/V75)^(1/(W$5-V$5))-1</f>
        <v>2.4710292201524542E-2</v>
      </c>
      <c r="X76" s="92">
        <f t="shared" ref="X76" si="188">(X75/W75)^(1/(X$5-W$5))-1</f>
        <v>2.4593878278995618E-2</v>
      </c>
      <c r="Y76" s="92">
        <f t="shared" ref="Y76" si="189">(Y75/X75)^(1/(Y$5-X$5))-1</f>
        <v>2.7049395012064714E-2</v>
      </c>
      <c r="Z76" s="92">
        <f t="shared" ref="Z76" si="190">(Z75/Y75)^(1/(Z$5-Y$5))-1</f>
        <v>2.7747030285103724E-2</v>
      </c>
      <c r="AA76" s="92">
        <f t="shared" ref="AA76" si="191">(AA75/Z75)^(1/(AA$5-Z$5))-1</f>
        <v>2.7177507873510809E-2</v>
      </c>
      <c r="AB76" s="92">
        <f t="shared" ref="AB76" si="192">(AB75/AA75)^(1/(AB$5-AA$5))-1</f>
        <v>2.9349970386757684E-2</v>
      </c>
      <c r="AC76" s="92">
        <f t="shared" ref="AC76" si="193">(AC75/AB75)^(1/(AC$5-AB$5))-1</f>
        <v>3.2543972955716649E-2</v>
      </c>
      <c r="AD76" s="92">
        <f t="shared" ref="AD76" si="194">(AD75/AC75)^(1/(AD$5-AC$5))-1</f>
        <v>7.6480766215882401E-2</v>
      </c>
      <c r="AE76" s="92">
        <f t="shared" ref="AE76" si="195">(AE75/AD75)^(1/(AE$5-AD$5))-1</f>
        <v>2.83490620566762E-2</v>
      </c>
      <c r="AF76" s="92">
        <f t="shared" ref="AF76" si="196">(AF75/AE75)^(1/(AF$5-AE$5))-1</f>
        <v>2.7565153237630202E-2</v>
      </c>
      <c r="AG76" s="92">
        <f t="shared" ref="AG76" si="197">(AG75/AF75)^(1/(AG$5-AF$5))-1</f>
        <v>2.7785589548525946E-2</v>
      </c>
      <c r="AH76" s="291">
        <f t="shared" ref="AH76" si="198">(AH75/AG75)^(1/(AH$5-AG$5))-1</f>
        <v>2.4755534538967172E-2</v>
      </c>
      <c r="AI76" s="291">
        <f>(AI75/AH75)^(1/(AI$5-AH$5))-1</f>
        <v>1.7596298267333221E-2</v>
      </c>
      <c r="AJ76" s="291">
        <f t="shared" ref="AJ76" si="199">(AJ75/AI75)^(1/(AJ$5-AI$5))-1</f>
        <v>1.0437061796241043E-2</v>
      </c>
      <c r="AK76" s="291">
        <f t="shared" ref="AK76" si="200">(AK75/AJ75)^(1/(AK$5-AJ$5))-1</f>
        <v>3.2778251214204968E-3</v>
      </c>
      <c r="AL76" s="92"/>
      <c r="AM76" s="92"/>
      <c r="AN76" s="291">
        <v>2.4755534538967172E-2</v>
      </c>
      <c r="AO76" s="291">
        <v>1.7596298267333221E-2</v>
      </c>
      <c r="AP76" s="291">
        <v>1.0437061796241043E-2</v>
      </c>
      <c r="AQ76" s="291">
        <v>3.2778251214204968E-3</v>
      </c>
    </row>
    <row r="78" spans="1:43">
      <c r="A78" t="s">
        <v>636</v>
      </c>
      <c r="L78">
        <f>L69/K69</f>
        <v>1.0154985221388417</v>
      </c>
      <c r="M78">
        <f t="shared" ref="M78:AG80" si="201">M69/L69</f>
        <v>0.98176189032794514</v>
      </c>
      <c r="N78">
        <f t="shared" si="201"/>
        <v>0.99826013597339702</v>
      </c>
      <c r="O78">
        <f t="shared" si="201"/>
        <v>0.99152800245779926</v>
      </c>
      <c r="P78">
        <f t="shared" si="201"/>
        <v>0.99075804450520166</v>
      </c>
      <c r="Q78">
        <f t="shared" si="201"/>
        <v>0.98970796776809622</v>
      </c>
      <c r="R78">
        <f t="shared" si="201"/>
        <v>0.98835310386224784</v>
      </c>
      <c r="S78">
        <f t="shared" si="201"/>
        <v>0.98756452754709656</v>
      </c>
      <c r="T78">
        <f t="shared" si="201"/>
        <v>0.98554049877806327</v>
      </c>
      <c r="U78">
        <f t="shared" si="201"/>
        <v>0.98313246722570857</v>
      </c>
      <c r="V78">
        <f t="shared" si="201"/>
        <v>0.9820593977284604</v>
      </c>
      <c r="W78">
        <f t="shared" si="201"/>
        <v>0.98229472090122694</v>
      </c>
      <c r="X78">
        <f t="shared" si="201"/>
        <v>0.98250244826749511</v>
      </c>
      <c r="Y78">
        <f t="shared" si="201"/>
        <v>0.98132078894011099</v>
      </c>
      <c r="Z78">
        <f t="shared" si="201"/>
        <v>0.98092675497906812</v>
      </c>
      <c r="AA78">
        <f t="shared" si="201"/>
        <v>0.98185867569828567</v>
      </c>
      <c r="AB78">
        <f t="shared" si="201"/>
        <v>0.98140575462001578</v>
      </c>
      <c r="AC78">
        <f t="shared" si="201"/>
        <v>0.98176096987643235</v>
      </c>
      <c r="AD78">
        <f t="shared" si="201"/>
        <v>0.98325106863301392</v>
      </c>
      <c r="AE78">
        <f t="shared" si="201"/>
        <v>0.98411942554625387</v>
      </c>
      <c r="AF78">
        <f t="shared" si="201"/>
        <v>0.89960314232211847</v>
      </c>
      <c r="AG78">
        <f t="shared" si="201"/>
        <v>0.89160712529686847</v>
      </c>
      <c r="AH78">
        <f t="shared" ref="AH78:AH80" si="202">AH69/AG69</f>
        <v>0.87983384217039851</v>
      </c>
      <c r="AI78">
        <f t="shared" ref="AI78:AI80" si="203">AI69/AH69</f>
        <v>0.86299926134147653</v>
      </c>
      <c r="AJ78">
        <f t="shared" ref="AJ78:AJ80" si="204">AJ69/AI69</f>
        <v>0.84097945156380127</v>
      </c>
      <c r="AK78">
        <f t="shared" ref="AK78:AK80" si="205">AK69/AJ69</f>
        <v>0.8109422613349887</v>
      </c>
      <c r="AN78">
        <v>0.87983384217039851</v>
      </c>
      <c r="AO78">
        <v>0.86299926134147653</v>
      </c>
      <c r="AP78">
        <v>0.84097945156380127</v>
      </c>
      <c r="AQ78">
        <v>0.8109422613349887</v>
      </c>
    </row>
    <row r="79" spans="1:43">
      <c r="A79" t="s">
        <v>637</v>
      </c>
      <c r="L79">
        <f t="shared" ref="L79:AA80" si="206">L70/K70</f>
        <v>0.95010645075266564</v>
      </c>
      <c r="M79">
        <f t="shared" si="206"/>
        <v>1.0135440107622837</v>
      </c>
      <c r="N79">
        <f t="shared" si="206"/>
        <v>1.0010766096709707</v>
      </c>
      <c r="O79">
        <f t="shared" si="206"/>
        <v>1.0049416610398885</v>
      </c>
      <c r="P79">
        <f t="shared" si="206"/>
        <v>1.0056457624121267</v>
      </c>
      <c r="Q79">
        <f t="shared" si="206"/>
        <v>1.0050841763234954</v>
      </c>
      <c r="R79">
        <f t="shared" si="206"/>
        <v>1.0061349683944441</v>
      </c>
      <c r="S79">
        <f t="shared" si="206"/>
        <v>1.0062992446046222</v>
      </c>
      <c r="T79">
        <f t="shared" si="206"/>
        <v>1.0067116596211174</v>
      </c>
      <c r="U79">
        <f t="shared" si="206"/>
        <v>1.0085509387337628</v>
      </c>
      <c r="V79">
        <f t="shared" si="206"/>
        <v>1.0075281874852948</v>
      </c>
      <c r="W79">
        <f t="shared" si="206"/>
        <v>1.0075276467743257</v>
      </c>
      <c r="X79">
        <f t="shared" si="206"/>
        <v>1.0071275743922723</v>
      </c>
      <c r="Y79">
        <f t="shared" si="206"/>
        <v>1.0073979718597705</v>
      </c>
      <c r="Z79">
        <f t="shared" si="206"/>
        <v>1.0079167254367234</v>
      </c>
      <c r="AA79">
        <f t="shared" si="206"/>
        <v>1.0054755919313414</v>
      </c>
      <c r="AB79">
        <f t="shared" si="201"/>
        <v>1.0047798099518033</v>
      </c>
      <c r="AC79">
        <f t="shared" si="201"/>
        <v>1.0055040834975462</v>
      </c>
      <c r="AD79">
        <f t="shared" si="201"/>
        <v>1.0044151335730478</v>
      </c>
      <c r="AE79">
        <f t="shared" si="201"/>
        <v>1.0041300488298472</v>
      </c>
      <c r="AF79">
        <f t="shared" si="201"/>
        <v>1.0445425598913864</v>
      </c>
      <c r="AG79">
        <f t="shared" si="201"/>
        <v>1.0444120556143639</v>
      </c>
      <c r="AH79">
        <f t="shared" si="202"/>
        <v>1.0403303262159191</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c r="A80" t="s">
        <v>638</v>
      </c>
      <c r="L80">
        <f t="shared" si="206"/>
        <v>1.0419314670838784</v>
      </c>
      <c r="M80">
        <f t="shared" si="201"/>
        <v>1.0185707449325603</v>
      </c>
      <c r="N80">
        <f t="shared" si="201"/>
        <v>1.0019433817256895</v>
      </c>
      <c r="O80">
        <f t="shared" si="201"/>
        <v>1.0098133579017834</v>
      </c>
      <c r="P80">
        <f t="shared" si="201"/>
        <v>1.0100731707806665</v>
      </c>
      <c r="Q80">
        <f t="shared" si="201"/>
        <v>1.0124843761441933</v>
      </c>
      <c r="R80">
        <f t="shared" si="201"/>
        <v>1.0131880688596289</v>
      </c>
      <c r="S80">
        <f t="shared" si="201"/>
        <v>1.0139138737865971</v>
      </c>
      <c r="T80">
        <f t="shared" si="201"/>
        <v>1.0163801965920627</v>
      </c>
      <c r="U80">
        <f t="shared" si="201"/>
        <v>1.0173823122415047</v>
      </c>
      <c r="V80">
        <f t="shared" si="201"/>
        <v>1.0195803435503656</v>
      </c>
      <c r="W80">
        <f t="shared" si="201"/>
        <v>1.018250088479578</v>
      </c>
      <c r="X80">
        <f t="shared" si="201"/>
        <v>1.0175563342328584</v>
      </c>
      <c r="Y80">
        <f t="shared" si="201"/>
        <v>1.0181272146286386</v>
      </c>
      <c r="Z80">
        <f t="shared" si="201"/>
        <v>1.0171552165470947</v>
      </c>
      <c r="AA80">
        <f t="shared" si="201"/>
        <v>1.0179893904418502</v>
      </c>
      <c r="AB80">
        <f t="shared" si="201"/>
        <v>1.0186258832530726</v>
      </c>
      <c r="AC80">
        <f t="shared" si="201"/>
        <v>1.016506690925179</v>
      </c>
      <c r="AD80">
        <f t="shared" si="201"/>
        <v>1.015249480589399</v>
      </c>
      <c r="AE80">
        <f t="shared" si="201"/>
        <v>1.0139660073992294</v>
      </c>
      <c r="AF80">
        <f t="shared" si="201"/>
        <v>1.0639268173960192</v>
      </c>
      <c r="AG80">
        <f t="shared" si="201"/>
        <v>1.0549814033385723</v>
      </c>
      <c r="AH80">
        <f t="shared" si="202"/>
        <v>1.0534140468778366</v>
      </c>
      <c r="AI80">
        <f t="shared" si="203"/>
        <v>1.0502713314116625</v>
      </c>
      <c r="AJ80">
        <f t="shared" si="204"/>
        <v>1.0476952030099886</v>
      </c>
      <c r="AK80">
        <f t="shared" si="205"/>
        <v>1.0455441804964232</v>
      </c>
      <c r="AN80">
        <v>1.0534140468778366</v>
      </c>
      <c r="AO80">
        <v>1.0502713314116625</v>
      </c>
      <c r="AP80">
        <v>1.0476952030099886</v>
      </c>
      <c r="AQ80">
        <v>1.0455441804964232</v>
      </c>
    </row>
    <row r="81" spans="1:43">
      <c r="A81" t="s">
        <v>380</v>
      </c>
      <c r="K81" s="17">
        <f>K69</f>
        <v>0.45521601685985247</v>
      </c>
      <c r="L81">
        <f>K81*L78</f>
        <v>0.46227119237511022</v>
      </c>
      <c r="M81">
        <f t="shared" ref="M81:AG83" si="207">L81*M78</f>
        <v>0.45384023967034137</v>
      </c>
      <c r="N81">
        <f t="shared" si="207"/>
        <v>0.4530506193635141</v>
      </c>
      <c r="O81">
        <f t="shared" si="207"/>
        <v>0.4492123756297739</v>
      </c>
      <c r="P81">
        <f t="shared" si="207"/>
        <v>0.44506077484649087</v>
      </c>
      <c r="Q81">
        <f t="shared" si="207"/>
        <v>0.44048019500661473</v>
      </c>
      <c r="R81">
        <f t="shared" si="207"/>
        <v>0.43534996792463587</v>
      </c>
      <c r="S81">
        <f t="shared" si="207"/>
        <v>0.42993618539113665</v>
      </c>
      <c r="T81">
        <f t="shared" si="207"/>
        <v>0.42371952259311868</v>
      </c>
      <c r="U81">
        <f t="shared" si="207"/>
        <v>0.41657241965867214</v>
      </c>
      <c r="V81">
        <f t="shared" si="207"/>
        <v>0.40909885956028302</v>
      </c>
      <c r="W81">
        <f t="shared" si="207"/>
        <v>0.40185565007277846</v>
      </c>
      <c r="X81">
        <f t="shared" si="207"/>
        <v>0.39482416004663062</v>
      </c>
      <c r="Y81">
        <f t="shared" si="207"/>
        <v>0.38744915622957621</v>
      </c>
      <c r="Z81">
        <f t="shared" si="207"/>
        <v>0.3800592435396562</v>
      </c>
      <c r="AA81">
        <f t="shared" si="207"/>
        <v>0.37316446554873905</v>
      </c>
      <c r="AB81">
        <f t="shared" si="207"/>
        <v>0.36622575390923512</v>
      </c>
      <c r="AC81">
        <f t="shared" si="207"/>
        <v>0.35954615135165829</v>
      </c>
      <c r="AD81">
        <f t="shared" si="207"/>
        <v>0.35352413753940537</v>
      </c>
      <c r="AE81">
        <f t="shared" si="207"/>
        <v>0.34790997115201444</v>
      </c>
      <c r="AF81">
        <f t="shared" si="207"/>
        <v>0.31298090329354977</v>
      </c>
      <c r="AG81">
        <f t="shared" si="207"/>
        <v>0.27905600345837911</v>
      </c>
      <c r="AH81">
        <f t="shared" ref="AH81:AH83" si="208">AG81*AH78</f>
        <v>0.24552291570350171</v>
      </c>
      <c r="AI81">
        <f t="shared" ref="AI81:AI83" si="209">AH81*AI78</f>
        <v>0.21188609489452759</v>
      </c>
      <c r="AJ81">
        <f t="shared" ref="AJ81:AJ83" si="210">AI81*AJ78</f>
        <v>0.17819185187839537</v>
      </c>
      <c r="AK81">
        <f t="shared" ref="AK81:AK83" si="211">AJ81*AK78</f>
        <v>0.14450330331373529</v>
      </c>
      <c r="AN81">
        <v>0.24552291570350171</v>
      </c>
      <c r="AO81">
        <v>0.21188609489452759</v>
      </c>
      <c r="AP81">
        <v>0.17819185187839537</v>
      </c>
      <c r="AQ81">
        <v>0.14450330331373529</v>
      </c>
    </row>
    <row r="82" spans="1:43">
      <c r="A82" t="s">
        <v>381</v>
      </c>
      <c r="K82" s="17">
        <f t="shared" ref="K82:K83" si="212">K70</f>
        <v>0.32560590094836672</v>
      </c>
      <c r="L82">
        <f t="shared" ref="L82:AA83" si="213">K82*L79</f>
        <v>0.30936026689417673</v>
      </c>
      <c r="M82">
        <f t="shared" si="213"/>
        <v>0.31355024567841444</v>
      </c>
      <c r="N82">
        <f t="shared" si="213"/>
        <v>0.31388781690524703</v>
      </c>
      <c r="O82">
        <f t="shared" si="213"/>
        <v>0.31543894410094331</v>
      </c>
      <c r="P82">
        <f t="shared" si="213"/>
        <v>0.31721983743486931</v>
      </c>
      <c r="Q82">
        <f t="shared" si="213"/>
        <v>0.31883263902169873</v>
      </c>
      <c r="R82">
        <f t="shared" si="213"/>
        <v>0.32078866718521404</v>
      </c>
      <c r="S82">
        <f t="shared" si="213"/>
        <v>0.32280939346620441</v>
      </c>
      <c r="T82">
        <f t="shared" si="213"/>
        <v>0.32497598023764895</v>
      </c>
      <c r="U82">
        <f t="shared" si="213"/>
        <v>0.32775482993460558</v>
      </c>
      <c r="V82">
        <f t="shared" si="213"/>
        <v>0.33022222974356419</v>
      </c>
      <c r="W82">
        <f t="shared" si="213"/>
        <v>0.332708026046104</v>
      </c>
      <c r="X82">
        <f t="shared" si="213"/>
        <v>0.33507942725265366</v>
      </c>
      <c r="Y82">
        <f t="shared" si="213"/>
        <v>0.33755833542625679</v>
      </c>
      <c r="Z82">
        <f t="shared" si="213"/>
        <v>0.34023069208670387</v>
      </c>
      <c r="AA82">
        <f t="shared" si="213"/>
        <v>0.34209365651908852</v>
      </c>
      <c r="AB82">
        <f t="shared" si="207"/>
        <v>0.34372879918296723</v>
      </c>
      <c r="AC82">
        <f t="shared" si="207"/>
        <v>0.34562071119418153</v>
      </c>
      <c r="AD82">
        <f t="shared" si="207"/>
        <v>0.34714667279971562</v>
      </c>
      <c r="AE82">
        <f t="shared" si="207"/>
        <v>0.34858040550949743</v>
      </c>
      <c r="AF82">
        <f t="shared" si="207"/>
        <v>0.36410706909886797</v>
      </c>
      <c r="AG82">
        <f t="shared" si="207"/>
        <v>0.38027781250126996</v>
      </c>
      <c r="AH82">
        <f t="shared" si="208"/>
        <v>0.39561454073212232</v>
      </c>
      <c r="AI82">
        <f t="shared" si="209"/>
        <v>0.41121086368233944</v>
      </c>
      <c r="AJ82">
        <f t="shared" si="210"/>
        <v>0.42692863962271316</v>
      </c>
      <c r="AK82">
        <f t="shared" si="211"/>
        <v>0.44263272457796082</v>
      </c>
      <c r="AN82">
        <v>0.39561454073212232</v>
      </c>
      <c r="AO82">
        <v>0.41121086368233944</v>
      </c>
      <c r="AP82">
        <v>0.42692863962271316</v>
      </c>
      <c r="AQ82">
        <v>0.44263272457796082</v>
      </c>
    </row>
    <row r="83" spans="1:43">
      <c r="A83" t="s">
        <v>382</v>
      </c>
      <c r="K83" s="17">
        <f t="shared" si="212"/>
        <v>0.21917808219178081</v>
      </c>
      <c r="L83">
        <f t="shared" si="213"/>
        <v>0.22836854073071305</v>
      </c>
      <c r="M83">
        <f t="shared" si="207"/>
        <v>0.23260951465124413</v>
      </c>
      <c r="N83">
        <f t="shared" si="207"/>
        <v>0.23306156373123887</v>
      </c>
      <c r="O83">
        <f t="shared" si="207"/>
        <v>0.23534868026928282</v>
      </c>
      <c r="P83">
        <f t="shared" si="207"/>
        <v>0.23771938771863979</v>
      </c>
      <c r="Q83">
        <f t="shared" si="207"/>
        <v>0.2406871659716866</v>
      </c>
      <c r="R83">
        <f t="shared" si="207"/>
        <v>0.24386136489015012</v>
      </c>
      <c r="S83">
        <f t="shared" si="207"/>
        <v>0.24725442114265897</v>
      </c>
      <c r="T83">
        <f t="shared" si="207"/>
        <v>0.25130449716923237</v>
      </c>
      <c r="U83">
        <f t="shared" si="207"/>
        <v>0.25567275040672227</v>
      </c>
      <c r="V83">
        <f t="shared" si="207"/>
        <v>0.26067891069615279</v>
      </c>
      <c r="W83">
        <f t="shared" si="207"/>
        <v>0.2654363238811176</v>
      </c>
      <c r="X83">
        <f t="shared" si="207"/>
        <v>0.27009641270071577</v>
      </c>
      <c r="Y83">
        <f t="shared" si="207"/>
        <v>0.274992508344167</v>
      </c>
      <c r="Z83">
        <f t="shared" si="207"/>
        <v>0.27971006437363993</v>
      </c>
      <c r="AA83">
        <f t="shared" si="207"/>
        <v>0.28474187793217243</v>
      </c>
      <c r="AB83">
        <f t="shared" si="207"/>
        <v>0.29004544690779771</v>
      </c>
      <c r="AC83">
        <f t="shared" si="207"/>
        <v>0.29483313745416012</v>
      </c>
      <c r="AD83">
        <f t="shared" si="207"/>
        <v>0.29932918966087896</v>
      </c>
      <c r="AE83">
        <f t="shared" si="207"/>
        <v>0.30350962333848813</v>
      </c>
      <c r="AF83">
        <f t="shared" si="207"/>
        <v>0.32291202760758225</v>
      </c>
      <c r="AG83">
        <f t="shared" si="207"/>
        <v>0.34066618404035093</v>
      </c>
      <c r="AH83">
        <f t="shared" si="208"/>
        <v>0.35886254356437591</v>
      </c>
      <c r="AI83">
        <f t="shared" si="209"/>
        <v>0.37690304142313286</v>
      </c>
      <c r="AJ83">
        <f t="shared" si="210"/>
        <v>0.39487950849889136</v>
      </c>
      <c r="AK83">
        <f t="shared" si="211"/>
        <v>0.41286397210830372</v>
      </c>
      <c r="AN83">
        <v>0.35886254356437591</v>
      </c>
      <c r="AO83">
        <v>0.37690304142313286</v>
      </c>
      <c r="AP83">
        <v>0.39487950849889136</v>
      </c>
      <c r="AQ83">
        <v>0.41286397210830372</v>
      </c>
    </row>
    <row r="86" spans="1:43">
      <c r="A86" t="s">
        <v>694</v>
      </c>
    </row>
    <row r="87" spans="1:43">
      <c r="C87">
        <f>C5</f>
        <v>2012</v>
      </c>
      <c r="D87">
        <f>D5</f>
        <v>2013</v>
      </c>
      <c r="E87">
        <f t="shared" ref="E87:AG87" si="214">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ref="AH87:AK87" si="215">AH5</f>
        <v>2055</v>
      </c>
      <c r="AI87">
        <f t="shared" si="215"/>
        <v>2060</v>
      </c>
      <c r="AJ87">
        <f t="shared" si="215"/>
        <v>2065</v>
      </c>
      <c r="AK87">
        <f t="shared" si="215"/>
        <v>2070</v>
      </c>
      <c r="AN87">
        <v>2055</v>
      </c>
      <c r="AO87">
        <v>2060</v>
      </c>
      <c r="AP87">
        <v>2065</v>
      </c>
      <c r="AQ87">
        <v>2070</v>
      </c>
    </row>
    <row r="88" spans="1:43">
      <c r="A88" t="s">
        <v>372</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243.43715137097897</v>
      </c>
      <c r="AI88" s="17">
        <f t="shared" ref="AI88:AI89" si="216">AO88/AN88*AH88</f>
        <v>257.32860266185997</v>
      </c>
      <c r="AJ88" s="17">
        <f t="shared" ref="AJ88:AJ89" si="217">AP88/AO88*AI88</f>
        <v>271.22005395274101</v>
      </c>
      <c r="AK88" s="17">
        <f t="shared" ref="AK88:AK89" si="218">AQ88/AP88*AJ88</f>
        <v>285.11150524362205</v>
      </c>
      <c r="AN88" s="3">
        <v>242.96109523809537</v>
      </c>
      <c r="AO88" s="3">
        <v>256.82538095238124</v>
      </c>
      <c r="AP88" s="3">
        <v>270.68966666666711</v>
      </c>
      <c r="AQ88" s="3">
        <v>284.55395238095298</v>
      </c>
    </row>
    <row r="89" spans="1:43">
      <c r="A89" t="s">
        <v>692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23.944135932656788</v>
      </c>
      <c r="AI89" s="17">
        <f t="shared" si="216"/>
        <v>26.699601671526349</v>
      </c>
      <c r="AJ89" s="17">
        <f t="shared" si="217"/>
        <v>29.455067410395912</v>
      </c>
      <c r="AK89" s="17">
        <f t="shared" si="218"/>
        <v>32.210533149265473</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722</v>
      </c>
    </row>
    <row r="4" spans="2:9">
      <c r="B4" t="s">
        <v>723</v>
      </c>
      <c r="C4" t="s">
        <v>724</v>
      </c>
      <c r="D4" t="s">
        <v>725</v>
      </c>
      <c r="E4" t="s">
        <v>726</v>
      </c>
      <c r="F4" t="s">
        <v>727</v>
      </c>
      <c r="G4" t="s">
        <v>728</v>
      </c>
      <c r="H4" t="s">
        <v>729</v>
      </c>
      <c r="I4" t="s">
        <v>17</v>
      </c>
    </row>
    <row r="5" spans="2:9">
      <c r="B5" t="s">
        <v>97</v>
      </c>
      <c r="C5" t="s">
        <v>730</v>
      </c>
      <c r="F5" t="s">
        <v>272</v>
      </c>
      <c r="G5">
        <v>2017</v>
      </c>
      <c r="H5" t="s">
        <v>289</v>
      </c>
      <c r="I5">
        <v>2.5043970166379799</v>
      </c>
    </row>
    <row r="6" spans="2:9">
      <c r="B6" t="s">
        <v>97</v>
      </c>
      <c r="C6" t="s">
        <v>730</v>
      </c>
      <c r="F6" t="s">
        <v>272</v>
      </c>
      <c r="G6">
        <v>2017</v>
      </c>
      <c r="H6" t="s">
        <v>290</v>
      </c>
      <c r="I6">
        <v>5.7709645233647997</v>
      </c>
    </row>
    <row r="7" spans="2:9">
      <c r="B7" t="s">
        <v>97</v>
      </c>
      <c r="C7" t="s">
        <v>730</v>
      </c>
      <c r="F7" t="s">
        <v>272</v>
      </c>
      <c r="G7">
        <v>2017</v>
      </c>
      <c r="H7" t="s">
        <v>291</v>
      </c>
      <c r="I7">
        <v>10.1217912486754</v>
      </c>
    </row>
    <row r="8" spans="2:9">
      <c r="B8" t="s">
        <v>97</v>
      </c>
      <c r="C8" t="s">
        <v>730</v>
      </c>
      <c r="F8" t="s">
        <v>272</v>
      </c>
      <c r="G8">
        <v>2017</v>
      </c>
      <c r="H8" t="s">
        <v>292</v>
      </c>
      <c r="I8">
        <v>4.6040183871857696</v>
      </c>
    </row>
    <row r="9" spans="2:9">
      <c r="B9" t="s">
        <v>97</v>
      </c>
      <c r="C9" t="s">
        <v>730</v>
      </c>
      <c r="F9" t="s">
        <v>272</v>
      </c>
      <c r="G9">
        <v>2017</v>
      </c>
      <c r="H9" t="s">
        <v>293</v>
      </c>
      <c r="I9">
        <v>7.9249894633578597</v>
      </c>
    </row>
    <row r="10" spans="2:9">
      <c r="B10" t="s">
        <v>97</v>
      </c>
      <c r="C10" t="s">
        <v>730</v>
      </c>
      <c r="F10" t="s">
        <v>272</v>
      </c>
      <c r="G10">
        <v>2017</v>
      </c>
      <c r="H10" t="s">
        <v>294</v>
      </c>
      <c r="I10">
        <v>0.3034425</v>
      </c>
    </row>
    <row r="11" spans="2:9">
      <c r="B11" t="s">
        <v>97</v>
      </c>
      <c r="C11" t="s">
        <v>730</v>
      </c>
      <c r="F11" t="s">
        <v>272</v>
      </c>
      <c r="G11">
        <v>2017</v>
      </c>
      <c r="H11" t="s">
        <v>295</v>
      </c>
      <c r="I11">
        <v>4.0458999999999996</v>
      </c>
    </row>
    <row r="12" spans="2:9">
      <c r="B12" t="s">
        <v>97</v>
      </c>
      <c r="C12" t="s">
        <v>730</v>
      </c>
      <c r="F12" t="s">
        <v>272</v>
      </c>
      <c r="G12">
        <v>2017</v>
      </c>
      <c r="H12" t="s">
        <v>296</v>
      </c>
      <c r="I12">
        <v>2.4599072</v>
      </c>
    </row>
    <row r="13" spans="2:9">
      <c r="B13" t="s">
        <v>97</v>
      </c>
      <c r="C13" t="s">
        <v>730</v>
      </c>
      <c r="F13" t="s">
        <v>272</v>
      </c>
      <c r="G13">
        <v>2017</v>
      </c>
      <c r="H13" t="s">
        <v>297</v>
      </c>
      <c r="I13">
        <v>2.5893760000000001</v>
      </c>
    </row>
    <row r="14" spans="2:9">
      <c r="B14" t="s">
        <v>97</v>
      </c>
      <c r="C14" t="s">
        <v>730</v>
      </c>
      <c r="F14" t="s">
        <v>272</v>
      </c>
      <c r="G14">
        <v>2017</v>
      </c>
      <c r="H14" t="s">
        <v>298</v>
      </c>
      <c r="I14">
        <v>0.72826199999999996</v>
      </c>
    </row>
    <row r="15" spans="2:9">
      <c r="B15" t="s">
        <v>97</v>
      </c>
      <c r="C15" t="s">
        <v>730</v>
      </c>
      <c r="F15" t="s">
        <v>272</v>
      </c>
      <c r="G15">
        <v>2017</v>
      </c>
      <c r="H15" t="s">
        <v>299</v>
      </c>
      <c r="I15">
        <v>0.80918000000000001</v>
      </c>
    </row>
    <row r="16" spans="2:9">
      <c r="B16" t="s">
        <v>97</v>
      </c>
      <c r="C16" t="s">
        <v>730</v>
      </c>
      <c r="F16" t="s">
        <v>272</v>
      </c>
      <c r="G16">
        <v>2017</v>
      </c>
      <c r="H16" t="s">
        <v>300</v>
      </c>
      <c r="I16">
        <v>0.485508</v>
      </c>
    </row>
    <row r="17" spans="2:9">
      <c r="B17" t="s">
        <v>97</v>
      </c>
      <c r="C17" t="s">
        <v>730</v>
      </c>
      <c r="F17" t="s">
        <v>272</v>
      </c>
      <c r="G17">
        <v>2017</v>
      </c>
      <c r="H17" t="s">
        <v>301</v>
      </c>
      <c r="I17">
        <v>6.4734400000000001</v>
      </c>
    </row>
    <row r="18" spans="2:9">
      <c r="B18" t="s">
        <v>97</v>
      </c>
      <c r="C18" t="s">
        <v>730</v>
      </c>
      <c r="F18" t="s">
        <v>272</v>
      </c>
      <c r="G18">
        <v>2017</v>
      </c>
      <c r="H18" t="s">
        <v>302</v>
      </c>
      <c r="I18">
        <v>11.328519999999999</v>
      </c>
    </row>
    <row r="19" spans="2:9">
      <c r="B19" t="s">
        <v>97</v>
      </c>
      <c r="C19" t="s">
        <v>730</v>
      </c>
      <c r="F19" t="s">
        <v>272</v>
      </c>
      <c r="G19">
        <v>2017</v>
      </c>
      <c r="H19" t="s">
        <v>303</v>
      </c>
      <c r="I19">
        <v>19.307168399999998</v>
      </c>
    </row>
    <row r="20" spans="2:9">
      <c r="B20" t="s">
        <v>97</v>
      </c>
      <c r="C20" t="s">
        <v>730</v>
      </c>
      <c r="F20" t="s">
        <v>272</v>
      </c>
      <c r="G20">
        <v>2017</v>
      </c>
      <c r="H20" t="s">
        <v>304</v>
      </c>
      <c r="I20">
        <v>26.6</v>
      </c>
    </row>
    <row r="21" spans="2:9">
      <c r="B21" t="s">
        <v>97</v>
      </c>
      <c r="C21" t="s">
        <v>730</v>
      </c>
      <c r="F21" t="s">
        <v>272</v>
      </c>
      <c r="G21">
        <v>2017</v>
      </c>
      <c r="H21" t="s">
        <v>305</v>
      </c>
      <c r="I21">
        <v>2.9904E-2</v>
      </c>
    </row>
    <row r="22" spans="2:9">
      <c r="B22" t="s">
        <v>97</v>
      </c>
      <c r="C22" t="s">
        <v>730</v>
      </c>
      <c r="F22" t="s">
        <v>272</v>
      </c>
      <c r="G22">
        <v>2017</v>
      </c>
      <c r="H22" t="s">
        <v>306</v>
      </c>
      <c r="I22">
        <v>6.8779199999999996</v>
      </c>
    </row>
    <row r="23" spans="2:9">
      <c r="B23" t="s">
        <v>97</v>
      </c>
      <c r="C23" t="s">
        <v>730</v>
      </c>
      <c r="F23" t="s">
        <v>272</v>
      </c>
      <c r="G23">
        <v>2017</v>
      </c>
      <c r="H23" t="s">
        <v>307</v>
      </c>
      <c r="I23">
        <v>0</v>
      </c>
    </row>
    <row r="24" spans="2:9">
      <c r="B24" t="s">
        <v>97</v>
      </c>
      <c r="C24" t="s">
        <v>730</v>
      </c>
      <c r="F24" t="s">
        <v>272</v>
      </c>
      <c r="G24">
        <v>2017</v>
      </c>
      <c r="H24" t="s">
        <v>308</v>
      </c>
      <c r="I24">
        <v>0.478464</v>
      </c>
    </row>
    <row r="25" spans="2:9">
      <c r="B25" t="s">
        <v>97</v>
      </c>
      <c r="C25" t="s">
        <v>730</v>
      </c>
      <c r="F25" t="s">
        <v>272</v>
      </c>
      <c r="G25">
        <v>2017</v>
      </c>
      <c r="H25" t="s">
        <v>309</v>
      </c>
      <c r="I25">
        <v>0.80740800000000001</v>
      </c>
    </row>
    <row r="26" spans="2:9">
      <c r="B26" t="s">
        <v>97</v>
      </c>
      <c r="C26" t="s">
        <v>730</v>
      </c>
      <c r="F26" t="s">
        <v>272</v>
      </c>
      <c r="G26">
        <v>2017</v>
      </c>
      <c r="H26" t="s">
        <v>310</v>
      </c>
      <c r="I26">
        <v>1.04664</v>
      </c>
    </row>
    <row r="27" spans="2:9">
      <c r="B27" t="s">
        <v>97</v>
      </c>
      <c r="C27" t="s">
        <v>730</v>
      </c>
      <c r="F27" t="s">
        <v>272</v>
      </c>
      <c r="G27">
        <v>2017</v>
      </c>
      <c r="H27" t="s">
        <v>311</v>
      </c>
      <c r="I27">
        <v>0.22428000000000001</v>
      </c>
    </row>
    <row r="28" spans="2:9">
      <c r="B28" t="s">
        <v>97</v>
      </c>
      <c r="C28" t="s">
        <v>730</v>
      </c>
      <c r="F28" t="s">
        <v>272</v>
      </c>
      <c r="G28">
        <v>2017</v>
      </c>
      <c r="H28" t="s">
        <v>312</v>
      </c>
      <c r="I28">
        <v>2.5119359999999999</v>
      </c>
    </row>
    <row r="29" spans="2:9">
      <c r="B29" t="s">
        <v>97</v>
      </c>
      <c r="C29" t="s">
        <v>730</v>
      </c>
      <c r="F29" t="s">
        <v>272</v>
      </c>
      <c r="G29">
        <v>2017</v>
      </c>
      <c r="H29" t="s">
        <v>313</v>
      </c>
      <c r="I29">
        <v>3.3492479999999998</v>
      </c>
    </row>
    <row r="30" spans="2:9">
      <c r="B30" t="s">
        <v>97</v>
      </c>
      <c r="C30" t="s">
        <v>730</v>
      </c>
      <c r="F30" t="s">
        <v>272</v>
      </c>
      <c r="G30">
        <v>2017</v>
      </c>
      <c r="H30" t="s">
        <v>314</v>
      </c>
      <c r="I30">
        <v>40.544747177343801</v>
      </c>
    </row>
    <row r="31" spans="2:9">
      <c r="B31" t="s">
        <v>97</v>
      </c>
      <c r="C31" t="s">
        <v>730</v>
      </c>
      <c r="F31" t="s">
        <v>272</v>
      </c>
      <c r="G31">
        <v>2017</v>
      </c>
      <c r="H31" t="s">
        <v>315</v>
      </c>
      <c r="I31">
        <v>0.71939570019765298</v>
      </c>
    </row>
    <row r="32" spans="2:9">
      <c r="B32" t="s">
        <v>97</v>
      </c>
      <c r="C32" t="s">
        <v>730</v>
      </c>
      <c r="F32" t="s">
        <v>272</v>
      </c>
      <c r="G32">
        <v>2017</v>
      </c>
      <c r="H32" t="s">
        <v>316</v>
      </c>
      <c r="I32">
        <v>12.569563545045501</v>
      </c>
    </row>
    <row r="33" spans="2:9">
      <c r="B33" t="s">
        <v>97</v>
      </c>
      <c r="C33" t="s">
        <v>730</v>
      </c>
      <c r="F33" t="s">
        <v>272</v>
      </c>
      <c r="G33">
        <v>2017</v>
      </c>
      <c r="H33" t="s">
        <v>317</v>
      </c>
      <c r="I33">
        <v>0.13532728977530001</v>
      </c>
    </row>
    <row r="34" spans="2:9">
      <c r="B34" t="s">
        <v>97</v>
      </c>
      <c r="C34" t="s">
        <v>730</v>
      </c>
      <c r="F34" t="s">
        <v>272</v>
      </c>
      <c r="G34">
        <v>2017</v>
      </c>
      <c r="H34" t="s">
        <v>318</v>
      </c>
      <c r="I34">
        <v>4.2655424211891404</v>
      </c>
    </row>
    <row r="35" spans="2:9">
      <c r="B35" t="s">
        <v>97</v>
      </c>
      <c r="C35" t="s">
        <v>730</v>
      </c>
      <c r="F35" t="s">
        <v>272</v>
      </c>
      <c r="G35">
        <v>2017</v>
      </c>
      <c r="H35" t="s">
        <v>319</v>
      </c>
      <c r="I35">
        <v>5.5741217756416299</v>
      </c>
    </row>
    <row r="36" spans="2:9">
      <c r="B36" t="s">
        <v>97</v>
      </c>
      <c r="C36" t="s">
        <v>730</v>
      </c>
      <c r="F36" t="s">
        <v>272</v>
      </c>
      <c r="G36">
        <v>2017</v>
      </c>
      <c r="H36" t="s">
        <v>320</v>
      </c>
      <c r="I36">
        <v>1.54836715990045</v>
      </c>
    </row>
    <row r="37" spans="2:9">
      <c r="B37" t="s">
        <v>97</v>
      </c>
      <c r="C37" t="s">
        <v>730</v>
      </c>
      <c r="F37" t="s">
        <v>272</v>
      </c>
      <c r="G37">
        <v>2017</v>
      </c>
      <c r="H37" t="s">
        <v>321</v>
      </c>
      <c r="I37">
        <v>1.0451478329328101</v>
      </c>
    </row>
    <row r="38" spans="2:9">
      <c r="B38" t="s">
        <v>97</v>
      </c>
      <c r="C38" t="s">
        <v>730</v>
      </c>
      <c r="F38" t="s">
        <v>272</v>
      </c>
      <c r="G38">
        <v>2017</v>
      </c>
      <c r="H38" t="s">
        <v>322</v>
      </c>
      <c r="I38">
        <v>20.9296501227637</v>
      </c>
    </row>
    <row r="39" spans="2:9">
      <c r="B39" t="s">
        <v>97</v>
      </c>
      <c r="C39" t="s">
        <v>730</v>
      </c>
      <c r="F39" t="s">
        <v>272</v>
      </c>
      <c r="G39">
        <v>2017</v>
      </c>
      <c r="H39" t="s">
        <v>323</v>
      </c>
      <c r="I39">
        <v>11.078357924751099</v>
      </c>
    </row>
    <row r="40" spans="2:9">
      <c r="B40" t="s">
        <v>97</v>
      </c>
      <c r="C40" t="s">
        <v>730</v>
      </c>
      <c r="F40" t="s">
        <v>272</v>
      </c>
      <c r="G40">
        <v>2017</v>
      </c>
      <c r="H40" t="s">
        <v>324</v>
      </c>
      <c r="I40">
        <v>25.406351025250501</v>
      </c>
    </row>
    <row r="41" spans="2:9">
      <c r="B41" t="s">
        <v>97</v>
      </c>
      <c r="C41" t="s">
        <v>730</v>
      </c>
      <c r="F41" t="s">
        <v>272</v>
      </c>
      <c r="G41">
        <v>2017</v>
      </c>
      <c r="H41" t="s">
        <v>325</v>
      </c>
      <c r="I41">
        <v>25.233177191199999</v>
      </c>
    </row>
    <row r="42" spans="2:9">
      <c r="B42" t="s">
        <v>97</v>
      </c>
      <c r="C42" t="s">
        <v>730</v>
      </c>
      <c r="F42" t="s">
        <v>272</v>
      </c>
      <c r="G42">
        <v>2017</v>
      </c>
      <c r="H42" t="s">
        <v>326</v>
      </c>
      <c r="I42">
        <v>0</v>
      </c>
    </row>
    <row r="43" spans="2:9">
      <c r="B43" t="s">
        <v>97</v>
      </c>
      <c r="C43" t="s">
        <v>730</v>
      </c>
      <c r="F43" t="s">
        <v>272</v>
      </c>
      <c r="G43">
        <v>2017</v>
      </c>
      <c r="H43" t="s">
        <v>327</v>
      </c>
      <c r="I43">
        <v>0</v>
      </c>
    </row>
    <row r="44" spans="2:9">
      <c r="B44" t="s">
        <v>97</v>
      </c>
      <c r="C44" t="s">
        <v>730</v>
      </c>
      <c r="F44" t="s">
        <v>272</v>
      </c>
      <c r="G44">
        <v>2017</v>
      </c>
      <c r="H44" t="s">
        <v>328</v>
      </c>
      <c r="I44">
        <v>6.8830524422467798</v>
      </c>
    </row>
    <row r="45" spans="2:9">
      <c r="B45" t="s">
        <v>97</v>
      </c>
      <c r="C45" t="s">
        <v>730</v>
      </c>
      <c r="F45" t="s">
        <v>272</v>
      </c>
      <c r="G45">
        <v>2017</v>
      </c>
      <c r="H45" t="s">
        <v>329</v>
      </c>
      <c r="I45">
        <v>0</v>
      </c>
    </row>
    <row r="46" spans="2:9">
      <c r="B46" t="s">
        <v>97</v>
      </c>
      <c r="C46" t="s">
        <v>730</v>
      </c>
      <c r="F46" t="s">
        <v>272</v>
      </c>
      <c r="G46">
        <v>2017</v>
      </c>
      <c r="H46" t="s">
        <v>330</v>
      </c>
      <c r="I46">
        <v>9.0566479503247102E-2</v>
      </c>
    </row>
    <row r="47" spans="2:9">
      <c r="B47" t="s">
        <v>97</v>
      </c>
      <c r="C47" t="s">
        <v>730</v>
      </c>
      <c r="F47" t="s">
        <v>272</v>
      </c>
      <c r="G47">
        <v>2017</v>
      </c>
      <c r="H47" t="s">
        <v>331</v>
      </c>
      <c r="I47">
        <v>0.100629421670275</v>
      </c>
    </row>
    <row r="48" spans="2:9">
      <c r="B48" t="s">
        <v>97</v>
      </c>
      <c r="C48" t="s">
        <v>730</v>
      </c>
      <c r="F48" t="s">
        <v>272</v>
      </c>
      <c r="G48">
        <v>2017</v>
      </c>
      <c r="H48" t="s">
        <v>332</v>
      </c>
      <c r="I48">
        <v>3.01888265010824E-2</v>
      </c>
    </row>
    <row r="49" spans="2:9">
      <c r="B49" t="s">
        <v>97</v>
      </c>
      <c r="C49" t="s">
        <v>730</v>
      </c>
      <c r="F49" t="s">
        <v>272</v>
      </c>
      <c r="G49">
        <v>2017</v>
      </c>
      <c r="H49" t="s">
        <v>333</v>
      </c>
      <c r="I49">
        <v>0.56352476135353802</v>
      </c>
    </row>
    <row r="50" spans="2:9">
      <c r="B50" t="s">
        <v>97</v>
      </c>
      <c r="C50" t="s">
        <v>730</v>
      </c>
      <c r="F50" t="s">
        <v>272</v>
      </c>
      <c r="G50">
        <v>2017</v>
      </c>
      <c r="H50" t="s">
        <v>334</v>
      </c>
      <c r="I50">
        <v>0</v>
      </c>
    </row>
    <row r="51" spans="2:9">
      <c r="B51" t="s">
        <v>97</v>
      </c>
      <c r="C51" t="s">
        <v>730</v>
      </c>
      <c r="F51" t="s">
        <v>272</v>
      </c>
      <c r="G51">
        <v>2017</v>
      </c>
      <c r="H51" t="s">
        <v>335</v>
      </c>
      <c r="I51">
        <v>1.9115200000000001</v>
      </c>
    </row>
    <row r="52" spans="2:9">
      <c r="B52" t="s">
        <v>97</v>
      </c>
      <c r="C52" t="s">
        <v>730</v>
      </c>
      <c r="F52" t="s">
        <v>272</v>
      </c>
      <c r="G52">
        <v>2017</v>
      </c>
      <c r="H52" t="s">
        <v>336</v>
      </c>
      <c r="I52">
        <v>0.12355272</v>
      </c>
    </row>
    <row r="53" spans="2:9">
      <c r="B53" t="s">
        <v>97</v>
      </c>
      <c r="C53" t="s">
        <v>730</v>
      </c>
      <c r="F53" t="s">
        <v>272</v>
      </c>
      <c r="G53">
        <v>2017</v>
      </c>
      <c r="H53" t="s">
        <v>337</v>
      </c>
      <c r="I53">
        <v>2.3241024000000001</v>
      </c>
    </row>
    <row r="54" spans="2:9">
      <c r="B54" t="s">
        <v>97</v>
      </c>
      <c r="C54" t="s">
        <v>730</v>
      </c>
      <c r="F54" t="s">
        <v>272</v>
      </c>
      <c r="G54">
        <v>2017</v>
      </c>
      <c r="H54" t="s">
        <v>338</v>
      </c>
      <c r="I54">
        <v>0.22371068159999999</v>
      </c>
    </row>
    <row r="55" spans="2:9">
      <c r="B55" t="s">
        <v>97</v>
      </c>
      <c r="C55" t="s">
        <v>730</v>
      </c>
      <c r="F55" t="s">
        <v>272</v>
      </c>
      <c r="G55">
        <v>2017</v>
      </c>
      <c r="H55" t="s">
        <v>339</v>
      </c>
      <c r="I55">
        <v>1.0010822399999999</v>
      </c>
    </row>
    <row r="56" spans="2:9">
      <c r="B56" t="s">
        <v>97</v>
      </c>
      <c r="C56" t="s">
        <v>730</v>
      </c>
      <c r="F56" t="s">
        <v>272</v>
      </c>
      <c r="G56">
        <v>2017</v>
      </c>
      <c r="H56" t="s">
        <v>340</v>
      </c>
      <c r="I56">
        <v>1.72747728</v>
      </c>
    </row>
    <row r="57" spans="2:9">
      <c r="B57" t="s">
        <v>97</v>
      </c>
      <c r="C57" t="s">
        <v>730</v>
      </c>
      <c r="F57" t="s">
        <v>272</v>
      </c>
      <c r="G57">
        <v>2017</v>
      </c>
      <c r="H57" t="s">
        <v>341</v>
      </c>
      <c r="I57">
        <v>2.1816719999999998</v>
      </c>
    </row>
    <row r="58" spans="2:9">
      <c r="B58" t="s">
        <v>97</v>
      </c>
      <c r="C58" t="s">
        <v>730</v>
      </c>
      <c r="F58" t="s">
        <v>272</v>
      </c>
      <c r="G58">
        <v>2017</v>
      </c>
      <c r="H58" t="s">
        <v>342</v>
      </c>
      <c r="I58">
        <v>0.54733968</v>
      </c>
    </row>
    <row r="59" spans="2:9">
      <c r="B59" t="s">
        <v>97</v>
      </c>
      <c r="C59" t="s">
        <v>730</v>
      </c>
      <c r="F59" t="s">
        <v>272</v>
      </c>
      <c r="G59">
        <v>2017</v>
      </c>
      <c r="H59" t="s">
        <v>343</v>
      </c>
      <c r="I59">
        <v>6.6708069119999998</v>
      </c>
    </row>
    <row r="60" spans="2:9">
      <c r="B60" t="s">
        <v>97</v>
      </c>
      <c r="C60" t="s">
        <v>730</v>
      </c>
      <c r="F60" t="s">
        <v>272</v>
      </c>
      <c r="G60">
        <v>2017</v>
      </c>
      <c r="H60" t="s">
        <v>344</v>
      </c>
      <c r="I60">
        <v>2.351232</v>
      </c>
    </row>
    <row r="61" spans="2:9">
      <c r="B61" t="s">
        <v>97</v>
      </c>
      <c r="C61" t="s">
        <v>730</v>
      </c>
      <c r="F61" t="s">
        <v>272</v>
      </c>
      <c r="G61">
        <v>2017</v>
      </c>
      <c r="H61" t="s">
        <v>345</v>
      </c>
      <c r="I61">
        <v>68.533420800000002</v>
      </c>
    </row>
    <row r="62" spans="2:9">
      <c r="B62" t="s">
        <v>97</v>
      </c>
      <c r="C62" t="s">
        <v>730</v>
      </c>
      <c r="F62" t="s">
        <v>272</v>
      </c>
      <c r="G62">
        <v>2017</v>
      </c>
      <c r="H62" t="s">
        <v>346</v>
      </c>
      <c r="I62">
        <v>5.1732793164602802</v>
      </c>
    </row>
    <row r="63" spans="2:9">
      <c r="B63" t="s">
        <v>97</v>
      </c>
      <c r="C63" t="s">
        <v>730</v>
      </c>
      <c r="F63" t="s">
        <v>272</v>
      </c>
      <c r="G63">
        <v>2017</v>
      </c>
      <c r="H63" t="s">
        <v>347</v>
      </c>
      <c r="I63">
        <v>7.6194416260697402</v>
      </c>
    </row>
    <row r="64" spans="2:9">
      <c r="B64" t="s">
        <v>97</v>
      </c>
      <c r="C64" t="s">
        <v>730</v>
      </c>
      <c r="F64" t="s">
        <v>272</v>
      </c>
      <c r="G64">
        <v>2017</v>
      </c>
      <c r="H64" t="s">
        <v>348</v>
      </c>
      <c r="I64">
        <v>18.7538979805365</v>
      </c>
    </row>
    <row r="65" spans="2:9">
      <c r="B65" t="s">
        <v>97</v>
      </c>
      <c r="C65" t="s">
        <v>730</v>
      </c>
      <c r="F65" t="s">
        <v>272</v>
      </c>
      <c r="G65">
        <v>2017</v>
      </c>
      <c r="H65" t="s">
        <v>349</v>
      </c>
      <c r="I65">
        <v>14.27502736796</v>
      </c>
    </row>
    <row r="66" spans="2:9">
      <c r="B66" t="s">
        <v>97</v>
      </c>
      <c r="C66" t="s">
        <v>730</v>
      </c>
      <c r="F66" t="s">
        <v>272</v>
      </c>
      <c r="G66">
        <v>2017</v>
      </c>
      <c r="H66" t="s">
        <v>350</v>
      </c>
      <c r="I66">
        <v>8.0408397122186805</v>
      </c>
    </row>
    <row r="67" spans="2:9">
      <c r="B67" t="s">
        <v>97</v>
      </c>
      <c r="C67" t="s">
        <v>730</v>
      </c>
      <c r="F67" t="s">
        <v>272</v>
      </c>
      <c r="G67">
        <v>2017</v>
      </c>
      <c r="H67" t="s">
        <v>504</v>
      </c>
      <c r="I67">
        <v>34.754847546913702</v>
      </c>
    </row>
    <row r="68" spans="2:9">
      <c r="B68" t="s">
        <v>97</v>
      </c>
      <c r="C68" t="s">
        <v>730</v>
      </c>
      <c r="F68" t="s">
        <v>272</v>
      </c>
      <c r="G68">
        <v>2017</v>
      </c>
      <c r="H68" t="s">
        <v>351</v>
      </c>
      <c r="I68">
        <v>9.2994915751840495</v>
      </c>
    </row>
    <row r="69" spans="2:9">
      <c r="B69" t="s">
        <v>97</v>
      </c>
      <c r="C69" t="s">
        <v>730</v>
      </c>
      <c r="F69" t="s">
        <v>272</v>
      </c>
      <c r="G69">
        <v>2017</v>
      </c>
      <c r="H69" t="s">
        <v>352</v>
      </c>
      <c r="I69">
        <v>11.428450394710399</v>
      </c>
    </row>
    <row r="70" spans="2:9">
      <c r="B70" t="s">
        <v>97</v>
      </c>
      <c r="C70" t="s">
        <v>730</v>
      </c>
      <c r="F70" t="s">
        <v>272</v>
      </c>
      <c r="G70">
        <v>2017</v>
      </c>
      <c r="H70" t="s">
        <v>353</v>
      </c>
      <c r="I70">
        <v>15.5426860393993</v>
      </c>
    </row>
    <row r="71" spans="2:9">
      <c r="B71" t="s">
        <v>97</v>
      </c>
      <c r="C71" t="s">
        <v>730</v>
      </c>
      <c r="F71" t="s">
        <v>272</v>
      </c>
      <c r="G71">
        <v>2017</v>
      </c>
      <c r="H71" t="s">
        <v>354</v>
      </c>
      <c r="I71">
        <v>5.7452488569507203</v>
      </c>
    </row>
    <row r="72" spans="2:9">
      <c r="B72" t="s">
        <v>97</v>
      </c>
      <c r="C72" t="s">
        <v>730</v>
      </c>
      <c r="F72" t="s">
        <v>272</v>
      </c>
      <c r="G72">
        <v>2017</v>
      </c>
      <c r="H72" t="s">
        <v>355</v>
      </c>
      <c r="I72">
        <v>4.25340304491049</v>
      </c>
    </row>
    <row r="73" spans="2:9">
      <c r="B73" t="s">
        <v>97</v>
      </c>
      <c r="C73" t="s">
        <v>730</v>
      </c>
      <c r="F73" t="s">
        <v>272</v>
      </c>
      <c r="G73">
        <v>2017</v>
      </c>
      <c r="H73" t="s">
        <v>356</v>
      </c>
      <c r="I73">
        <v>4.5736255741133904</v>
      </c>
    </row>
    <row r="74" spans="2:9">
      <c r="B74" t="s">
        <v>97</v>
      </c>
      <c r="C74" t="s">
        <v>730</v>
      </c>
      <c r="F74" t="s">
        <v>272</v>
      </c>
      <c r="G74">
        <v>2017</v>
      </c>
      <c r="H74" t="s">
        <v>357</v>
      </c>
      <c r="I74">
        <v>3.6541482196776102E-2</v>
      </c>
    </row>
    <row r="75" spans="2:9">
      <c r="B75" t="s">
        <v>97</v>
      </c>
      <c r="C75" t="s">
        <v>730</v>
      </c>
      <c r="F75" t="s">
        <v>272</v>
      </c>
      <c r="G75">
        <v>2017</v>
      </c>
      <c r="H75" t="s">
        <v>358</v>
      </c>
      <c r="I75">
        <v>9.6822001330816203</v>
      </c>
    </row>
    <row r="76" spans="2:9">
      <c r="B76" t="s">
        <v>97</v>
      </c>
      <c r="C76" t="s">
        <v>730</v>
      </c>
      <c r="F76" t="s">
        <v>272</v>
      </c>
      <c r="G76">
        <v>2017</v>
      </c>
      <c r="H76" t="s">
        <v>359</v>
      </c>
      <c r="I76">
        <v>10.2728758528227</v>
      </c>
    </row>
    <row r="77" spans="2:9">
      <c r="B77" t="s">
        <v>97</v>
      </c>
      <c r="C77" t="s">
        <v>730</v>
      </c>
      <c r="F77" t="s">
        <v>272</v>
      </c>
      <c r="G77">
        <v>2017</v>
      </c>
      <c r="H77" t="s">
        <v>360</v>
      </c>
      <c r="I77">
        <v>14.579147778971199</v>
      </c>
    </row>
    <row r="78" spans="2:9">
      <c r="B78" t="s">
        <v>97</v>
      </c>
      <c r="C78" t="s">
        <v>730</v>
      </c>
      <c r="F78" t="s">
        <v>272</v>
      </c>
      <c r="G78">
        <v>2017</v>
      </c>
      <c r="H78" t="s">
        <v>361</v>
      </c>
      <c r="I78">
        <v>7.7618829459684902</v>
      </c>
    </row>
    <row r="79" spans="2:9">
      <c r="B79" t="s">
        <v>97</v>
      </c>
      <c r="C79" t="s">
        <v>730</v>
      </c>
      <c r="F79" t="s">
        <v>272</v>
      </c>
      <c r="G79">
        <v>2017</v>
      </c>
      <c r="H79" t="s">
        <v>362</v>
      </c>
      <c r="I79">
        <v>6.4871161947221303</v>
      </c>
    </row>
    <row r="80" spans="2:9">
      <c r="B80" t="s">
        <v>97</v>
      </c>
      <c r="C80" t="s">
        <v>730</v>
      </c>
      <c r="F80" t="s">
        <v>272</v>
      </c>
      <c r="G80">
        <v>2017</v>
      </c>
      <c r="H80" t="s">
        <v>363</v>
      </c>
      <c r="I80">
        <v>4.3678647382810798</v>
      </c>
    </row>
    <row r="81" spans="2:9">
      <c r="B81" t="s">
        <v>97</v>
      </c>
      <c r="C81" t="s">
        <v>730</v>
      </c>
      <c r="F81" t="s">
        <v>272</v>
      </c>
      <c r="G81">
        <v>2017</v>
      </c>
      <c r="H81" t="s">
        <v>527</v>
      </c>
      <c r="I81">
        <v>7.1740496070211197</v>
      </c>
    </row>
    <row r="82" spans="2:9">
      <c r="B82" t="s">
        <v>97</v>
      </c>
      <c r="C82" t="s">
        <v>730</v>
      </c>
      <c r="F82" t="s">
        <v>272</v>
      </c>
      <c r="G82">
        <v>2017</v>
      </c>
      <c r="H82" t="s">
        <v>364</v>
      </c>
      <c r="I82">
        <v>7.1482186957706306E-2</v>
      </c>
    </row>
    <row r="83" spans="2:9">
      <c r="B83" t="s">
        <v>97</v>
      </c>
      <c r="C83" t="s">
        <v>730</v>
      </c>
      <c r="F83" t="s">
        <v>272</v>
      </c>
      <c r="G83">
        <v>2017</v>
      </c>
      <c r="H83" t="s">
        <v>122</v>
      </c>
      <c r="I83">
        <v>1.641128256</v>
      </c>
    </row>
    <row r="84" spans="2:9">
      <c r="B84" t="s">
        <v>97</v>
      </c>
      <c r="C84" t="s">
        <v>730</v>
      </c>
      <c r="F84" t="s">
        <v>272</v>
      </c>
      <c r="G84">
        <v>2017</v>
      </c>
      <c r="H84" t="s">
        <v>586</v>
      </c>
      <c r="I84">
        <v>68.938999999999993</v>
      </c>
    </row>
    <row r="85" spans="2:9">
      <c r="B85" t="s">
        <v>97</v>
      </c>
      <c r="C85" t="s">
        <v>730</v>
      </c>
      <c r="F85" t="s">
        <v>272</v>
      </c>
      <c r="G85">
        <v>2017</v>
      </c>
      <c r="H85" t="s">
        <v>587</v>
      </c>
      <c r="I85">
        <v>20.483000000000001</v>
      </c>
    </row>
    <row r="86" spans="2:9">
      <c r="B86" t="s">
        <v>97</v>
      </c>
      <c r="C86" t="s">
        <v>730</v>
      </c>
      <c r="F86" t="s">
        <v>272</v>
      </c>
      <c r="G86">
        <v>2017</v>
      </c>
      <c r="H86" t="s">
        <v>365</v>
      </c>
      <c r="I86">
        <v>0.82199999999999995</v>
      </c>
    </row>
    <row r="87" spans="2:9">
      <c r="B87" t="s">
        <v>97</v>
      </c>
      <c r="C87" t="s">
        <v>730</v>
      </c>
      <c r="F87" t="s">
        <v>272</v>
      </c>
      <c r="G87">
        <v>2017</v>
      </c>
      <c r="H87" t="s">
        <v>139</v>
      </c>
      <c r="I87">
        <v>47.584820585749902</v>
      </c>
    </row>
    <row r="88" spans="2:9">
      <c r="B88" t="s">
        <v>97</v>
      </c>
      <c r="C88" t="s">
        <v>730</v>
      </c>
      <c r="F88" t="s">
        <v>272</v>
      </c>
      <c r="G88">
        <v>2017</v>
      </c>
      <c r="H88" t="s">
        <v>396</v>
      </c>
      <c r="I88">
        <v>3.6514783707452798</v>
      </c>
    </row>
    <row r="89" spans="2:9">
      <c r="B89" t="s">
        <v>97</v>
      </c>
      <c r="C89" t="s">
        <v>730</v>
      </c>
      <c r="F89" t="s">
        <v>272</v>
      </c>
      <c r="G89">
        <v>2017</v>
      </c>
      <c r="H89" t="s">
        <v>397</v>
      </c>
      <c r="I89">
        <v>1.0030192144974699</v>
      </c>
    </row>
    <row r="90" spans="2:9">
      <c r="B90" t="s">
        <v>97</v>
      </c>
      <c r="C90" t="s">
        <v>730</v>
      </c>
      <c r="F90" t="s">
        <v>272</v>
      </c>
      <c r="G90">
        <v>2017</v>
      </c>
      <c r="H90" t="s">
        <v>398</v>
      </c>
      <c r="I90">
        <v>3.29935437842208</v>
      </c>
    </row>
    <row r="91" spans="2:9">
      <c r="B91" t="s">
        <v>97</v>
      </c>
      <c r="C91" t="s">
        <v>730</v>
      </c>
      <c r="F91" t="s">
        <v>272</v>
      </c>
      <c r="G91">
        <v>2017</v>
      </c>
      <c r="H91" t="s">
        <v>399</v>
      </c>
      <c r="I91">
        <v>0.59840698910616097</v>
      </c>
    </row>
    <row r="92" spans="2:9">
      <c r="B92" t="s">
        <v>97</v>
      </c>
      <c r="C92" t="s">
        <v>730</v>
      </c>
      <c r="F92" t="s">
        <v>272</v>
      </c>
      <c r="G92">
        <v>2017</v>
      </c>
      <c r="H92" t="s">
        <v>400</v>
      </c>
      <c r="I92">
        <v>0.29798809605332599</v>
      </c>
    </row>
    <row r="93" spans="2:9">
      <c r="B93" t="s">
        <v>97</v>
      </c>
      <c r="C93" t="s">
        <v>730</v>
      </c>
      <c r="F93" t="s">
        <v>272</v>
      </c>
      <c r="G93">
        <v>2017</v>
      </c>
      <c r="H93" t="s">
        <v>401</v>
      </c>
      <c r="I93">
        <v>6.6621877646371201</v>
      </c>
    </row>
    <row r="94" spans="2:9">
      <c r="B94" t="s">
        <v>97</v>
      </c>
      <c r="C94" t="s">
        <v>730</v>
      </c>
      <c r="F94" t="s">
        <v>272</v>
      </c>
      <c r="G94">
        <v>2017</v>
      </c>
      <c r="H94" t="s">
        <v>402</v>
      </c>
      <c r="I94">
        <v>2.2261566306639899</v>
      </c>
    </row>
    <row r="95" spans="2:9">
      <c r="B95" t="s">
        <v>97</v>
      </c>
      <c r="C95" t="s">
        <v>730</v>
      </c>
      <c r="F95" t="s">
        <v>272</v>
      </c>
      <c r="G95">
        <v>2017</v>
      </c>
      <c r="H95" t="s">
        <v>403</v>
      </c>
      <c r="I95">
        <v>0.122213678849837</v>
      </c>
    </row>
    <row r="96" spans="2:9">
      <c r="B96" t="s">
        <v>97</v>
      </c>
      <c r="C96" t="s">
        <v>730</v>
      </c>
      <c r="F96" t="s">
        <v>272</v>
      </c>
      <c r="G96">
        <v>2017</v>
      </c>
      <c r="H96" t="s">
        <v>404</v>
      </c>
      <c r="I96">
        <v>2.9412068148240201E-2</v>
      </c>
    </row>
    <row r="97" spans="2:9">
      <c r="B97" t="s">
        <v>97</v>
      </c>
      <c r="C97" t="s">
        <v>730</v>
      </c>
      <c r="F97" t="s">
        <v>272</v>
      </c>
      <c r="G97">
        <v>2017</v>
      </c>
      <c r="H97" t="s">
        <v>366</v>
      </c>
      <c r="I97">
        <v>22</v>
      </c>
    </row>
    <row r="98" spans="2:9">
      <c r="B98" t="s">
        <v>97</v>
      </c>
      <c r="C98" t="s">
        <v>730</v>
      </c>
      <c r="F98" t="s">
        <v>272</v>
      </c>
      <c r="G98">
        <v>2017</v>
      </c>
      <c r="H98" t="s">
        <v>368</v>
      </c>
      <c r="I98">
        <v>27.142505514316699</v>
      </c>
    </row>
    <row r="99" spans="2:9">
      <c r="B99" t="s">
        <v>97</v>
      </c>
      <c r="C99" t="s">
        <v>730</v>
      </c>
      <c r="F99" t="s">
        <v>272</v>
      </c>
      <c r="G99">
        <v>2017</v>
      </c>
      <c r="H99" t="s">
        <v>367</v>
      </c>
      <c r="I99">
        <v>88.672727178245694</v>
      </c>
    </row>
    <row r="100" spans="2:9">
      <c r="B100" t="s">
        <v>97</v>
      </c>
      <c r="C100" t="s">
        <v>730</v>
      </c>
      <c r="F100" t="s">
        <v>272</v>
      </c>
      <c r="G100">
        <v>2017</v>
      </c>
      <c r="H100" t="s">
        <v>116</v>
      </c>
      <c r="I100">
        <v>81.1386031348502</v>
      </c>
    </row>
    <row r="101" spans="2:9">
      <c r="B101" t="s">
        <v>97</v>
      </c>
      <c r="C101" t="s">
        <v>730</v>
      </c>
      <c r="F101" t="s">
        <v>272</v>
      </c>
      <c r="G101">
        <v>2017</v>
      </c>
      <c r="H101" t="s">
        <v>171</v>
      </c>
      <c r="I101">
        <v>5.9227912022632498</v>
      </c>
    </row>
    <row r="102" spans="2:9">
      <c r="B102" t="s">
        <v>97</v>
      </c>
      <c r="C102" t="s">
        <v>730</v>
      </c>
      <c r="F102" t="s">
        <v>272</v>
      </c>
      <c r="G102">
        <v>2017</v>
      </c>
      <c r="H102" t="s">
        <v>115</v>
      </c>
      <c r="I102">
        <v>17.754191802068</v>
      </c>
    </row>
    <row r="103" spans="2:9">
      <c r="B103" t="s">
        <v>97</v>
      </c>
      <c r="C103" t="s">
        <v>730</v>
      </c>
      <c r="F103" t="s">
        <v>272</v>
      </c>
      <c r="G103">
        <v>2017</v>
      </c>
      <c r="H103" t="s">
        <v>119</v>
      </c>
      <c r="I103">
        <v>7.2799982901224303E-2</v>
      </c>
    </row>
    <row r="104" spans="2:9">
      <c r="B104" t="s">
        <v>97</v>
      </c>
      <c r="C104" t="s">
        <v>730</v>
      </c>
      <c r="F104" t="s">
        <v>272</v>
      </c>
      <c r="G104">
        <v>2017</v>
      </c>
      <c r="H104" t="s">
        <v>117</v>
      </c>
      <c r="I104">
        <v>0.64296697178877804</v>
      </c>
    </row>
    <row r="105" spans="2:9">
      <c r="B105" t="s">
        <v>97</v>
      </c>
      <c r="C105" t="s">
        <v>730</v>
      </c>
      <c r="F105" t="s">
        <v>272</v>
      </c>
      <c r="G105">
        <v>2017</v>
      </c>
      <c r="H105" t="s">
        <v>121</v>
      </c>
      <c r="I105">
        <v>0.64854136839212595</v>
      </c>
    </row>
    <row r="106" spans="2:9">
      <c r="B106" t="s">
        <v>97</v>
      </c>
      <c r="C106" t="s">
        <v>730</v>
      </c>
      <c r="F106" t="s">
        <v>272</v>
      </c>
      <c r="G106">
        <v>2017</v>
      </c>
      <c r="H106" t="s">
        <v>118</v>
      </c>
      <c r="I106">
        <v>7.2130505455454896</v>
      </c>
    </row>
    <row r="107" spans="2:9">
      <c r="B107" t="s">
        <v>97</v>
      </c>
      <c r="C107" t="s">
        <v>730</v>
      </c>
      <c r="F107" t="s">
        <v>272</v>
      </c>
      <c r="G107">
        <v>2017</v>
      </c>
      <c r="H107" t="s">
        <v>120</v>
      </c>
      <c r="I107">
        <v>8.7048317578401608</v>
      </c>
    </row>
    <row r="108" spans="2:9">
      <c r="B108" t="s">
        <v>97</v>
      </c>
      <c r="C108" t="s">
        <v>730</v>
      </c>
      <c r="F108" t="s">
        <v>272</v>
      </c>
      <c r="G108">
        <v>2017</v>
      </c>
      <c r="H108" t="s">
        <v>146</v>
      </c>
      <c r="I108">
        <v>2.77</v>
      </c>
    </row>
    <row r="109" spans="2:9">
      <c r="B109" t="s">
        <v>97</v>
      </c>
      <c r="C109" t="s">
        <v>730</v>
      </c>
      <c r="F109" t="s">
        <v>272</v>
      </c>
      <c r="G109">
        <v>2017</v>
      </c>
      <c r="H109" t="s">
        <v>225</v>
      </c>
      <c r="I109">
        <v>128.41271933541799</v>
      </c>
    </row>
    <row r="110" spans="2:9">
      <c r="B110" t="s">
        <v>97</v>
      </c>
      <c r="C110" t="s">
        <v>730</v>
      </c>
      <c r="F110" t="s">
        <v>272</v>
      </c>
      <c r="G110">
        <v>2017</v>
      </c>
      <c r="H110" t="s">
        <v>231</v>
      </c>
      <c r="I110">
        <v>9.4707173671475093</v>
      </c>
    </row>
    <row r="111" spans="2:9">
      <c r="B111" t="s">
        <v>97</v>
      </c>
      <c r="C111" t="s">
        <v>730</v>
      </c>
      <c r="F111" t="s">
        <v>272</v>
      </c>
      <c r="G111">
        <v>2017</v>
      </c>
      <c r="H111" t="s">
        <v>226</v>
      </c>
      <c r="I111">
        <v>11.992907577983001</v>
      </c>
    </row>
    <row r="112" spans="2:9">
      <c r="B112" t="s">
        <v>97</v>
      </c>
      <c r="C112" t="s">
        <v>730</v>
      </c>
      <c r="F112" t="s">
        <v>272</v>
      </c>
      <c r="G112">
        <v>2017</v>
      </c>
      <c r="H112" t="s">
        <v>227</v>
      </c>
      <c r="I112">
        <v>8.9629891158025892</v>
      </c>
    </row>
    <row r="113" spans="2:9">
      <c r="B113" t="s">
        <v>97</v>
      </c>
      <c r="C113" t="s">
        <v>730</v>
      </c>
      <c r="F113" t="s">
        <v>272</v>
      </c>
      <c r="G113">
        <v>2017</v>
      </c>
      <c r="H113" t="s">
        <v>228</v>
      </c>
      <c r="I113">
        <v>111.748716602955</v>
      </c>
    </row>
    <row r="114" spans="2:9">
      <c r="B114" t="s">
        <v>97</v>
      </c>
      <c r="C114" t="s">
        <v>730</v>
      </c>
      <c r="F114" t="s">
        <v>272</v>
      </c>
      <c r="G114">
        <v>2017</v>
      </c>
      <c r="H114" t="s">
        <v>233</v>
      </c>
      <c r="I114">
        <v>20.198960613823001</v>
      </c>
    </row>
    <row r="115" spans="2:9">
      <c r="B115" t="s">
        <v>97</v>
      </c>
      <c r="C115" t="s">
        <v>730</v>
      </c>
      <c r="F115" t="s">
        <v>272</v>
      </c>
      <c r="G115">
        <v>2017</v>
      </c>
      <c r="H115" t="s">
        <v>229</v>
      </c>
      <c r="I115">
        <v>27.1844560411384</v>
      </c>
    </row>
    <row r="116" spans="2:9">
      <c r="B116" t="s">
        <v>97</v>
      </c>
      <c r="C116" t="s">
        <v>730</v>
      </c>
      <c r="F116" t="s">
        <v>272</v>
      </c>
      <c r="G116">
        <v>2017</v>
      </c>
      <c r="H116" t="s">
        <v>232</v>
      </c>
      <c r="I116">
        <v>3.2726019758762099</v>
      </c>
    </row>
    <row r="117" spans="2:9">
      <c r="B117" t="s">
        <v>97</v>
      </c>
      <c r="C117" t="s">
        <v>730</v>
      </c>
      <c r="F117" t="s">
        <v>272</v>
      </c>
      <c r="G117">
        <v>2017</v>
      </c>
      <c r="H117" t="s">
        <v>230</v>
      </c>
      <c r="I117">
        <v>14.3921338097343</v>
      </c>
    </row>
    <row r="118" spans="2:9">
      <c r="B118" t="s">
        <v>97</v>
      </c>
      <c r="C118" t="s">
        <v>730</v>
      </c>
      <c r="F118" t="s">
        <v>272</v>
      </c>
      <c r="G118">
        <v>2017</v>
      </c>
      <c r="H118" t="s">
        <v>234</v>
      </c>
      <c r="I118">
        <v>0</v>
      </c>
    </row>
    <row r="119" spans="2:9">
      <c r="B119" t="s">
        <v>97</v>
      </c>
      <c r="C119" t="s">
        <v>730</v>
      </c>
      <c r="F119" t="s">
        <v>272</v>
      </c>
      <c r="G119">
        <v>2017</v>
      </c>
      <c r="H119" t="s">
        <v>240</v>
      </c>
      <c r="I119">
        <v>0</v>
      </c>
    </row>
    <row r="120" spans="2:9">
      <c r="B120" t="s">
        <v>97</v>
      </c>
      <c r="C120" t="s">
        <v>730</v>
      </c>
      <c r="F120" t="s">
        <v>272</v>
      </c>
      <c r="G120">
        <v>2017</v>
      </c>
      <c r="H120" t="s">
        <v>235</v>
      </c>
      <c r="I120">
        <v>0</v>
      </c>
    </row>
    <row r="121" spans="2:9">
      <c r="B121" t="s">
        <v>97</v>
      </c>
      <c r="C121" t="s">
        <v>730</v>
      </c>
      <c r="F121" t="s">
        <v>272</v>
      </c>
      <c r="G121">
        <v>2017</v>
      </c>
      <c r="H121" t="s">
        <v>236</v>
      </c>
      <c r="I121">
        <v>0</v>
      </c>
    </row>
    <row r="122" spans="2:9">
      <c r="B122" t="s">
        <v>97</v>
      </c>
      <c r="C122" t="s">
        <v>730</v>
      </c>
      <c r="F122" t="s">
        <v>272</v>
      </c>
      <c r="G122">
        <v>2017</v>
      </c>
      <c r="H122" t="s">
        <v>237</v>
      </c>
      <c r="I122">
        <v>0</v>
      </c>
    </row>
    <row r="123" spans="2:9">
      <c r="B123" t="s">
        <v>97</v>
      </c>
      <c r="C123" t="s">
        <v>730</v>
      </c>
      <c r="F123" t="s">
        <v>272</v>
      </c>
      <c r="G123">
        <v>2017</v>
      </c>
      <c r="H123" t="s">
        <v>242</v>
      </c>
      <c r="I123">
        <v>0</v>
      </c>
    </row>
    <row r="124" spans="2:9">
      <c r="B124" t="s">
        <v>97</v>
      </c>
      <c r="C124" t="s">
        <v>730</v>
      </c>
      <c r="F124" t="s">
        <v>272</v>
      </c>
      <c r="G124">
        <v>2017</v>
      </c>
      <c r="H124" t="s">
        <v>238</v>
      </c>
      <c r="I124">
        <v>0</v>
      </c>
    </row>
    <row r="125" spans="2:9">
      <c r="B125" t="s">
        <v>97</v>
      </c>
      <c r="C125" t="s">
        <v>730</v>
      </c>
      <c r="F125" t="s">
        <v>272</v>
      </c>
      <c r="G125">
        <v>2017</v>
      </c>
      <c r="H125" t="s">
        <v>241</v>
      </c>
      <c r="I125">
        <v>0</v>
      </c>
    </row>
    <row r="126" spans="2:9">
      <c r="B126" t="s">
        <v>97</v>
      </c>
      <c r="C126" t="s">
        <v>730</v>
      </c>
      <c r="F126" t="s">
        <v>272</v>
      </c>
      <c r="G126">
        <v>2017</v>
      </c>
      <c r="H126" t="s">
        <v>239</v>
      </c>
      <c r="I126">
        <v>0</v>
      </c>
    </row>
    <row r="127" spans="2:9">
      <c r="B127" t="s">
        <v>97</v>
      </c>
      <c r="C127" t="s">
        <v>730</v>
      </c>
      <c r="F127" t="s">
        <v>272</v>
      </c>
      <c r="G127">
        <v>2017</v>
      </c>
      <c r="H127" t="s">
        <v>276</v>
      </c>
      <c r="I127">
        <v>6.23</v>
      </c>
    </row>
    <row r="128" spans="2:9">
      <c r="B128" t="s">
        <v>97</v>
      </c>
      <c r="C128" t="s">
        <v>730</v>
      </c>
      <c r="F128" t="s">
        <v>272</v>
      </c>
      <c r="G128">
        <v>2017</v>
      </c>
      <c r="H128" t="s">
        <v>283</v>
      </c>
      <c r="I128">
        <v>9.6111784369999995</v>
      </c>
    </row>
    <row r="129" spans="2:9">
      <c r="B129" t="s">
        <v>97</v>
      </c>
      <c r="C129" t="s">
        <v>730</v>
      </c>
      <c r="F129" t="s">
        <v>272</v>
      </c>
      <c r="G129">
        <v>2017</v>
      </c>
      <c r="H129" t="s">
        <v>277</v>
      </c>
      <c r="I129">
        <v>14.7599608803003</v>
      </c>
    </row>
    <row r="130" spans="2:9">
      <c r="B130" t="s">
        <v>97</v>
      </c>
      <c r="C130" t="s">
        <v>730</v>
      </c>
      <c r="F130" t="s">
        <v>272</v>
      </c>
      <c r="G130">
        <v>2017</v>
      </c>
      <c r="H130" t="s">
        <v>697</v>
      </c>
      <c r="I130">
        <v>8.4021746293245503</v>
      </c>
    </row>
    <row r="131" spans="2:9">
      <c r="B131" t="s">
        <v>97</v>
      </c>
      <c r="C131" t="s">
        <v>730</v>
      </c>
      <c r="F131" t="s">
        <v>272</v>
      </c>
      <c r="G131">
        <v>2017</v>
      </c>
      <c r="H131" t="s">
        <v>282</v>
      </c>
      <c r="I131">
        <v>1.1624356</v>
      </c>
    </row>
    <row r="132" spans="2:9">
      <c r="B132" t="s">
        <v>97</v>
      </c>
      <c r="C132" t="s">
        <v>730</v>
      </c>
      <c r="F132" t="s">
        <v>272</v>
      </c>
      <c r="G132">
        <v>2017</v>
      </c>
      <c r="H132" t="s">
        <v>281</v>
      </c>
      <c r="I132">
        <v>1.3591716472036699</v>
      </c>
    </row>
    <row r="133" spans="2:9">
      <c r="B133" t="s">
        <v>97</v>
      </c>
      <c r="C133" t="s">
        <v>730</v>
      </c>
      <c r="F133" t="s">
        <v>272</v>
      </c>
      <c r="G133">
        <v>2017</v>
      </c>
      <c r="H133" t="s">
        <v>369</v>
      </c>
      <c r="I133">
        <v>4.2</v>
      </c>
    </row>
    <row r="134" spans="2:9">
      <c r="B134" t="s">
        <v>97</v>
      </c>
      <c r="C134" t="s">
        <v>730</v>
      </c>
      <c r="F134" t="s">
        <v>272</v>
      </c>
      <c r="G134">
        <v>2017</v>
      </c>
      <c r="H134" t="s">
        <v>284</v>
      </c>
      <c r="I134">
        <v>2.1800600000000001</v>
      </c>
    </row>
    <row r="135" spans="2:9">
      <c r="B135" t="s">
        <v>97</v>
      </c>
      <c r="C135" t="s">
        <v>730</v>
      </c>
      <c r="F135" t="s">
        <v>272</v>
      </c>
      <c r="G135">
        <v>2017</v>
      </c>
      <c r="H135" t="s">
        <v>285</v>
      </c>
      <c r="I135">
        <v>0.65910719806663898</v>
      </c>
    </row>
    <row r="136" spans="2:9">
      <c r="B136" t="s">
        <v>97</v>
      </c>
      <c r="C136" t="s">
        <v>730</v>
      </c>
      <c r="F136" t="s">
        <v>272</v>
      </c>
      <c r="G136">
        <v>2017</v>
      </c>
      <c r="H136" t="s">
        <v>688</v>
      </c>
      <c r="I136">
        <v>3.484</v>
      </c>
    </row>
    <row r="137" spans="2:9">
      <c r="B137" t="s">
        <v>97</v>
      </c>
      <c r="C137" t="s">
        <v>730</v>
      </c>
      <c r="F137" t="s">
        <v>272</v>
      </c>
      <c r="G137">
        <v>2017</v>
      </c>
      <c r="H137" t="s">
        <v>689</v>
      </c>
      <c r="I137">
        <v>0.4587</v>
      </c>
    </row>
    <row r="138" spans="2:9">
      <c r="B138" t="s">
        <v>97</v>
      </c>
      <c r="C138" t="s">
        <v>730</v>
      </c>
      <c r="F138" t="s">
        <v>272</v>
      </c>
      <c r="G138">
        <v>2017</v>
      </c>
      <c r="H138" t="s">
        <v>691</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15" activePane="bottomRight" state="frozen"/>
      <selection pane="topRight" activeCell="G1" sqref="G1"/>
      <selection pane="bottomLeft" activeCell="A5" sqref="A5"/>
      <selection pane="bottomRight" activeCell="AH127" sqref="AH127"/>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734</v>
      </c>
    </row>
    <row r="4" spans="1:36">
      <c r="C4" t="s">
        <v>733</v>
      </c>
      <c r="D4" t="s">
        <v>727</v>
      </c>
      <c r="E4" t="s">
        <v>732</v>
      </c>
      <c r="F4" t="s">
        <v>729</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289</v>
      </c>
      <c r="B5">
        <v>3.4886478690149998</v>
      </c>
      <c r="C5" t="s">
        <v>731</v>
      </c>
      <c r="D5" t="s">
        <v>272</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290</v>
      </c>
      <c r="B6">
        <v>6.8942225938929997</v>
      </c>
      <c r="C6" t="s">
        <v>731</v>
      </c>
      <c r="D6" t="s">
        <v>272</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291</v>
      </c>
      <c r="B7">
        <v>8.6660070567129992</v>
      </c>
      <c r="C7" t="s">
        <v>731</v>
      </c>
      <c r="D7" t="s">
        <v>272</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292</v>
      </c>
      <c r="B8">
        <v>5.4851590254799998</v>
      </c>
      <c r="C8" t="s">
        <v>731</v>
      </c>
      <c r="D8" t="s">
        <v>272</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293</v>
      </c>
      <c r="B9">
        <v>14.26028349219</v>
      </c>
      <c r="C9" t="s">
        <v>731</v>
      </c>
      <c r="D9" t="s">
        <v>272</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294</v>
      </c>
      <c r="B10">
        <v>0.39719718710289997</v>
      </c>
      <c r="C10" t="s">
        <v>731</v>
      </c>
      <c r="D10" t="s">
        <v>272</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295</v>
      </c>
      <c r="B11">
        <v>5.295962494706</v>
      </c>
      <c r="C11" t="s">
        <v>731</v>
      </c>
      <c r="D11" t="s">
        <v>272</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296</v>
      </c>
      <c r="B12">
        <v>3.219945196781</v>
      </c>
      <c r="C12" t="s">
        <v>731</v>
      </c>
      <c r="D12" t="s">
        <v>272</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297</v>
      </c>
      <c r="B13">
        <v>3.389415996611</v>
      </c>
      <c r="C13" t="s">
        <v>731</v>
      </c>
      <c r="D13" t="s">
        <v>272</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298</v>
      </c>
      <c r="B14">
        <v>0.95327324904709998</v>
      </c>
      <c r="C14" t="s">
        <v>731</v>
      </c>
      <c r="D14" t="s">
        <v>272</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299</v>
      </c>
      <c r="B15">
        <v>1.059192498941</v>
      </c>
      <c r="C15" t="s">
        <v>731</v>
      </c>
      <c r="D15" t="s">
        <v>272</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300</v>
      </c>
      <c r="B16">
        <v>0.63551549936469998</v>
      </c>
      <c r="C16" t="s">
        <v>731</v>
      </c>
      <c r="D16" t="s">
        <v>272</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301</v>
      </c>
      <c r="B17">
        <v>8.4735399915289999</v>
      </c>
      <c r="C17" t="s">
        <v>731</v>
      </c>
      <c r="D17" t="s">
        <v>272</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302</v>
      </c>
      <c r="B18">
        <v>14.828694985169999</v>
      </c>
      <c r="C18" t="s">
        <v>731</v>
      </c>
      <c r="D18" t="s">
        <v>272</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303</v>
      </c>
      <c r="B19">
        <v>32.941303389589997</v>
      </c>
      <c r="C19" t="s">
        <v>731</v>
      </c>
      <c r="D19" t="s">
        <v>272</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304</v>
      </c>
      <c r="B20">
        <v>39.685391397639997</v>
      </c>
      <c r="C20" t="s">
        <v>731</v>
      </c>
      <c r="D20" t="s">
        <v>272</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305</v>
      </c>
      <c r="B21">
        <v>5.3061366499999998E-2</v>
      </c>
      <c r="C21" t="s">
        <v>731</v>
      </c>
      <c r="D21" t="s">
        <v>272</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306</v>
      </c>
      <c r="B22">
        <v>12.204114317089999</v>
      </c>
      <c r="C22" t="s">
        <v>731</v>
      </c>
      <c r="D22" t="s">
        <v>272</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307</v>
      </c>
      <c r="B23" t="s">
        <v>370</v>
      </c>
      <c r="C23" t="s">
        <v>731</v>
      </c>
      <c r="D23" t="s">
        <v>272</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308</v>
      </c>
      <c r="B24">
        <v>0.84898186553730004</v>
      </c>
      <c r="C24" t="s">
        <v>731</v>
      </c>
      <c r="D24" t="s">
        <v>272</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309</v>
      </c>
      <c r="B25">
        <v>1.432656898094</v>
      </c>
      <c r="C25" t="s">
        <v>731</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310</v>
      </c>
      <c r="B26">
        <v>1.857147830862</v>
      </c>
      <c r="C26" t="s">
        <v>731</v>
      </c>
      <c r="D26" t="s">
        <v>272</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311</v>
      </c>
      <c r="B27">
        <v>0.39796024947059999</v>
      </c>
      <c r="C27" t="s">
        <v>731</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312</v>
      </c>
      <c r="B28">
        <v>4.45715479407</v>
      </c>
      <c r="C28" t="s">
        <v>731</v>
      </c>
      <c r="D28" t="s">
        <v>272</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313</v>
      </c>
      <c r="B29">
        <v>5.9428730587610001</v>
      </c>
      <c r="C29" t="s">
        <v>731</v>
      </c>
      <c r="D29" t="s">
        <v>272</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314</v>
      </c>
      <c r="B30">
        <v>28.205650466129999</v>
      </c>
      <c r="C30" t="s">
        <v>731</v>
      </c>
      <c r="D30" t="s">
        <v>272</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315</v>
      </c>
      <c r="B31">
        <v>1.0975498905550001</v>
      </c>
      <c r="C31" t="s">
        <v>731</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316</v>
      </c>
      <c r="B32">
        <v>19.17682172608</v>
      </c>
      <c r="C32" t="s">
        <v>731</v>
      </c>
      <c r="D32" t="s">
        <v>272</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317</v>
      </c>
      <c r="B33">
        <v>0.20646280210080001</v>
      </c>
      <c r="C33" t="s">
        <v>731</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318</v>
      </c>
      <c r="B34">
        <v>6.5077475668130003</v>
      </c>
      <c r="C34" t="s">
        <v>731</v>
      </c>
      <c r="D34" t="s">
        <v>272</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319</v>
      </c>
      <c r="B35">
        <v>8.5041886448849997</v>
      </c>
      <c r="C35" t="s">
        <v>731</v>
      </c>
      <c r="D35" t="s">
        <v>272</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320</v>
      </c>
      <c r="B36">
        <v>2.3622746235790002</v>
      </c>
      <c r="C36" t="s">
        <v>731</v>
      </c>
      <c r="D36" t="s">
        <v>272</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321</v>
      </c>
      <c r="B37">
        <v>1.594535370916</v>
      </c>
      <c r="C37" t="s">
        <v>731</v>
      </c>
      <c r="D37" t="s">
        <v>272</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322</v>
      </c>
      <c r="B38">
        <v>31.93143244434</v>
      </c>
      <c r="C38" t="s">
        <v>731</v>
      </c>
      <c r="D38" t="s">
        <v>272</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323</v>
      </c>
      <c r="B39">
        <v>16.901755910559999</v>
      </c>
      <c r="C39" t="s">
        <v>731</v>
      </c>
      <c r="D39" t="s">
        <v>272</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324</v>
      </c>
      <c r="B40">
        <v>28.149155918999998</v>
      </c>
      <c r="C40" t="s">
        <v>731</v>
      </c>
      <c r="D40" t="s">
        <v>272</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325</v>
      </c>
      <c r="B41">
        <v>5.2585839407999997E-2</v>
      </c>
      <c r="C41" t="s">
        <v>731</v>
      </c>
      <c r="D41" t="s">
        <v>272</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326</v>
      </c>
      <c r="B42" t="s">
        <v>370</v>
      </c>
      <c r="C42" t="s">
        <v>731</v>
      </c>
      <c r="D42" t="s">
        <v>272</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327</v>
      </c>
      <c r="B43" t="s">
        <v>370</v>
      </c>
      <c r="C43" t="s">
        <v>731</v>
      </c>
      <c r="D43" t="s">
        <v>272</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328</v>
      </c>
      <c r="B44">
        <v>55.015944485879999</v>
      </c>
      <c r="C44" t="s">
        <v>731</v>
      </c>
      <c r="D44" t="s">
        <v>272</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329</v>
      </c>
      <c r="B45" t="s">
        <v>370</v>
      </c>
      <c r="C45" t="s">
        <v>731</v>
      </c>
      <c r="D45" t="s">
        <v>272</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330</v>
      </c>
      <c r="B46">
        <v>0.72389400639309998</v>
      </c>
      <c r="C46" t="s">
        <v>731</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331</v>
      </c>
      <c r="B47">
        <v>0.80432667377019995</v>
      </c>
      <c r="C47" t="s">
        <v>731</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332</v>
      </c>
      <c r="B48">
        <v>0.241298002131</v>
      </c>
      <c r="C48" t="s">
        <v>731</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333</v>
      </c>
      <c r="B49">
        <v>4.5042293731129996</v>
      </c>
      <c r="C49" t="s">
        <v>731</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334</v>
      </c>
      <c r="B50" t="s">
        <v>370</v>
      </c>
      <c r="C50" t="s">
        <v>731</v>
      </c>
      <c r="D50" t="s">
        <v>272</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335</v>
      </c>
      <c r="B51">
        <v>0.51839999999999997</v>
      </c>
      <c r="C51" t="s">
        <v>731</v>
      </c>
      <c r="D51" t="s">
        <v>272</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336</v>
      </c>
      <c r="B52">
        <v>0.24189876324029999</v>
      </c>
      <c r="C52" t="s">
        <v>731</v>
      </c>
      <c r="D52" t="s">
        <v>272</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337</v>
      </c>
      <c r="B53">
        <v>4.5502640185010002</v>
      </c>
      <c r="C53" t="s">
        <v>731</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338</v>
      </c>
      <c r="B54">
        <v>0.43799389606880001</v>
      </c>
      <c r="C54" t="s">
        <v>731</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339</v>
      </c>
      <c r="B55">
        <v>1.959977536374</v>
      </c>
      <c r="C55" t="s">
        <v>731</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340</v>
      </c>
      <c r="B56">
        <v>3.382156358499</v>
      </c>
      <c r="C56" t="s">
        <v>731</v>
      </c>
      <c r="D56" t="s">
        <v>272</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341</v>
      </c>
      <c r="B57">
        <v>4.2714054259280001</v>
      </c>
      <c r="C57" t="s">
        <v>731</v>
      </c>
      <c r="D57" t="s">
        <v>272</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342</v>
      </c>
      <c r="B58">
        <v>1.0716137343180001</v>
      </c>
      <c r="C58" t="s">
        <v>731</v>
      </c>
      <c r="D58" t="s">
        <v>272</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343</v>
      </c>
      <c r="B59">
        <v>13.06049710462</v>
      </c>
      <c r="C59" t="s">
        <v>731</v>
      </c>
      <c r="D59" t="s">
        <v>272</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344</v>
      </c>
      <c r="B60">
        <v>4.6033799408959997</v>
      </c>
      <c r="C60" t="s">
        <v>731</v>
      </c>
      <c r="D60" t="s">
        <v>272</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345</v>
      </c>
      <c r="B61">
        <v>109.842732955</v>
      </c>
      <c r="C61" t="s">
        <v>731</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346</v>
      </c>
      <c r="B62">
        <v>9.3435013244270007</v>
      </c>
      <c r="C62" t="s">
        <v>731</v>
      </c>
      <c r="D62" t="s">
        <v>272</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347</v>
      </c>
      <c r="B63">
        <v>3.5355599850489998</v>
      </c>
      <c r="C63" t="s">
        <v>731</v>
      </c>
      <c r="D63" t="s">
        <v>272</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348</v>
      </c>
      <c r="B64">
        <v>27.200595464100001</v>
      </c>
      <c r="C64" t="s">
        <v>731</v>
      </c>
      <c r="D64" t="s">
        <v>272</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349</v>
      </c>
      <c r="B65">
        <v>11.63227160329</v>
      </c>
      <c r="C65" t="s">
        <v>731</v>
      </c>
      <c r="D65" t="s">
        <v>272</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350</v>
      </c>
      <c r="B66">
        <v>4.337948126733</v>
      </c>
      <c r="C66" t="s">
        <v>731</v>
      </c>
      <c r="D66" t="s">
        <v>272</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504</v>
      </c>
      <c r="B67">
        <v>25.581294669590001</v>
      </c>
      <c r="C67" t="s">
        <v>731</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351</v>
      </c>
      <c r="B68">
        <v>14.738241842140001</v>
      </c>
      <c r="C68" t="s">
        <v>731</v>
      </c>
      <c r="D68" t="s">
        <v>272</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352</v>
      </c>
      <c r="B69">
        <v>8.0953817121640004</v>
      </c>
      <c r="C69" t="s">
        <v>731</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353</v>
      </c>
      <c r="B70">
        <v>8.4652619723960001</v>
      </c>
      <c r="C70" t="s">
        <v>731</v>
      </c>
      <c r="D70" t="s">
        <v>272</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354</v>
      </c>
      <c r="B71">
        <v>1.2001829018570001</v>
      </c>
      <c r="C71" t="s">
        <v>731</v>
      </c>
      <c r="D71" t="s">
        <v>272</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355</v>
      </c>
      <c r="B72">
        <v>1.9088027674250001</v>
      </c>
      <c r="C72" t="s">
        <v>731</v>
      </c>
      <c r="D72" t="s">
        <v>272</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356</v>
      </c>
      <c r="B73">
        <v>7.6914136780069997</v>
      </c>
      <c r="C73" t="s">
        <v>731</v>
      </c>
      <c r="D73" t="s">
        <v>272</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357</v>
      </c>
      <c r="B74">
        <v>0.1043575899953</v>
      </c>
      <c r="C74" t="s">
        <v>731</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358</v>
      </c>
      <c r="B75">
        <v>12.72538201427</v>
      </c>
      <c r="C75" t="s">
        <v>731</v>
      </c>
      <c r="D75" t="s">
        <v>272</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359</v>
      </c>
      <c r="B76">
        <v>5.0035172999329998</v>
      </c>
      <c r="C76" t="s">
        <v>731</v>
      </c>
      <c r="D76" t="s">
        <v>272</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360</v>
      </c>
      <c r="B77">
        <v>15.793352715539999</v>
      </c>
      <c r="C77" t="s">
        <v>731</v>
      </c>
      <c r="D77" t="s">
        <v>272</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361</v>
      </c>
      <c r="B78">
        <v>8.1991938940679994</v>
      </c>
      <c r="C78" t="s">
        <v>731</v>
      </c>
      <c r="D78" t="s">
        <v>272</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362</v>
      </c>
      <c r="B79">
        <v>3.5984677195130002</v>
      </c>
      <c r="C79" t="s">
        <v>731</v>
      </c>
      <c r="D79" t="s">
        <v>272</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363</v>
      </c>
      <c r="B80">
        <v>16.347656033450001</v>
      </c>
      <c r="C80" t="s">
        <v>731</v>
      </c>
      <c r="D80" t="s">
        <v>272</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527</v>
      </c>
      <c r="B81">
        <v>17.347656033450001</v>
      </c>
      <c r="C81" t="s">
        <v>731</v>
      </c>
      <c r="D81" t="s">
        <v>272</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364</v>
      </c>
      <c r="B82">
        <v>0.2282739655271</v>
      </c>
      <c r="C82" t="s">
        <v>731</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731</v>
      </c>
      <c r="D83" t="s">
        <v>272</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586</v>
      </c>
      <c r="B84">
        <f>[2]EB_2006!$AI$69/1000</f>
        <v>35.178032837499991</v>
      </c>
      <c r="C84" t="s">
        <v>731</v>
      </c>
      <c r="D84" t="s">
        <v>272</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587</v>
      </c>
      <c r="B85">
        <f>[2]EB_2006!$AI$70/1000</f>
        <v>42.764908764899999</v>
      </c>
      <c r="C85" t="s">
        <v>731</v>
      </c>
      <c r="D85" t="s">
        <v>272</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365</v>
      </c>
      <c r="B86" s="17">
        <f>[2]EB_2006!$AG$68/1000</f>
        <v>0.74474625240000003</v>
      </c>
      <c r="C86" t="s">
        <v>731</v>
      </c>
      <c r="D86" t="s">
        <v>272</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731</v>
      </c>
      <c r="D87" t="s">
        <v>272</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396</v>
      </c>
      <c r="B88" s="17">
        <v>4.134278411680218</v>
      </c>
      <c r="C88" t="s">
        <v>731</v>
      </c>
      <c r="D88" t="s">
        <v>272</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397</v>
      </c>
      <c r="B89" s="17">
        <v>0.80954708483781546</v>
      </c>
      <c r="C89" t="s">
        <v>731</v>
      </c>
      <c r="D89" t="s">
        <v>272</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398</v>
      </c>
      <c r="B90" s="17">
        <v>2.7195831056144888</v>
      </c>
      <c r="C90" t="s">
        <v>731</v>
      </c>
      <c r="D90" t="s">
        <v>272</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399</v>
      </c>
      <c r="B91" s="17">
        <v>0.66594475210557558</v>
      </c>
      <c r="C91" t="s">
        <v>731</v>
      </c>
      <c r="D91" t="s">
        <v>272</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400</v>
      </c>
      <c r="B92" s="17">
        <v>0.33457448391316724</v>
      </c>
      <c r="C92" t="s">
        <v>731</v>
      </c>
      <c r="D92" t="s">
        <v>272</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401</v>
      </c>
      <c r="B93" s="17">
        <v>4.2080971938397562</v>
      </c>
      <c r="C93" t="s">
        <v>731</v>
      </c>
      <c r="D93" t="s">
        <v>272</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402</v>
      </c>
      <c r="B94" s="17">
        <v>1.4910262867673953</v>
      </c>
      <c r="C94" t="s">
        <v>731</v>
      </c>
      <c r="D94" t="s">
        <v>272</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403</v>
      </c>
      <c r="B95" s="17">
        <v>0</v>
      </c>
      <c r="C95" t="s">
        <v>731</v>
      </c>
      <c r="D95" t="s">
        <v>272</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404</v>
      </c>
      <c r="B96" s="17">
        <v>4.2946824044977329E-2</v>
      </c>
      <c r="C96" t="s">
        <v>731</v>
      </c>
      <c r="D96" t="s">
        <v>272</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366</v>
      </c>
      <c r="B97">
        <v>28</v>
      </c>
      <c r="C97" t="s">
        <v>731</v>
      </c>
      <c r="D97" t="s">
        <v>272</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368</v>
      </c>
      <c r="B98">
        <v>26</v>
      </c>
      <c r="C98" t="s">
        <v>731</v>
      </c>
      <c r="D98" t="s">
        <v>272</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367</v>
      </c>
      <c r="B99">
        <v>67</v>
      </c>
      <c r="C99" t="s">
        <v>731</v>
      </c>
      <c r="D99" t="s">
        <v>272</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86.9457419513449</v>
      </c>
      <c r="L99" s="17">
        <f ca="1">OFFSET(FTRA!O$136,$E99,0)</f>
        <v>87.492893650053077</v>
      </c>
      <c r="M99" s="17">
        <f ca="1">OFFSET(FTRA!P$136,$E99,0)</f>
        <v>88.040045348761254</v>
      </c>
      <c r="N99" s="17">
        <f ca="1">OFFSET(FTRA!S$136,$E99,0)</f>
        <v>88.587197047469431</v>
      </c>
      <c r="O99" s="17">
        <f ca="1">OFFSET(FTRA!T$136,$E99,0)</f>
        <v>89.134348746177608</v>
      </c>
      <c r="P99" s="17">
        <f ca="1">OFFSET(FTRA!U$136,$E99,0)</f>
        <v>89.681500444885785</v>
      </c>
      <c r="Q99" s="17">
        <f ca="1">OFFSET(FTRA!V$136,$E99,0)</f>
        <v>90.228652143593962</v>
      </c>
      <c r="R99" s="17">
        <f ca="1">OFFSET(FTRA!W$136,$E99,0)</f>
        <v>90.775803842302139</v>
      </c>
      <c r="S99" s="17">
        <f ca="1">OFFSET(FTRA!X$136,$E99,0)</f>
        <v>91.322955541010316</v>
      </c>
      <c r="T99" s="17">
        <f ca="1">OFFSET(FTRA!Y$136,$E99,0)</f>
        <v>91.870107239718436</v>
      </c>
      <c r="U99" s="17">
        <f ca="1">OFFSET(FTRA!Z$136,$E99,0)</f>
        <v>93.941525788489685</v>
      </c>
      <c r="V99" s="17">
        <f ca="1">OFFSET(FTRA!AC$136,$E99,0)</f>
        <v>96.012944337260933</v>
      </c>
      <c r="W99" s="17">
        <f ca="1">OFFSET(FTRA!AD$136,$E99,0)</f>
        <v>98.084362886032181</v>
      </c>
      <c r="X99" s="17">
        <f ca="1">OFFSET(FTRA!AE$136,$E99,0)</f>
        <v>100.15578143480343</v>
      </c>
      <c r="Y99" s="17">
        <f ca="1">OFFSET(FTRA!AF$136,$E99,0)</f>
        <v>102.22719998357468</v>
      </c>
      <c r="Z99" s="17">
        <f ca="1">OFFSET(FTRA!AG$136,$E99,0)</f>
        <v>104.29861853234593</v>
      </c>
      <c r="AA99" s="17">
        <f ca="1">OFFSET(FTRA!AH$136,$E99,0)</f>
        <v>106.37003708111718</v>
      </c>
      <c r="AB99" s="17">
        <f ca="1">OFFSET(FTRA!AI$136,$E99,0)</f>
        <v>108.44145562988842</v>
      </c>
      <c r="AC99" s="17">
        <f ca="1">OFFSET(FTRA!AJ$136,$E99,0)</f>
        <v>110.51287417865967</v>
      </c>
      <c r="AD99" s="17">
        <f ca="1">OFFSET(FTRA!AK$136,$E99,0)</f>
        <v>112.58429272743091</v>
      </c>
      <c r="AE99" s="17">
        <f ca="1">OFFSET(FTRA!AL$136,$E99,0)</f>
        <v>130.49756643209119</v>
      </c>
      <c r="AF99" s="17">
        <f ca="1">OFFSET(FTRA!AM$136,$E99,0)</f>
        <v>148.41084013675146</v>
      </c>
      <c r="AG99" s="17">
        <f ca="1">OFFSET(FTRA!AN$136,$E99,0)</f>
        <v>183.24497714602427</v>
      </c>
      <c r="AH99" s="17">
        <f ca="1">OFFSET(FTRA!AO$136,$E99,0)</f>
        <v>196.27767980712804</v>
      </c>
      <c r="AJ99">
        <f t="shared" ca="1" si="3"/>
        <v>2.2135067461337914</v>
      </c>
    </row>
    <row r="100" spans="1:36">
      <c r="A100" s="26" t="s">
        <v>116</v>
      </c>
      <c r="B100">
        <v>73.203613436309993</v>
      </c>
      <c r="C100" t="s">
        <v>731</v>
      </c>
      <c r="D100" t="s">
        <v>272</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146.45624086635229</v>
      </c>
      <c r="AF100" s="17">
        <f ca="1">OFFSET(PTRA!AS$218,$E100,0)</f>
        <v>164.79876687305341</v>
      </c>
      <c r="AG100" s="17">
        <f ca="1">OFFSET(PTRA!AT$218,$E100,0)</f>
        <v>184.31240491540811</v>
      </c>
      <c r="AH100" s="17">
        <f ca="1">OFFSET(PTRA!AU$218,$E100,0)</f>
        <v>201.44093923041561</v>
      </c>
      <c r="AJ100">
        <f t="shared" ca="1" si="3"/>
        <v>2.4826769434966254</v>
      </c>
    </row>
    <row r="101" spans="1:36">
      <c r="A101" s="26" t="s">
        <v>171</v>
      </c>
      <c r="B101">
        <v>2.2210937076119999</v>
      </c>
      <c r="C101" t="s">
        <v>731</v>
      </c>
      <c r="D101" t="s">
        <v>272</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5.4921090324882123</v>
      </c>
      <c r="AF101" s="17">
        <f ca="1">OFFSET(PTRA!AS$218,$E101,0)</f>
        <v>6.1799537577395034</v>
      </c>
      <c r="AG101" s="17">
        <f ca="1">OFFSET(PTRA!AT$218,$E101,0)</f>
        <v>6.9117151843278037</v>
      </c>
      <c r="AH101" s="17">
        <f ca="1">OFFSET(PTRA!AU$218,$E101,0)</f>
        <v>7.5540352211405857</v>
      </c>
      <c r="AJ101">
        <f t="shared" ca="1" si="3"/>
        <v>1.2754181201346413</v>
      </c>
    </row>
    <row r="102" spans="1:36">
      <c r="A102" s="26" t="s">
        <v>115</v>
      </c>
      <c r="B102">
        <v>9.7306216335790001</v>
      </c>
      <c r="C102" t="s">
        <v>731</v>
      </c>
      <c r="D102" t="s">
        <v>272</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31.121951184099871</v>
      </c>
      <c r="AF102" s="17">
        <f ca="1">OFFSET(PTRA!AS$218,$E102,0)</f>
        <v>35.019737960523855</v>
      </c>
      <c r="AG102" s="17">
        <f ca="1">OFFSET(PTRA!AT$218,$E102,0)</f>
        <v>39.166386044524231</v>
      </c>
      <c r="AH102" s="17">
        <f ca="1">OFFSET(PTRA!AU$218,$E102,0)</f>
        <v>42.806199586463322</v>
      </c>
      <c r="AJ102">
        <f t="shared" ca="1" si="3"/>
        <v>2.4110474902877459</v>
      </c>
    </row>
    <row r="103" spans="1:36">
      <c r="A103" s="26" t="s">
        <v>119</v>
      </c>
      <c r="B103" t="s">
        <v>370</v>
      </c>
      <c r="C103" t="s">
        <v>731</v>
      </c>
      <c r="D103" t="s">
        <v>272</v>
      </c>
      <c r="E103" s="110">
        <f>MATCH(F103,PTRA!$H$219:$H$226,0)</f>
        <v>6</v>
      </c>
      <c r="F103" t="str">
        <f t="shared" si="2"/>
        <v>TPPUBRT</v>
      </c>
      <c r="G103" s="17">
        <f ca="1">OFFSET(PTRA!N$218,$E103,0)</f>
        <v>7.2799982901224303E-2</v>
      </c>
      <c r="H103" s="17">
        <f ca="1">OFFSET(PTRA!O$218,$E103,0)</f>
        <v>9.2054765383727061E-2</v>
      </c>
      <c r="I103" s="17">
        <f ca="1">OFFSET(PTRA!P$218,$E103,0)</f>
        <v>0.1113095478662298</v>
      </c>
      <c r="J103" s="17">
        <f ca="1">OFFSET(PTRA!Q$218,$E103,0)</f>
        <v>0.11091277099762989</v>
      </c>
      <c r="K103" s="17">
        <f ca="1">OFFSET(PTRA!R$218,$E103,0)</f>
        <v>0.11324882528963676</v>
      </c>
      <c r="L103" s="17">
        <f ca="1">OFFSET(PTRA!S$218,$E103,0)</f>
        <v>0.11437101807575958</v>
      </c>
      <c r="M103" s="17">
        <f ca="1">OFFSET(PTRA!T$218,$E103,0)</f>
        <v>0.11549321086188241</v>
      </c>
      <c r="N103" s="17">
        <f ca="1">OFFSET(PTRA!W$218,$E103,0)</f>
        <v>0.11661540364800524</v>
      </c>
      <c r="O103" s="17">
        <f ca="1">OFFSET(PTRA!X$218,$E103,0)</f>
        <v>0.11773759643412807</v>
      </c>
      <c r="P103" s="17">
        <f ca="1">OFFSET(PTRA!Y$218,$E103,0)</f>
        <v>0.11885978922025089</v>
      </c>
      <c r="Q103" s="17">
        <f ca="1">OFFSET(PTRA!Z$218,$E103,0)</f>
        <v>0.11998198200637372</v>
      </c>
      <c r="R103" s="17">
        <f ca="1">OFFSET(PTRA!AA$218,$E103,0)</f>
        <v>0.12110417479249655</v>
      </c>
      <c r="S103" s="17">
        <f ca="1">OFFSET(PTRA!AB$218,$E103,0)</f>
        <v>0.12222636757861938</v>
      </c>
      <c r="T103" s="17">
        <f ca="1">OFFSET(PTRA!AC$218,$E103,0)</f>
        <v>0.12334856036474222</v>
      </c>
      <c r="U103" s="17">
        <f ca="1">OFFSET(PTRA!AD$218,$E103,0)</f>
        <v>0.12432199216161278</v>
      </c>
      <c r="V103" s="17">
        <f ca="1">OFFSET(PTRA!AE$218,$E103,0)</f>
        <v>0.12529542395848337</v>
      </c>
      <c r="W103" s="17">
        <f ca="1">OFFSET(PTRA!AH$218,$E103,0)</f>
        <v>0.12626885575535393</v>
      </c>
      <c r="X103" s="17">
        <f ca="1">OFFSET(PTRA!AI$218,$E103,0)</f>
        <v>0.1272422875522245</v>
      </c>
      <c r="Y103" s="17">
        <f ca="1">OFFSET(PTRA!AJ$218,$E103,0)</f>
        <v>0.12821571934909506</v>
      </c>
      <c r="Z103" s="17">
        <f ca="1">OFFSET(PTRA!AK$218,$E103,0)</f>
        <v>0.12918915114596563</v>
      </c>
      <c r="AA103" s="17">
        <f ca="1">OFFSET(PTRA!AL$218,$E103,0)</f>
        <v>0.1301625829428362</v>
      </c>
      <c r="AB103" s="17">
        <f ca="1">OFFSET(PTRA!AM$218,$E103,0)</f>
        <v>0.13113601473970676</v>
      </c>
      <c r="AC103" s="17">
        <f ca="1">OFFSET(PTRA!AO$218,$E103,0)</f>
        <v>0.13210944653657733</v>
      </c>
      <c r="AD103" s="17">
        <f ca="1">OFFSET(PTRA!AQ$218,$E103,0)</f>
        <v>0.13308287833344792</v>
      </c>
      <c r="AE103" s="17">
        <f ca="1">OFFSET(PTRA!AR$218,$E103,0)</f>
        <v>0.13677353949796572</v>
      </c>
      <c r="AF103" s="17">
        <f ca="1">OFFSET(PTRA!AS$218,$E103,0)</f>
        <v>0.14046420066248355</v>
      </c>
      <c r="AG103" s="17">
        <f ca="1">OFFSET(PTRA!AT$218,$E103,0)</f>
        <v>0.14463708863242258</v>
      </c>
      <c r="AH103" s="17">
        <f ca="1">OFFSET(PTRA!AU$218,$E103,0)</f>
        <v>0.14633958167928779</v>
      </c>
      <c r="AJ103">
        <f t="shared" ca="1" si="3"/>
        <v>2.0101595611340004</v>
      </c>
    </row>
    <row r="104" spans="1:36">
      <c r="A104" s="26" t="s">
        <v>117</v>
      </c>
      <c r="B104">
        <v>0.62801975359410001</v>
      </c>
      <c r="C104" t="s">
        <v>731</v>
      </c>
      <c r="D104" t="s">
        <v>272</v>
      </c>
      <c r="E104" s="110">
        <f>MATCH(F104,PTRA!$H$219:$H$226,0)</f>
        <v>4</v>
      </c>
      <c r="F104" t="str">
        <f t="shared" si="2"/>
        <v>TPPUBUS</v>
      </c>
      <c r="G104" s="17">
        <f ca="1">OFFSET(PTRA!N$218,$E104,0)</f>
        <v>0.64296697178877804</v>
      </c>
      <c r="H104" s="17">
        <f ca="1">OFFSET(PTRA!O$218,$E104,0)</f>
        <v>0.64929079481231411</v>
      </c>
      <c r="I104" s="17">
        <f ca="1">OFFSET(PTRA!P$218,$E104,0)</f>
        <v>0.65561461783585018</v>
      </c>
      <c r="J104" s="17">
        <f ca="1">OFFSET(PTRA!Q$218,$E104,0)</f>
        <v>0.6666265611015576</v>
      </c>
      <c r="K104" s="17">
        <f ca="1">OFFSET(PTRA!R$218,$E104,0)</f>
        <v>0.67369816503155333</v>
      </c>
      <c r="L104" s="17">
        <f ca="1">OFFSET(PTRA!S$218,$E104,0)</f>
        <v>0.6780468957142175</v>
      </c>
      <c r="M104" s="17">
        <f ca="1">OFFSET(PTRA!T$218,$E104,0)</f>
        <v>0.68239562639688167</v>
      </c>
      <c r="N104" s="17">
        <f ca="1">OFFSET(PTRA!W$218,$E104,0)</f>
        <v>0.68674435707954584</v>
      </c>
      <c r="O104" s="17">
        <f ca="1">OFFSET(PTRA!X$218,$E104,0)</f>
        <v>0.69109308776221001</v>
      </c>
      <c r="P104" s="17">
        <f ca="1">OFFSET(PTRA!Y$218,$E104,0)</f>
        <v>0.69544181844487418</v>
      </c>
      <c r="Q104" s="17">
        <f ca="1">OFFSET(PTRA!Z$218,$E104,0)</f>
        <v>0.69979054912753835</v>
      </c>
      <c r="R104" s="17">
        <f ca="1">OFFSET(PTRA!AA$218,$E104,0)</f>
        <v>0.70413927981020252</v>
      </c>
      <c r="S104" s="17">
        <f ca="1">OFFSET(PTRA!AB$218,$E104,0)</f>
        <v>0.70848801049286669</v>
      </c>
      <c r="T104" s="17">
        <f ca="1">OFFSET(PTRA!AC$218,$E104,0)</f>
        <v>0.71283674117553131</v>
      </c>
      <c r="U104" s="17">
        <f ca="1">OFFSET(PTRA!AD$218,$E104,0)</f>
        <v>0.71384873350646316</v>
      </c>
      <c r="V104" s="17">
        <f ca="1">OFFSET(PTRA!AE$218,$E104,0)</f>
        <v>0.71486072583739502</v>
      </c>
      <c r="W104" s="17">
        <f ca="1">OFFSET(PTRA!AH$218,$E104,0)</f>
        <v>0.71587271816832687</v>
      </c>
      <c r="X104" s="17">
        <f ca="1">OFFSET(PTRA!AI$218,$E104,0)</f>
        <v>0.71688471049925873</v>
      </c>
      <c r="Y104" s="17">
        <f ca="1">OFFSET(PTRA!AJ$218,$E104,0)</f>
        <v>0.71789670283019058</v>
      </c>
      <c r="Z104" s="17">
        <f ca="1">OFFSET(PTRA!AK$218,$E104,0)</f>
        <v>0.71890869516112244</v>
      </c>
      <c r="AA104" s="17">
        <f ca="1">OFFSET(PTRA!AL$218,$E104,0)</f>
        <v>0.71992068749205429</v>
      </c>
      <c r="AB104" s="17">
        <f ca="1">OFFSET(PTRA!AM$218,$E104,0)</f>
        <v>0.72093267982298614</v>
      </c>
      <c r="AC104" s="17">
        <f ca="1">OFFSET(PTRA!AO$218,$E104,0)</f>
        <v>0.721944672153918</v>
      </c>
      <c r="AD104" s="17">
        <f ca="1">OFFSET(PTRA!AQ$218,$E104,0)</f>
        <v>0.72295666448485008</v>
      </c>
      <c r="AE104" s="17">
        <f ca="1">OFFSET(PTRA!AR$218,$E104,0)</f>
        <v>0.71131104283376256</v>
      </c>
      <c r="AF104" s="17">
        <f ca="1">OFFSET(PTRA!AS$218,$E104,0)</f>
        <v>0.69966542118267516</v>
      </c>
      <c r="AG104" s="17">
        <f ca="1">OFFSET(PTRA!AT$218,$E104,0)</f>
        <v>0.68531017316263421</v>
      </c>
      <c r="AH104" s="17">
        <f ca="1">OFFSET(PTRA!AU$218,$E104,0)</f>
        <v>0.65713751702226919</v>
      </c>
      <c r="AJ104">
        <f t="shared" ca="1" si="3"/>
        <v>1.0220393050580308</v>
      </c>
    </row>
    <row r="105" spans="1:36">
      <c r="A105" s="26" t="s">
        <v>121</v>
      </c>
      <c r="B105" t="s">
        <v>370</v>
      </c>
      <c r="C105" t="s">
        <v>731</v>
      </c>
      <c r="D105" t="s">
        <v>272</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731</v>
      </c>
      <c r="D106" t="s">
        <v>272</v>
      </c>
      <c r="E106" s="110">
        <f>MATCH(F106,PTRA!$H$219:$H$226,0)</f>
        <v>5</v>
      </c>
      <c r="F106" t="str">
        <f t="shared" si="2"/>
        <v>TPPUMBT</v>
      </c>
      <c r="G106" s="17">
        <f ca="1">OFFSET(PTRA!N$218,$E106,0)</f>
        <v>7.2130505455454896</v>
      </c>
      <c r="H106" s="17">
        <f ca="1">OFFSET(PTRA!O$218,$E106,0)</f>
        <v>7.2845555245765379</v>
      </c>
      <c r="I106" s="17">
        <f ca="1">OFFSET(PTRA!P$218,$E106,0)</f>
        <v>7.3560605036075861</v>
      </c>
      <c r="J106" s="17">
        <f ca="1">OFFSET(PTRA!Q$218,$E106,0)</f>
        <v>7.4796155902715018</v>
      </c>
      <c r="K106" s="17">
        <f ca="1">OFFSET(PTRA!R$218,$E106,0)</f>
        <v>7.5589596819854874</v>
      </c>
      <c r="L106" s="17">
        <f ca="1">OFFSET(PTRA!S$218,$E106,0)</f>
        <v>7.6077528680208575</v>
      </c>
      <c r="M106" s="17">
        <f ca="1">OFFSET(PTRA!T$218,$E106,0)</f>
        <v>7.6565460540562276</v>
      </c>
      <c r="N106" s="17">
        <f ca="1">OFFSET(PTRA!W$218,$E106,0)</f>
        <v>7.7053392400915977</v>
      </c>
      <c r="O106" s="17">
        <f ca="1">OFFSET(PTRA!X$218,$E106,0)</f>
        <v>7.7541324261269677</v>
      </c>
      <c r="P106" s="17">
        <f ca="1">OFFSET(PTRA!Y$218,$E106,0)</f>
        <v>7.8029256121623378</v>
      </c>
      <c r="Q106" s="17">
        <f ca="1">OFFSET(PTRA!Z$218,$E106,0)</f>
        <v>7.8517187981977079</v>
      </c>
      <c r="R106" s="17">
        <f ca="1">OFFSET(PTRA!AA$218,$E106,0)</f>
        <v>7.900511984233078</v>
      </c>
      <c r="S106" s="17">
        <f ca="1">OFFSET(PTRA!AB$218,$E106,0)</f>
        <v>7.9493051702684481</v>
      </c>
      <c r="T106" s="17">
        <f ca="1">OFFSET(PTRA!AC$218,$E106,0)</f>
        <v>7.9980983563038182</v>
      </c>
      <c r="U106" s="17">
        <f ca="1">OFFSET(PTRA!AD$218,$E106,0)</f>
        <v>8.0094530098045205</v>
      </c>
      <c r="V106" s="17">
        <f ca="1">OFFSET(PTRA!AE$218,$E106,0)</f>
        <v>8.0208076633052237</v>
      </c>
      <c r="W106" s="17">
        <f ca="1">OFFSET(PTRA!AH$218,$E106,0)</f>
        <v>8.0321623168059268</v>
      </c>
      <c r="X106" s="17">
        <f ca="1">OFFSET(PTRA!AI$218,$E106,0)</f>
        <v>8.04351697030663</v>
      </c>
      <c r="Y106" s="17">
        <f ca="1">OFFSET(PTRA!AJ$218,$E106,0)</f>
        <v>8.0548716238073332</v>
      </c>
      <c r="Z106" s="17">
        <f ca="1">OFFSET(PTRA!AK$218,$E106,0)</f>
        <v>8.0662262773080364</v>
      </c>
      <c r="AA106" s="17">
        <f ca="1">OFFSET(PTRA!AL$218,$E106,0)</f>
        <v>8.0775809308087396</v>
      </c>
      <c r="AB106" s="17">
        <f ca="1">OFFSET(PTRA!AM$218,$E106,0)</f>
        <v>8.0889355843094428</v>
      </c>
      <c r="AC106" s="17">
        <f ca="1">OFFSET(PTRA!AO$218,$E106,0)</f>
        <v>8.100290237810146</v>
      </c>
      <c r="AD106" s="17">
        <f ca="1">OFFSET(PTRA!AQ$218,$E106,0)</f>
        <v>8.1116448913108439</v>
      </c>
      <c r="AE106" s="17">
        <f ca="1">OFFSET(PTRA!AR$218,$E106,0)</f>
        <v>7.9809798708292981</v>
      </c>
      <c r="AF106" s="17">
        <f ca="1">OFFSET(PTRA!AS$218,$E106,0)</f>
        <v>7.8503148503477531</v>
      </c>
      <c r="AG106" s="17">
        <f ca="1">OFFSET(PTRA!AT$218,$E106,0)</f>
        <v>7.6892475554660615</v>
      </c>
      <c r="AH106" s="17">
        <f ca="1">OFFSET(PTRA!AU$218,$E106,0)</f>
        <v>7.37314758228373</v>
      </c>
      <c r="AJ106">
        <f t="shared" ca="1" si="3"/>
        <v>1.0221954685784242</v>
      </c>
    </row>
    <row r="107" spans="1:36">
      <c r="A107" s="26" t="s">
        <v>120</v>
      </c>
      <c r="B107">
        <v>13.9</v>
      </c>
      <c r="C107" t="s">
        <v>731</v>
      </c>
      <c r="D107" t="s">
        <v>272</v>
      </c>
      <c r="E107" s="111">
        <f>MATCH(F107,PTRA!$H$219:$H$226,0)</f>
        <v>7</v>
      </c>
      <c r="F107" t="str">
        <f t="shared" si="2"/>
        <v>TPPUMER</v>
      </c>
      <c r="G107" s="17">
        <f ca="1">OFFSET(PTRA!N$218,$E107,0)</f>
        <v>8.7048317578401608</v>
      </c>
      <c r="H107" s="17">
        <f ca="1">OFFSET(PTRA!O$218,$E107,0)</f>
        <v>8.7898700606728966</v>
      </c>
      <c r="I107" s="17">
        <f ca="1">OFFSET(PTRA!P$218,$E107,0)</f>
        <v>8.8749083635056305</v>
      </c>
      <c r="J107" s="17">
        <f ca="1">OFFSET(PTRA!Q$218,$E107,0)</f>
        <v>9.0239745751619225</v>
      </c>
      <c r="K107" s="17">
        <f ca="1">OFFSET(PTRA!R$218,$E107,0)</f>
        <v>9.1197012950280598</v>
      </c>
      <c r="L107" s="17">
        <f ca="1">OFFSET(PTRA!S$218,$E107,0)</f>
        <v>9.178569089089164</v>
      </c>
      <c r="M107" s="17">
        <f ca="1">OFFSET(PTRA!T$218,$E107,0)</f>
        <v>9.2374368831502682</v>
      </c>
      <c r="N107" s="17">
        <f ca="1">OFFSET(PTRA!W$218,$E107,0)</f>
        <v>9.2963046772113724</v>
      </c>
      <c r="O107" s="17">
        <f ca="1">OFFSET(PTRA!X$218,$E107,0)</f>
        <v>9.3551724712724766</v>
      </c>
      <c r="P107" s="17">
        <f ca="1">OFFSET(PTRA!Y$218,$E107,0)</f>
        <v>9.4140402653335808</v>
      </c>
      <c r="Q107" s="17">
        <f ca="1">OFFSET(PTRA!Z$218,$E107,0)</f>
        <v>9.4729080593946851</v>
      </c>
      <c r="R107" s="17">
        <f ca="1">OFFSET(PTRA!AA$218,$E107,0)</f>
        <v>9.5317758534557893</v>
      </c>
      <c r="S107" s="17">
        <f ca="1">OFFSET(PTRA!AB$218,$E107,0)</f>
        <v>9.5906436475168935</v>
      </c>
      <c r="T107" s="17">
        <f ca="1">OFFSET(PTRA!AC$218,$E107,0)</f>
        <v>9.6495114415779959</v>
      </c>
      <c r="U107" s="17">
        <f ca="1">OFFSET(PTRA!AD$218,$E107,0)</f>
        <v>9.6632105552909238</v>
      </c>
      <c r="V107" s="17">
        <f ca="1">OFFSET(PTRA!AE$218,$E107,0)</f>
        <v>9.6769096690038516</v>
      </c>
      <c r="W107" s="17">
        <f ca="1">OFFSET(PTRA!AH$218,$E107,0)</f>
        <v>9.6906087827167795</v>
      </c>
      <c r="X107" s="17">
        <f ca="1">OFFSET(PTRA!AI$218,$E107,0)</f>
        <v>9.7043078964297074</v>
      </c>
      <c r="Y107" s="17">
        <f ca="1">OFFSET(PTRA!AJ$218,$E107,0)</f>
        <v>9.7180070101426352</v>
      </c>
      <c r="Z107" s="17">
        <f ca="1">OFFSET(PTRA!AK$218,$E107,0)</f>
        <v>9.7317061238555631</v>
      </c>
      <c r="AA107" s="17">
        <f ca="1">OFFSET(PTRA!AL$218,$E107,0)</f>
        <v>9.745405237568491</v>
      </c>
      <c r="AB107" s="17">
        <f ca="1">OFFSET(PTRA!AM$218,$E107,0)</f>
        <v>9.7591043512814188</v>
      </c>
      <c r="AC107" s="17">
        <f ca="1">OFFSET(PTRA!AO$218,$E107,0)</f>
        <v>9.7728034649943467</v>
      </c>
      <c r="AD107" s="17">
        <f ca="1">OFFSET(PTRA!AQ$218,$E107,0)</f>
        <v>9.7865025787072693</v>
      </c>
      <c r="AE107" s="17">
        <f ca="1">OFFSET(PTRA!AR$218,$E107,0)</f>
        <v>9.6288584045571817</v>
      </c>
      <c r="AF107" s="17">
        <f ca="1">OFFSET(PTRA!AS$218,$E107,0)</f>
        <v>9.4712142304070923</v>
      </c>
      <c r="AG107" s="17">
        <f ca="1">OFFSET(PTRA!AT$218,$E107,0)</f>
        <v>9.2768904504800904</v>
      </c>
      <c r="AH107" s="17">
        <f ca="1">OFFSET(PTRA!AU$218,$E107,0)</f>
        <v>8.8955235089868872</v>
      </c>
      <c r="AJ107">
        <f t="shared" ca="1" si="3"/>
        <v>1.0219064258163262</v>
      </c>
    </row>
    <row r="108" spans="1:36">
      <c r="A108" s="26" t="s">
        <v>146</v>
      </c>
      <c r="B108">
        <v>0.1024485696</v>
      </c>
      <c r="C108" t="s">
        <v>731</v>
      </c>
      <c r="D108" t="s">
        <v>272</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225</v>
      </c>
      <c r="B109">
        <v>82.184767358499997</v>
      </c>
      <c r="C109" t="s">
        <v>731</v>
      </c>
      <c r="D109" t="s">
        <v>272</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7">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231</v>
      </c>
      <c r="B110">
        <v>9.1664843454099998</v>
      </c>
      <c r="C110" t="s">
        <v>731</v>
      </c>
      <c r="D110" t="s">
        <v>272</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7">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226</v>
      </c>
      <c r="B111">
        <v>29.897246584059999</v>
      </c>
      <c r="C111" t="s">
        <v>731</v>
      </c>
      <c r="D111" t="s">
        <v>272</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7">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227</v>
      </c>
      <c r="B112">
        <v>0.29916376652240001</v>
      </c>
      <c r="C112" t="s">
        <v>731</v>
      </c>
      <c r="D112" t="s">
        <v>272</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7">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228</v>
      </c>
      <c r="B113">
        <v>177.48088542799999</v>
      </c>
      <c r="C113" t="s">
        <v>731</v>
      </c>
      <c r="D113" t="s">
        <v>272</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7">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233</v>
      </c>
      <c r="B114">
        <v>30.831061307799999</v>
      </c>
      <c r="C114" t="s">
        <v>731</v>
      </c>
      <c r="D114" t="s">
        <v>272</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7">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229</v>
      </c>
      <c r="B115">
        <v>7.3604096683640003</v>
      </c>
      <c r="C115" t="s">
        <v>731</v>
      </c>
      <c r="D115" t="s">
        <v>272</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7">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232</v>
      </c>
      <c r="B116">
        <v>3.1678360284579998</v>
      </c>
      <c r="C116" t="s">
        <v>731</v>
      </c>
      <c r="D116" t="s">
        <v>272</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7">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230</v>
      </c>
      <c r="B117">
        <v>31.577350492680001</v>
      </c>
      <c r="C117" t="s">
        <v>731</v>
      </c>
      <c r="D117" t="s">
        <v>272</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7">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234</v>
      </c>
      <c r="B118" t="s">
        <v>370</v>
      </c>
      <c r="C118" t="s">
        <v>731</v>
      </c>
      <c r="D118" t="s">
        <v>272</v>
      </c>
      <c r="E118" s="109">
        <f>MATCH(F118,COM!$D$248:$D$266,0)</f>
        <v>11</v>
      </c>
      <c r="F118" t="str">
        <f t="shared" si="2"/>
        <v>CNC</v>
      </c>
      <c r="G118" s="17">
        <f ca="1">OFFSET(COM!Q$247,$E118,0)</f>
        <v>0</v>
      </c>
      <c r="H118" s="17">
        <f ca="1">OFFSET(COM!R$247,$E118,0)</f>
        <v>1.7663141176431716</v>
      </c>
      <c r="I118" s="17">
        <f ca="1">OFFSET(COM!S$247,$E118,0)</f>
        <v>3.4029475996970713</v>
      </c>
      <c r="J118" s="167">
        <f ca="1">OFFSET(COM!T$247,$E118,0)</f>
        <v>4.4302493543804173</v>
      </c>
      <c r="K118" s="17">
        <f ca="1">OFFSET(COM!U$247,$E118,0)</f>
        <v>7.8096695115239028</v>
      </c>
      <c r="L118" s="17">
        <f ca="1">OFFSET(COM!V$247,$E118,0)</f>
        <v>9.7380730180887642</v>
      </c>
      <c r="M118" s="17">
        <f ca="1">OFFSET(COM!W$247,$E118,0)</f>
        <v>10.860509619133577</v>
      </c>
      <c r="N118" s="17">
        <f ca="1">OFFSET(COM!X$247,$E118,0)</f>
        <v>12.36390722550196</v>
      </c>
      <c r="O118" s="167">
        <f ca="1">OFFSET(COM!Y$247,$E118,0)</f>
        <v>13.917235381760324</v>
      </c>
      <c r="P118" s="17">
        <f ca="1">OFFSET(COM!Z$247,$E118,0)</f>
        <v>15.617289035028104</v>
      </c>
      <c r="Q118" s="17">
        <f ca="1">OFFSET(COM!AA$247,$E118,0)</f>
        <v>17.418220519680553</v>
      </c>
      <c r="R118" s="17">
        <f ca="1">OFFSET(COM!AB$247,$E118,0)</f>
        <v>19.32202716912996</v>
      </c>
      <c r="S118" s="17">
        <f ca="1">OFFSET(COM!AC$247,$E118,0)</f>
        <v>21.430715623327153</v>
      </c>
      <c r="T118" s="17">
        <f ca="1">OFFSET(COM!AD$247,$E118,0)</f>
        <v>23.757462408106875</v>
      </c>
      <c r="U118" s="17">
        <f ca="1">OFFSET(COM!AE$247,$E118,0)</f>
        <v>26.257748223884533</v>
      </c>
      <c r="V118" s="17">
        <f ca="1">OFFSET(COM!AF$247,$E118,0)</f>
        <v>28.812721467643033</v>
      </c>
      <c r="W118" s="17">
        <f ca="1">OFFSET(COM!AG$247,$E118,0)</f>
        <v>31.434388145086068</v>
      </c>
      <c r="X118" s="17">
        <f ca="1">OFFSET(COM!AH$247,$E118,0)</f>
        <v>34.254722957522702</v>
      </c>
      <c r="Y118" s="17">
        <f ca="1">OFFSET(COM!AI$247,$E118,0)</f>
        <v>37.146795283201065</v>
      </c>
      <c r="Z118" s="17">
        <f ca="1">OFFSET(COM!AJ$247,$E118,0)</f>
        <v>40.113084077224983</v>
      </c>
      <c r="AA118" s="17">
        <f ca="1">OFFSET(COM!AK$247,$E118,0)</f>
        <v>43.163009136716987</v>
      </c>
      <c r="AB118" s="17">
        <f ca="1">OFFSET(COM!AL$247,$E118,0)</f>
        <v>46.265490184537072</v>
      </c>
      <c r="AC118" s="17">
        <f ca="1">OFFSET(COM!AM$247,$E118,0)</f>
        <v>49.357689919007186</v>
      </c>
      <c r="AD118" s="17">
        <f ca="1">OFFSET(COM!AN$247,$E118,0)</f>
        <v>52.416961220615228</v>
      </c>
      <c r="AE118" s="17">
        <f ca="1">OFFSET(COM!AO$247,$E118,0)</f>
        <v>68.000801500707894</v>
      </c>
      <c r="AF118" s="17">
        <f ca="1">OFFSET(COM!AP$247,$E118,0)</f>
        <v>84.586647856906751</v>
      </c>
      <c r="AG118" s="17">
        <f ca="1">OFFSET(COM!AQ$247,$E118,0)</f>
        <v>113.96258857124937</v>
      </c>
      <c r="AH118" s="17">
        <f ca="1">OFFSET(COM!AR$247,$E118,0)</f>
        <v>130.93900116186123</v>
      </c>
      <c r="AJ118" t="e">
        <f t="shared" ca="1" si="3"/>
        <v>#DIV/0!</v>
      </c>
    </row>
    <row r="119" spans="1:36">
      <c r="A119" s="26" t="s">
        <v>240</v>
      </c>
      <c r="B119" t="s">
        <v>370</v>
      </c>
      <c r="C119" t="s">
        <v>731</v>
      </c>
      <c r="D119" t="s">
        <v>272</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235</v>
      </c>
      <c r="B120" t="s">
        <v>370</v>
      </c>
      <c r="C120" t="s">
        <v>731</v>
      </c>
      <c r="D120" t="s">
        <v>272</v>
      </c>
      <c r="E120" s="109">
        <f>MATCH(F120,COM!$D$248:$D$266,0)</f>
        <v>12</v>
      </c>
      <c r="F120" t="str">
        <f t="shared" si="2"/>
        <v>CNH</v>
      </c>
      <c r="G120" s="17">
        <f ca="1">OFFSET(COM!Q$247,$E120,0)</f>
        <v>0</v>
      </c>
      <c r="H120" s="17">
        <f ca="1">OFFSET(COM!R$247,$E120,0)</f>
        <v>0.16496217879515399</v>
      </c>
      <c r="I120" s="17">
        <f ca="1">OFFSET(COM!S$247,$E120,0)</f>
        <v>0.31781303493220059</v>
      </c>
      <c r="J120" s="167">
        <f ca="1">OFFSET(COM!T$247,$E120,0)</f>
        <v>0.4137562955560648</v>
      </c>
      <c r="K120" s="17">
        <f ca="1">OFFSET(COM!U$247,$E120,0)</f>
        <v>0.7293720213311059</v>
      </c>
      <c r="L120" s="17">
        <f ca="1">OFFSET(COM!V$247,$E120,0)</f>
        <v>0.90947228824377724</v>
      </c>
      <c r="M120" s="17">
        <f ca="1">OFFSET(COM!W$247,$E120,0)</f>
        <v>1.0143005208997224</v>
      </c>
      <c r="N120" s="17">
        <f ca="1">OFFSET(COM!X$247,$E120,0)</f>
        <v>1.1547080182212432</v>
      </c>
      <c r="O120" s="167">
        <f ca="1">OFFSET(COM!Y$247,$E120,0)</f>
        <v>1.2997787021277649</v>
      </c>
      <c r="P120" s="17">
        <f ca="1">OFFSET(COM!Z$247,$E120,0)</f>
        <v>1.4585525871974923</v>
      </c>
      <c r="Q120" s="17">
        <f ca="1">OFFSET(COM!AA$247,$E120,0)</f>
        <v>1.626747801515015</v>
      </c>
      <c r="R120" s="17">
        <f ca="1">OFFSET(COM!AB$247,$E120,0)</f>
        <v>1.8045508829493231</v>
      </c>
      <c r="S120" s="17">
        <f ca="1">OFFSET(COM!AC$247,$E120,0)</f>
        <v>2.0014885840807062</v>
      </c>
      <c r="T120" s="17">
        <f ca="1">OFFSET(COM!AD$247,$E120,0)</f>
        <v>2.2187915061872387</v>
      </c>
      <c r="U120" s="17">
        <f ca="1">OFFSET(COM!AE$247,$E120,0)</f>
        <v>2.4523018380480548</v>
      </c>
      <c r="V120" s="17">
        <f ca="1">OFFSET(COM!AF$247,$E120,0)</f>
        <v>2.6909196177757657</v>
      </c>
      <c r="W120" s="17">
        <f ca="1">OFFSET(COM!AG$247,$E120,0)</f>
        <v>2.9357661277287725</v>
      </c>
      <c r="X120" s="17">
        <f ca="1">OFFSET(COM!AH$247,$E120,0)</f>
        <v>3.199166941289703</v>
      </c>
      <c r="Y120" s="17">
        <f ca="1">OFFSET(COM!AI$247,$E120,0)</f>
        <v>3.4692675690951651</v>
      </c>
      <c r="Z120" s="17">
        <f ca="1">OFFSET(COM!AJ$247,$E120,0)</f>
        <v>3.7462995293281232</v>
      </c>
      <c r="AA120" s="17">
        <f ca="1">OFFSET(COM!AK$247,$E120,0)</f>
        <v>4.0311425693911591</v>
      </c>
      <c r="AB120" s="17">
        <f ca="1">OFFSET(COM!AL$247,$E120,0)</f>
        <v>4.3208939948069096</v>
      </c>
      <c r="AC120" s="17">
        <f ca="1">OFFSET(COM!AM$247,$E120,0)</f>
        <v>4.6096852128427024</v>
      </c>
      <c r="AD120" s="17">
        <f ca="1">OFFSET(COM!AN$247,$E120,0)</f>
        <v>4.8954011307521021</v>
      </c>
      <c r="AE120" s="17">
        <f ca="1">OFFSET(COM!AO$247,$E120,0)</f>
        <v>6.3508298231468414</v>
      </c>
      <c r="AF120" s="17">
        <f ca="1">OFFSET(COM!AP$247,$E120,0)</f>
        <v>7.899839325336055</v>
      </c>
      <c r="AG120" s="17">
        <f ca="1">OFFSET(COM!AQ$247,$E120,0)</f>
        <v>10.643359934717378</v>
      </c>
      <c r="AH120" s="17">
        <f ca="1">OFFSET(COM!AR$247,$E120,0)</f>
        <v>12.228845767106883</v>
      </c>
      <c r="AJ120" t="e">
        <f t="shared" ca="1" si="3"/>
        <v>#DIV/0!</v>
      </c>
    </row>
    <row r="121" spans="1:36">
      <c r="A121" s="26" t="s">
        <v>236</v>
      </c>
      <c r="B121" t="s">
        <v>370</v>
      </c>
      <c r="C121" t="s">
        <v>731</v>
      </c>
      <c r="D121" t="s">
        <v>272</v>
      </c>
      <c r="E121" s="109">
        <f>MATCH(F121,COM!$D$248:$D$266,0)</f>
        <v>13</v>
      </c>
      <c r="F121" t="str">
        <f t="shared" si="2"/>
        <v>CNK</v>
      </c>
      <c r="G121" s="17">
        <f ca="1">OFFSET(COM!Q$247,$E121,0)</f>
        <v>0</v>
      </c>
      <c r="H121" s="17">
        <f ca="1">OFFSET(COM!R$247,$E121,0)</f>
        <v>0.12328571728297376</v>
      </c>
      <c r="I121" s="17">
        <f ca="1">OFFSET(COM!S$247,$E121,0)</f>
        <v>0.23751994705495594</v>
      </c>
      <c r="J121" s="167">
        <f ca="1">OFFSET(COM!T$247,$E121,0)</f>
        <v>0.3092238599813768</v>
      </c>
      <c r="K121" s="17">
        <f ca="1">OFFSET(COM!U$247,$E121,0)</f>
        <v>0.54510163161460012</v>
      </c>
      <c r="L121" s="17">
        <f ca="1">OFFSET(COM!V$247,$E121,0)</f>
        <v>0.67970091219730777</v>
      </c>
      <c r="M121" s="17">
        <f ca="1">OFFSET(COM!W$247,$E121,0)</f>
        <v>0.75804507537996768</v>
      </c>
      <c r="N121" s="17">
        <f ca="1">OFFSET(COM!X$247,$E121,0)</f>
        <v>0.86297966793700664</v>
      </c>
      <c r="O121" s="167">
        <f ca="1">OFFSET(COM!Y$247,$E121,0)</f>
        <v>0.97139932784193805</v>
      </c>
      <c r="P121" s="17">
        <f ca="1">OFFSET(COM!Z$247,$E121,0)</f>
        <v>1.0900601775566656</v>
      </c>
      <c r="Q121" s="17">
        <f ca="1">OFFSET(COM!AA$247,$E121,0)</f>
        <v>1.2157621281016378</v>
      </c>
      <c r="R121" s="17">
        <f ca="1">OFFSET(COM!AB$247,$E121,0)</f>
        <v>1.3486445899474655</v>
      </c>
      <c r="S121" s="17">
        <f ca="1">OFFSET(COM!AC$247,$E121,0)</f>
        <v>1.495827452839888</v>
      </c>
      <c r="T121" s="17">
        <f ca="1">OFFSET(COM!AD$247,$E121,0)</f>
        <v>1.6582304158418353</v>
      </c>
      <c r="U121" s="17">
        <f ca="1">OFFSET(COM!AE$247,$E121,0)</f>
        <v>1.832746107661078</v>
      </c>
      <c r="V121" s="17">
        <f ca="1">OFFSET(COM!AF$247,$E121,0)</f>
        <v>2.0110788888177349</v>
      </c>
      <c r="W121" s="17">
        <f ca="1">OFFSET(COM!AG$247,$E121,0)</f>
        <v>2.1940667580630455</v>
      </c>
      <c r="X121" s="17">
        <f ca="1">OFFSET(COM!AH$247,$E121,0)</f>
        <v>2.3909213247883256</v>
      </c>
      <c r="Y121" s="17">
        <f ca="1">OFFSET(COM!AI$247,$E121,0)</f>
        <v>2.5927830477650113</v>
      </c>
      <c r="Z121" s="17">
        <f ca="1">OFFSET(COM!AJ$247,$E121,0)</f>
        <v>2.7998249538375557</v>
      </c>
      <c r="AA121" s="17">
        <f ca="1">OFFSET(COM!AK$247,$E121,0)</f>
        <v>3.0127045288026864</v>
      </c>
      <c r="AB121" s="17">
        <f ca="1">OFFSET(COM!AL$247,$E121,0)</f>
        <v>3.2292524222474244</v>
      </c>
      <c r="AC121" s="17">
        <f ca="1">OFFSET(COM!AM$247,$E121,0)</f>
        <v>3.4450826975299682</v>
      </c>
      <c r="AD121" s="17">
        <f ca="1">OFFSET(COM!AN$247,$E121,0)</f>
        <v>3.6586146242776425</v>
      </c>
      <c r="AE121" s="17">
        <f ca="1">OFFSET(COM!AO$247,$E121,0)</f>
        <v>4.7463401357048536</v>
      </c>
      <c r="AF121" s="17">
        <f ca="1">OFFSET(COM!AP$247,$E121,0)</f>
        <v>5.904003964773711</v>
      </c>
      <c r="AG121" s="17">
        <f ca="1">OFFSET(COM!AQ$247,$E121,0)</f>
        <v>7.9543945978182222</v>
      </c>
      <c r="AH121" s="17">
        <f ca="1">OFFSET(COM!AR$247,$E121,0)</f>
        <v>9.1393192848936771</v>
      </c>
      <c r="AJ121" t="e">
        <f t="shared" ca="1" si="3"/>
        <v>#DIV/0!</v>
      </c>
    </row>
    <row r="122" spans="1:36">
      <c r="A122" s="26" t="s">
        <v>237</v>
      </c>
      <c r="B122" t="s">
        <v>370</v>
      </c>
      <c r="C122" t="s">
        <v>731</v>
      </c>
      <c r="D122" t="s">
        <v>272</v>
      </c>
      <c r="E122" s="109">
        <f>MATCH(F122,COM!$D$248:$D$266,0)</f>
        <v>14</v>
      </c>
      <c r="F122" t="str">
        <f t="shared" si="2"/>
        <v>CNL</v>
      </c>
      <c r="G122" s="17">
        <f ca="1">OFFSET(COM!Q$247,$E122,0)</f>
        <v>0</v>
      </c>
      <c r="H122" s="17">
        <f ca="1">OFFSET(COM!R$247,$E122,0)</f>
        <v>1.5371011281891316</v>
      </c>
      <c r="I122" s="17">
        <f ca="1">OFFSET(COM!S$247,$E122,0)</f>
        <v>2.9613501598697858</v>
      </c>
      <c r="J122" s="167">
        <f ca="1">OFFSET(COM!T$247,$E122,0)</f>
        <v>3.8553398926934275</v>
      </c>
      <c r="K122" s="17">
        <f ca="1">OFFSET(COM!U$247,$E122,0)</f>
        <v>6.7962157450030283</v>
      </c>
      <c r="L122" s="17">
        <f ca="1">OFFSET(COM!V$247,$E122,0)</f>
        <v>8.4743720683527251</v>
      </c>
      <c r="M122" s="17">
        <f ca="1">OFFSET(COM!W$247,$E122,0)</f>
        <v>9.4511510843574502</v>
      </c>
      <c r="N122" s="17">
        <f ca="1">OFFSET(COM!X$247,$E122,0)</f>
        <v>10.759454139733087</v>
      </c>
      <c r="O122" s="167">
        <f ca="1">OFFSET(COM!Y$247,$E122,0)</f>
        <v>12.111208302587499</v>
      </c>
      <c r="P122" s="17">
        <f ca="1">OFFSET(COM!Z$247,$E122,0)</f>
        <v>13.590647527082144</v>
      </c>
      <c r="Q122" s="17">
        <f ca="1">OFFSET(COM!AA$247,$E122,0)</f>
        <v>15.157873757796017</v>
      </c>
      <c r="R122" s="17">
        <f ca="1">OFFSET(COM!AB$247,$E122,0)</f>
        <v>16.814625135986514</v>
      </c>
      <c r="S122" s="17">
        <f ca="1">OFFSET(COM!AC$247,$E122,0)</f>
        <v>18.64967099196981</v>
      </c>
      <c r="T122" s="17">
        <f ca="1">OFFSET(COM!AD$247,$E122,0)</f>
        <v>20.674477945711125</v>
      </c>
      <c r="U122" s="17">
        <f ca="1">OFFSET(COM!AE$247,$E122,0)</f>
        <v>22.850303926967033</v>
      </c>
      <c r="V122" s="17">
        <f ca="1">OFFSET(COM!AF$247,$E122,0)</f>
        <v>25.073720598014454</v>
      </c>
      <c r="W122" s="17">
        <f ca="1">OFFSET(COM!AG$247,$E122,0)</f>
        <v>27.35517595602888</v>
      </c>
      <c r="X122" s="17">
        <f ca="1">OFFSET(COM!AH$247,$E122,0)</f>
        <v>29.809518464399869</v>
      </c>
      <c r="Y122" s="17">
        <f ca="1">OFFSET(COM!AI$247,$E122,0)</f>
        <v>32.326289173641769</v>
      </c>
      <c r="Z122" s="17">
        <f ca="1">OFFSET(COM!AJ$247,$E122,0)</f>
        <v>34.907645347091119</v>
      </c>
      <c r="AA122" s="17">
        <f ca="1">OFFSET(COM!AK$247,$E122,0)</f>
        <v>37.561784383296526</v>
      </c>
      <c r="AB122" s="17">
        <f ca="1">OFFSET(COM!AL$247,$E122,0)</f>
        <v>40.261659264641409</v>
      </c>
      <c r="AC122" s="17">
        <f ca="1">OFFSET(COM!AM$247,$E122,0)</f>
        <v>42.952587029393811</v>
      </c>
      <c r="AD122" s="17">
        <f ca="1">OFFSET(COM!AN$247,$E122,0)</f>
        <v>45.614859454308174</v>
      </c>
      <c r="AE122" s="17">
        <f ca="1">OFFSET(COM!AO$247,$E122,0)</f>
        <v>59.176398841204929</v>
      </c>
      <c r="AF122" s="17">
        <f ca="1">OFFSET(COM!AP$247,$E122,0)</f>
        <v>73.60991487973503</v>
      </c>
      <c r="AG122" s="17">
        <f ca="1">OFFSET(COM!AQ$247,$E122,0)</f>
        <v>99.173766270948889</v>
      </c>
      <c r="AH122" s="17">
        <f ca="1">OFFSET(COM!AR$247,$E122,0)</f>
        <v>113.94716511602635</v>
      </c>
      <c r="AJ122" t="e">
        <f t="shared" ca="1" si="3"/>
        <v>#DIV/0!</v>
      </c>
    </row>
    <row r="123" spans="1:36">
      <c r="A123" s="26" t="s">
        <v>242</v>
      </c>
      <c r="B123" t="s">
        <v>370</v>
      </c>
      <c r="C123" t="s">
        <v>731</v>
      </c>
      <c r="D123" t="s">
        <v>272</v>
      </c>
      <c r="E123" s="109">
        <f>MATCH(F123,COM!$D$248:$D$266,0)</f>
        <v>19</v>
      </c>
      <c r="F123" t="str">
        <f t="shared" si="2"/>
        <v>CNO</v>
      </c>
      <c r="G123" s="17">
        <f ca="1">OFFSET(COM!Q$247,$E123,0)</f>
        <v>0</v>
      </c>
      <c r="H123" s="17">
        <f ca="1">OFFSET(COM!R$247,$E123,0)</f>
        <v>0.27783625702001274</v>
      </c>
      <c r="I123" s="17">
        <f ca="1">OFFSET(COM!S$247,$E123,0)</f>
        <v>0.53527411375538358</v>
      </c>
      <c r="J123" s="167">
        <f ca="1">OFFSET(COM!T$247,$E123,0)</f>
        <v>0.69686579866596787</v>
      </c>
      <c r="K123" s="17">
        <f ca="1">OFFSET(COM!U$247,$E123,0)</f>
        <v>1.2284391116911484</v>
      </c>
      <c r="L123" s="17">
        <f ca="1">OFFSET(COM!V$247,$E123,0)</f>
        <v>1.5317715750035923</v>
      </c>
      <c r="M123" s="17">
        <f ca="1">OFFSET(COM!W$247,$E123,0)</f>
        <v>1.7083277044380716</v>
      </c>
      <c r="N123" s="17">
        <f ca="1">OFFSET(COM!X$247,$E123,0)</f>
        <v>1.9448079315924471</v>
      </c>
      <c r="O123" s="167">
        <f ca="1">OFFSET(COM!Y$247,$E123,0)</f>
        <v>2.1891420942126696</v>
      </c>
      <c r="P123" s="17">
        <f ca="1">OFFSET(COM!Z$247,$E123,0)</f>
        <v>2.4565557660160557</v>
      </c>
      <c r="Q123" s="17">
        <f ca="1">OFFSET(COM!AA$247,$E123,0)</f>
        <v>2.7398372377810984</v>
      </c>
      <c r="R123" s="17">
        <f ca="1">OFFSET(COM!AB$247,$E123,0)</f>
        <v>3.0393006844519657</v>
      </c>
      <c r="S123" s="17">
        <f ca="1">OFFSET(COM!AC$247,$E123,0)</f>
        <v>3.3709914644119889</v>
      </c>
      <c r="T123" s="17">
        <f ca="1">OFFSET(COM!AD$247,$E123,0)</f>
        <v>3.7369822082209807</v>
      </c>
      <c r="U123" s="17">
        <f ca="1">OFFSET(COM!AE$247,$E123,0)</f>
        <v>4.1302701549101037</v>
      </c>
      <c r="V123" s="17">
        <f ca="1">OFFSET(COM!AF$247,$E123,0)</f>
        <v>4.5321602806479477</v>
      </c>
      <c r="W123" s="17">
        <f ca="1">OFFSET(COM!AG$247,$E123,0)</f>
        <v>4.944541096460469</v>
      </c>
      <c r="X123" s="17">
        <f ca="1">OFFSET(COM!AH$247,$E123,0)</f>
        <v>5.388171852736253</v>
      </c>
      <c r="Y123" s="17">
        <f ca="1">OFFSET(COM!AI$247,$E123,0)</f>
        <v>5.8430867186547779</v>
      </c>
      <c r="Z123" s="17">
        <f ca="1">OFFSET(COM!AJ$247,$E123,0)</f>
        <v>6.3096756269015639</v>
      </c>
      <c r="AA123" s="17">
        <f ca="1">OFFSET(COM!AK$247,$E123,0)</f>
        <v>6.7894202851458596</v>
      </c>
      <c r="AB123" s="17">
        <f ca="1">OFFSET(COM!AL$247,$E123,0)</f>
        <v>7.2774318529591859</v>
      </c>
      <c r="AC123" s="17">
        <f ca="1">OFFSET(COM!AM$247,$E123,0)</f>
        <v>7.763826199016842</v>
      </c>
      <c r="AD123" s="17">
        <f ca="1">OFFSET(COM!AN$247,$E123,0)</f>
        <v>8.2450409949341523</v>
      </c>
      <c r="AE123" s="17">
        <f ca="1">OFFSET(COM!AO$247,$E123,0)</f>
        <v>10.696335365606982</v>
      </c>
      <c r="AF123" s="17">
        <f ca="1">OFFSET(COM!AP$247,$E123,0)</f>
        <v>13.305242481892762</v>
      </c>
      <c r="AG123" s="17">
        <f ca="1">OFFSET(COM!AQ$247,$E123,0)</f>
        <v>17.925995570479898</v>
      </c>
      <c r="AH123" s="17">
        <f ca="1">OFFSET(COM!AR$247,$E123,0)</f>
        <v>20.596337660083165</v>
      </c>
      <c r="AJ123" t="e">
        <f t="shared" ca="1" si="3"/>
        <v>#DIV/0!</v>
      </c>
    </row>
    <row r="124" spans="1:36">
      <c r="A124" s="26" t="s">
        <v>238</v>
      </c>
      <c r="B124" t="s">
        <v>370</v>
      </c>
      <c r="C124" t="s">
        <v>731</v>
      </c>
      <c r="D124" t="s">
        <v>272</v>
      </c>
      <c r="E124" s="109">
        <f>MATCH(F124,COM!$D$248:$D$266,0)</f>
        <v>15</v>
      </c>
      <c r="F124" t="str">
        <f t="shared" si="2"/>
        <v>CNR</v>
      </c>
      <c r="G124" s="17">
        <f ca="1">OFFSET(COM!Q$247,$E124,0)</f>
        <v>0</v>
      </c>
      <c r="H124" s="17">
        <f ca="1">OFFSET(COM!R$247,$E124,0)</f>
        <v>0.37392159230343008</v>
      </c>
      <c r="I124" s="17">
        <f ca="1">OFFSET(COM!S$247,$E124,0)</f>
        <v>0.72039031579598123</v>
      </c>
      <c r="J124" s="167">
        <f ca="1">OFFSET(COM!T$247,$E124,0)</f>
        <v>0.93786596412508894</v>
      </c>
      <c r="K124" s="17">
        <f ca="1">OFFSET(COM!U$247,$E124,0)</f>
        <v>1.6532756149903027</v>
      </c>
      <c r="L124" s="17">
        <f ca="1">OFFSET(COM!V$247,$E124,0)</f>
        <v>2.0615108787951302</v>
      </c>
      <c r="M124" s="17">
        <f ca="1">OFFSET(COM!W$247,$E124,0)</f>
        <v>2.2991261913434693</v>
      </c>
      <c r="N124" s="17">
        <f ca="1">OFFSET(COM!X$247,$E124,0)</f>
        <v>2.617389416000544</v>
      </c>
      <c r="O124" s="167">
        <f ca="1">OFFSET(COM!Y$247,$E124,0)</f>
        <v>2.9462227371840277</v>
      </c>
      <c r="P124" s="17">
        <f ca="1">OFFSET(COM!Z$247,$E124,0)</f>
        <v>3.3061172557645402</v>
      </c>
      <c r="Q124" s="17">
        <f ca="1">OFFSET(COM!AA$247,$E124,0)</f>
        <v>3.6873672053879765</v>
      </c>
      <c r="R124" s="17">
        <f ca="1">OFFSET(COM!AB$247,$E124,0)</f>
        <v>4.0903954135018585</v>
      </c>
      <c r="S124" s="17">
        <f ca="1">OFFSET(COM!AC$247,$E124,0)</f>
        <v>4.5367962753810369</v>
      </c>
      <c r="T124" s="17">
        <f ca="1">OFFSET(COM!AD$247,$E124,0)</f>
        <v>5.0293592085316856</v>
      </c>
      <c r="U124" s="17">
        <f ca="1">OFFSET(COM!AE$247,$E124,0)</f>
        <v>5.5586596563459922</v>
      </c>
      <c r="V124" s="17">
        <f ca="1">OFFSET(COM!AF$247,$E124,0)</f>
        <v>6.0995372126402225</v>
      </c>
      <c r="W124" s="17">
        <f ca="1">OFFSET(COM!AG$247,$E124,0)</f>
        <v>6.654533500518153</v>
      </c>
      <c r="X124" s="17">
        <f ca="1">OFFSET(COM!AH$247,$E124,0)</f>
        <v>7.2515870332738412</v>
      </c>
      <c r="Y124" s="17">
        <f ca="1">OFFSET(COM!AI$247,$E124,0)</f>
        <v>7.8638271089616714</v>
      </c>
      <c r="Z124" s="17">
        <f ca="1">OFFSET(COM!AJ$247,$E124,0)</f>
        <v>8.4917785124035561</v>
      </c>
      <c r="AA124" s="17">
        <f ca="1">OFFSET(COM!AK$247,$E124,0)</f>
        <v>9.1374353767517213</v>
      </c>
      <c r="AB124" s="17">
        <f ca="1">OFFSET(COM!AL$247,$E124,0)</f>
        <v>9.7942181323807258</v>
      </c>
      <c r="AC124" s="17">
        <f ca="1">OFFSET(COM!AM$247,$E124,0)</f>
        <v>10.448824375338296</v>
      </c>
      <c r="AD124" s="17">
        <f ca="1">OFFSET(COM!AN$247,$E124,0)</f>
        <v>11.096459801539741</v>
      </c>
      <c r="AE124" s="17">
        <f ca="1">OFFSET(COM!AO$247,$E124,0)</f>
        <v>14.395496090458636</v>
      </c>
      <c r="AF124" s="17">
        <f ca="1">OFFSET(COM!AP$247,$E124,0)</f>
        <v>17.906653034323814</v>
      </c>
      <c r="AG124" s="17">
        <f ca="1">OFFSET(COM!AQ$247,$E124,0)</f>
        <v>24.125421495493519</v>
      </c>
      <c r="AH124" s="17">
        <f ca="1">OFFSET(COM!AR$247,$E124,0)</f>
        <v>27.719259739821005</v>
      </c>
      <c r="AJ124" t="e">
        <f t="shared" ca="1" si="3"/>
        <v>#DIV/0!</v>
      </c>
    </row>
    <row r="125" spans="1:36">
      <c r="A125" s="26" t="s">
        <v>241</v>
      </c>
      <c r="B125" t="s">
        <v>370</v>
      </c>
      <c r="C125" t="s">
        <v>731</v>
      </c>
      <c r="D125" t="s">
        <v>272</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239</v>
      </c>
      <c r="B126" t="s">
        <v>370</v>
      </c>
      <c r="C126" t="s">
        <v>731</v>
      </c>
      <c r="D126" t="s">
        <v>272</v>
      </c>
      <c r="E126" s="109">
        <f>MATCH(F126,COM!$D$248:$D$266,0)</f>
        <v>16</v>
      </c>
      <c r="F126" t="str">
        <f t="shared" si="2"/>
        <v>CNW</v>
      </c>
      <c r="G126" s="17">
        <f ca="1">OFFSET(COM!Q$247,$E126,0)</f>
        <v>0</v>
      </c>
      <c r="H126" s="17">
        <f ca="1">OFFSET(COM!R$247,$E126,0)</f>
        <v>0.19796348261065</v>
      </c>
      <c r="I126" s="17">
        <f ca="1">OFFSET(COM!S$247,$E126,0)</f>
        <v>0.38139272694964443</v>
      </c>
      <c r="J126" s="167">
        <f ca="1">OFFSET(COM!T$247,$E126,0)</f>
        <v>0.49652979742751913</v>
      </c>
      <c r="K126" s="17">
        <f ca="1">OFFSET(COM!U$247,$E126,0)</f>
        <v>0.87528563526536463</v>
      </c>
      <c r="L126" s="17">
        <f ca="1">OFFSET(COM!V$247,$E126,0)</f>
        <v>1.0914156374121804</v>
      </c>
      <c r="M126" s="17">
        <f ca="1">OFFSET(COM!W$247,$E126,0)</f>
        <v>1.2172151519679375</v>
      </c>
      <c r="N126" s="17">
        <f ca="1">OFFSET(COM!X$247,$E126,0)</f>
        <v>1.3857116967967349</v>
      </c>
      <c r="O126" s="167">
        <f ca="1">OFFSET(COM!Y$247,$E126,0)</f>
        <v>1.5598043162116735</v>
      </c>
      <c r="P126" s="17">
        <f ca="1">OFFSET(COM!Z$247,$E126,0)</f>
        <v>1.7503415136807803</v>
      </c>
      <c r="Q126" s="17">
        <f ca="1">OFFSET(COM!AA$247,$E126,0)</f>
        <v>1.9521848127201815</v>
      </c>
      <c r="R126" s="17">
        <f ca="1">OFFSET(COM!AB$247,$E126,0)</f>
        <v>2.1655580688005909</v>
      </c>
      <c r="S126" s="17">
        <f ca="1">OFFSET(COM!AC$247,$E126,0)</f>
        <v>2.4018938971586556</v>
      </c>
      <c r="T126" s="17">
        <f ca="1">OFFSET(COM!AD$247,$E126,0)</f>
        <v>2.6626690854828756</v>
      </c>
      <c r="U126" s="17">
        <f ca="1">OFFSET(COM!AE$247,$E126,0)</f>
        <v>2.9428940367921008</v>
      </c>
      <c r="V126" s="17">
        <f ca="1">OFFSET(COM!AF$247,$E126,0)</f>
        <v>3.2292482001083913</v>
      </c>
      <c r="W126" s="17">
        <f ca="1">OFFSET(COM!AG$247,$E126,0)</f>
        <v>3.5230771745398584</v>
      </c>
      <c r="X126" s="17">
        <f ca="1">OFFSET(COM!AH$247,$E126,0)</f>
        <v>3.8391723107452984</v>
      </c>
      <c r="Y126" s="17">
        <f ca="1">OFFSET(COM!AI$247,$E126,0)</f>
        <v>4.1633075842135892</v>
      </c>
      <c r="Z126" s="17">
        <f ca="1">OFFSET(COM!AJ$247,$E126,0)</f>
        <v>4.4957608292102691</v>
      </c>
      <c r="AA126" s="17">
        <f ca="1">OFFSET(COM!AK$247,$E126,0)</f>
        <v>4.8375877899120026</v>
      </c>
      <c r="AB126" s="17">
        <f ca="1">OFFSET(COM!AL$247,$E126,0)</f>
        <v>5.1853050769025586</v>
      </c>
      <c r="AC126" s="17">
        <f ca="1">OFFSET(COM!AM$247,$E126,0)</f>
        <v>5.5318700634182232</v>
      </c>
      <c r="AD126" s="17">
        <f ca="1">OFFSET(COM!AN$247,$E126,0)</f>
        <v>5.8747445244598637</v>
      </c>
      <c r="AE126" s="17">
        <f ca="1">OFFSET(COM!AO$247,$E126,0)</f>
        <v>7.6213371964426306</v>
      </c>
      <c r="AF126" s="17">
        <f ca="1">OFFSET(COM!AP$247,$E126,0)</f>
        <v>9.4802318709070921</v>
      </c>
      <c r="AG126" s="17">
        <f ca="1">OFFSET(COM!AQ$247,$E126,0)</f>
        <v>12.772604088672528</v>
      </c>
      <c r="AH126" s="17">
        <f ca="1">OFFSET(COM!AR$247,$E126,0)</f>
        <v>14.675272320276244</v>
      </c>
      <c r="AJ126" t="e">
        <f t="shared" ca="1" si="3"/>
        <v>#DIV/0!</v>
      </c>
    </row>
    <row r="127" spans="1:36">
      <c r="A127" s="26" t="s">
        <v>276</v>
      </c>
      <c r="B127">
        <v>9</v>
      </c>
      <c r="C127" t="s">
        <v>731</v>
      </c>
      <c r="D127" t="s">
        <v>272</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11.33329976109915</v>
      </c>
      <c r="AH127" s="6">
        <f ca="1">OFFSET(IND!AQ$28,$E127,0)</f>
        <v>11.980021022458072</v>
      </c>
      <c r="AJ127">
        <f t="shared" ca="1" si="3"/>
        <v>1.9229568254346823</v>
      </c>
    </row>
    <row r="128" spans="1:36">
      <c r="A128" s="26" t="s">
        <v>283</v>
      </c>
      <c r="B128">
        <v>3.4</v>
      </c>
      <c r="C128" t="s">
        <v>731</v>
      </c>
      <c r="D128" t="s">
        <v>272</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277</v>
      </c>
      <c r="B129">
        <v>10</v>
      </c>
      <c r="C129" t="s">
        <v>731</v>
      </c>
      <c r="D129" t="s">
        <v>272</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697</v>
      </c>
      <c r="C130" t="s">
        <v>731</v>
      </c>
      <c r="D130" t="s">
        <v>272</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21.947621071808666</v>
      </c>
      <c r="AH130" s="6">
        <f ca="1">OFFSET(IND!AQ$28,$E130,0)</f>
        <v>24.473330000422742</v>
      </c>
      <c r="AJ130">
        <f t="shared" ca="1" si="3"/>
        <v>2.9127376042635476</v>
      </c>
    </row>
    <row r="131" spans="1:36">
      <c r="A131" s="26" t="s">
        <v>282</v>
      </c>
      <c r="B131">
        <v>0.63500000000000001</v>
      </c>
      <c r="C131" t="s">
        <v>731</v>
      </c>
      <c r="D131" t="s">
        <v>272</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281</v>
      </c>
      <c r="B132">
        <v>1.53</v>
      </c>
      <c r="C132" t="s">
        <v>731</v>
      </c>
      <c r="D132" t="s">
        <v>272</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369</v>
      </c>
      <c r="B133">
        <v>7.8658203618</v>
      </c>
      <c r="C133" t="s">
        <v>731</v>
      </c>
      <c r="D133" t="s">
        <v>272</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284</v>
      </c>
      <c r="C134" t="s">
        <v>731</v>
      </c>
      <c r="D134" t="s">
        <v>272</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285</v>
      </c>
      <c r="C135" t="s">
        <v>731</v>
      </c>
      <c r="D135" t="s">
        <v>272</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688</v>
      </c>
      <c r="C136" t="s">
        <v>731</v>
      </c>
      <c r="D136" t="s">
        <v>272</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7.0158073419209686</v>
      </c>
      <c r="AH136" s="6">
        <f ca="1">OFFSET(IND!AQ$28,$E136,0)</f>
        <v>7.4161560372931863</v>
      </c>
      <c r="AJ136">
        <f t="shared" ca="1" si="7"/>
        <v>2.1286326169038996</v>
      </c>
    </row>
    <row r="137" spans="1:36">
      <c r="A137" s="26" t="s">
        <v>689</v>
      </c>
      <c r="C137" t="s">
        <v>731</v>
      </c>
      <c r="D137" t="s">
        <v>272</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0.86326567049882141</v>
      </c>
      <c r="AH137" s="6">
        <f ca="1">OFFSET(IND!AQ$28,$E137,0)</f>
        <v>0.91252689848020385</v>
      </c>
      <c r="AJ137">
        <f t="shared" ca="1" si="7"/>
        <v>1.9893762774802788</v>
      </c>
    </row>
    <row r="138" spans="1:36">
      <c r="A138" s="26" t="s">
        <v>691</v>
      </c>
      <c r="C138" t="s">
        <v>731</v>
      </c>
      <c r="D138" t="s">
        <v>272</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69" t="s">
        <v>185</v>
      </c>
      <c r="C2" s="369"/>
    </row>
    <row r="3" spans="1:42">
      <c r="A3" t="s">
        <v>16</v>
      </c>
    </row>
    <row r="4" spans="1:42" ht="15.75" thickBot="1">
      <c r="A4" t="s">
        <v>16</v>
      </c>
      <c r="B4" s="369" t="s">
        <v>11</v>
      </c>
      <c r="C4" s="369"/>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69" t="s">
        <v>12</v>
      </c>
      <c r="C8" s="369"/>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269</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735</v>
      </c>
      <c r="D22" s="15" t="s">
        <v>289</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736</v>
      </c>
      <c r="D23" s="15" t="s">
        <v>292</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737</v>
      </c>
      <c r="D24" s="15" t="s">
        <v>293</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738</v>
      </c>
      <c r="D25" s="15" t="s">
        <v>290</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739</v>
      </c>
      <c r="D26" s="15" t="s">
        <v>291</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Q14" sqref="AQ14"/>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588</v>
      </c>
      <c r="B1" t="s">
        <v>17</v>
      </c>
      <c r="G1" t="s">
        <v>267</v>
      </c>
    </row>
    <row r="2" spans="1:49" ht="15.75" thickBot="1">
      <c r="A2" t="s">
        <v>16</v>
      </c>
      <c r="B2" s="369" t="s">
        <v>185</v>
      </c>
      <c r="C2" s="369"/>
      <c r="G2" t="s">
        <v>266</v>
      </c>
      <c r="I2">
        <v>1</v>
      </c>
    </row>
    <row r="3" spans="1:49">
      <c r="A3" t="s">
        <v>16</v>
      </c>
      <c r="G3" t="s">
        <v>268</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695</v>
      </c>
      <c r="C8" s="9"/>
      <c r="D8" s="9"/>
      <c r="E8" s="9"/>
      <c r="F8" s="9"/>
    </row>
    <row r="9" spans="1:49">
      <c r="A9" t="s">
        <v>16</v>
      </c>
      <c r="B9" t="s">
        <v>9</v>
      </c>
      <c r="C9" t="s">
        <v>10</v>
      </c>
      <c r="D9" t="s">
        <v>265</v>
      </c>
      <c r="E9" t="s">
        <v>264</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699</v>
      </c>
      <c r="C11" s="3" t="s">
        <v>690</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684</v>
      </c>
      <c r="C12" s="3" t="s">
        <v>686</v>
      </c>
      <c r="D12">
        <f>[4]IND!M11</f>
        <v>0</v>
      </c>
      <c r="F12" s="3" t="s">
        <v>688</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243.43715137097897</v>
      </c>
      <c r="AQ12" s="182">
        <f t="shared" si="6"/>
        <v>257.32860266185997</v>
      </c>
    </row>
    <row r="13" spans="1:49">
      <c r="A13" t="s">
        <v>16</v>
      </c>
      <c r="B13" s="3" t="s">
        <v>685</v>
      </c>
      <c r="C13" s="3" t="s">
        <v>687</v>
      </c>
      <c r="D13">
        <f>[4]IND!M12</f>
        <v>0</v>
      </c>
      <c r="F13" s="3" t="s">
        <v>689</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243.43715137097897</v>
      </c>
      <c r="AQ13" s="182">
        <f t="shared" si="7"/>
        <v>257.32860266185997</v>
      </c>
    </row>
    <row r="14" spans="1:49">
      <c r="A14" t="s">
        <v>16</v>
      </c>
      <c r="B14" s="3" t="str">
        <f>[4]IND!B12</f>
        <v>IS</v>
      </c>
      <c r="C14" s="3" t="str">
        <f>[4]IND!A12</f>
        <v>Iron &amp; Steel</v>
      </c>
      <c r="D14">
        <f>[4]IND!M12</f>
        <v>0</v>
      </c>
      <c r="F14" s="3" t="s">
        <v>276</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243.43715137097897</v>
      </c>
      <c r="AQ14" s="182" cm="1">
        <f t="array" ref="AQ14">INDEX(Drivers!$C$88:$AK$104,$G14,AQ$9)</f>
        <v>257.32860266185997</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692</v>
      </c>
      <c r="C16" s="3" t="s">
        <v>696</v>
      </c>
      <c r="D16">
        <v>0</v>
      </c>
      <c r="F16" s="3" t="s">
        <v>697</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23.944135932656788</v>
      </c>
      <c r="AQ16" s="182" cm="1">
        <f t="array" ref="AQ16">INDEX(Drivers!$C$88:$AK$104,$G16,AQ$9)</f>
        <v>26.699601671526349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277</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281</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282</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283</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284</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285</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275</v>
      </c>
      <c r="C27" s="9"/>
      <c r="D27" s="9"/>
      <c r="E27" s="9"/>
      <c r="F27" s="9"/>
    </row>
    <row r="28" spans="1:43">
      <c r="A28" t="s">
        <v>16</v>
      </c>
      <c r="B28" t="s">
        <v>9</v>
      </c>
      <c r="C28" t="s">
        <v>10</v>
      </c>
      <c r="D28" t="s">
        <v>265</v>
      </c>
      <c r="E28" t="s">
        <v>264</v>
      </c>
    </row>
    <row r="29" spans="1:43">
      <c r="A29" s="43" t="str">
        <f t="shared" ref="A29:A34" si="9">IF(D10,"*","")</f>
        <v>*</v>
      </c>
      <c r="B29" s="15" t="s">
        <v>272</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272</v>
      </c>
      <c r="C30" s="16" t="s">
        <v>125</v>
      </c>
      <c r="D30" s="43" t="s">
        <v>691</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272</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7.0158073419209686</v>
      </c>
      <c r="AQ31">
        <f t="shared" si="16"/>
        <v>7.4161560372931863</v>
      </c>
    </row>
    <row r="32" spans="1:43">
      <c r="A32" s="43" t="str">
        <f t="shared" si="9"/>
        <v/>
      </c>
      <c r="B32" s="15" t="s">
        <v>272</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0.86326567049882141</v>
      </c>
      <c r="AQ32">
        <f t="shared" si="19"/>
        <v>0.91252689848020385</v>
      </c>
    </row>
    <row r="33" spans="1:43">
      <c r="A33" s="43" t="str">
        <f t="shared" si="9"/>
        <v/>
      </c>
      <c r="B33" s="15" t="s">
        <v>272</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11.33329976109915</v>
      </c>
      <c r="AQ33">
        <f t="shared" si="20"/>
        <v>11.980021022458072</v>
      </c>
    </row>
    <row r="34" spans="1:43">
      <c r="A34" s="43" t="str">
        <f t="shared" si="9"/>
        <v>*</v>
      </c>
      <c r="B34" s="15" t="s">
        <v>272</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272</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21.947621071808666</v>
      </c>
      <c r="AQ35">
        <f t="shared" si="24"/>
        <v>24.473330000422742</v>
      </c>
    </row>
    <row r="36" spans="1:43">
      <c r="A36" s="43" t="str">
        <f t="shared" si="23"/>
        <v>*</v>
      </c>
      <c r="B36" s="15" t="s">
        <v>272</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272</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272</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272</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272</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272</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272</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272</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272</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641</v>
      </c>
      <c r="Y45" s="20">
        <v>2025</v>
      </c>
    </row>
    <row r="46" spans="1:43" ht="15.75" thickBot="1">
      <c r="A46" t="s">
        <v>16</v>
      </c>
      <c r="B46" s="9" t="s">
        <v>274</v>
      </c>
      <c r="C46" s="9"/>
      <c r="D46">
        <v>2010</v>
      </c>
      <c r="E46">
        <v>2020</v>
      </c>
      <c r="F46">
        <v>2030</v>
      </c>
      <c r="G46">
        <v>2050</v>
      </c>
      <c r="H46">
        <v>2070</v>
      </c>
      <c r="T46" s="182" t="s">
        <v>640</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5">
        <f t="shared" ref="U47:AB47" si="60">IF(U$63=1,($AC47-$T47)/$AD$63+T47,$AC47)</f>
        <v>1.0846132399175183</v>
      </c>
      <c r="V47" s="275">
        <f t="shared" si="60"/>
        <v>1.0792264798350366</v>
      </c>
      <c r="W47" s="275">
        <f t="shared" si="60"/>
        <v>1.0738397197525549</v>
      </c>
      <c r="X47" s="275">
        <f t="shared" si="60"/>
        <v>1.0684529596700731</v>
      </c>
      <c r="Y47" s="275">
        <f t="shared" si="60"/>
        <v>1.0684529596700734</v>
      </c>
      <c r="Z47" s="275">
        <f t="shared" si="60"/>
        <v>1.0684529596700734</v>
      </c>
      <c r="AA47" s="275">
        <f t="shared" si="60"/>
        <v>1.0684529596700734</v>
      </c>
      <c r="AB47" s="275">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5">
        <f t="shared" ref="U48" si="62">IF(U$63=1,($AC48-$T48)/$AD$63+T48,$AC48)</f>
        <v>1.0525</v>
      </c>
      <c r="V48" s="275">
        <f t="shared" ref="V48:AB48" si="63">IF(V$63=1,($AC48-$T48)/$AD$63+U48,$AC48)</f>
        <v>1.0349999999999999</v>
      </c>
      <c r="W48" s="275">
        <f t="shared" si="63"/>
        <v>1.0174999999999998</v>
      </c>
      <c r="X48" s="275">
        <f t="shared" si="63"/>
        <v>0.99999999999999978</v>
      </c>
      <c r="Y48" s="275">
        <f t="shared" si="63"/>
        <v>1</v>
      </c>
      <c r="Z48" s="275">
        <f t="shared" si="63"/>
        <v>1</v>
      </c>
      <c r="AA48" s="275">
        <f t="shared" si="63"/>
        <v>1</v>
      </c>
      <c r="AB48" s="275">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5">
        <f t="shared" ref="U49:AB49" si="64">IF(U$63=1,($AC49-$T49)/$AD$63+T49,$AC49)</f>
        <v>1.0525</v>
      </c>
      <c r="V49" s="275">
        <f t="shared" si="64"/>
        <v>1.0349999999999999</v>
      </c>
      <c r="W49" s="275">
        <f t="shared" si="64"/>
        <v>1.0174999999999998</v>
      </c>
      <c r="X49" s="275">
        <f t="shared" si="64"/>
        <v>0.99999999999999978</v>
      </c>
      <c r="Y49" s="275">
        <f t="shared" si="64"/>
        <v>1</v>
      </c>
      <c r="Z49" s="275">
        <f t="shared" si="64"/>
        <v>1</v>
      </c>
      <c r="AA49" s="275">
        <f t="shared" si="64"/>
        <v>1</v>
      </c>
      <c r="AB49" s="275">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5">
        <f t="shared" ref="U50" si="65">IF(U$63=1,($AC50-$T50)/$AD$63+T50,$AC50)</f>
        <v>1.0525</v>
      </c>
      <c r="V50" s="275">
        <f t="shared" ref="V50" si="66">IF(V$63=1,($AC50-$T50)/$AD$63+U50,$AC50)</f>
        <v>1.0349999999999999</v>
      </c>
      <c r="W50" s="275">
        <f t="shared" ref="W50" si="67">IF(W$63=1,($AC50-$T50)/$AD$63+V50,$AC50)</f>
        <v>1.0174999999999998</v>
      </c>
      <c r="X50" s="275">
        <f t="shared" ref="X50" si="68">IF(X$63=1,($AC50-$T50)/$AD$63+W50,$AC50)</f>
        <v>0.99999999999999978</v>
      </c>
      <c r="Y50" s="275">
        <f t="shared" ref="Y50" si="69">IF(Y$63=1,($AC50-$T50)/$AD$63+X50,$AC50)</f>
        <v>1</v>
      </c>
      <c r="Z50" s="275">
        <f t="shared" ref="Z50" si="70">IF(Z$63=1,($AC50-$T50)/$AD$63+Y50,$AC50)</f>
        <v>1</v>
      </c>
      <c r="AA50" s="275">
        <f t="shared" ref="AA50" si="71">IF(AA$63=1,($AC50-$T50)/$AD$63+Z50,$AC50)</f>
        <v>1</v>
      </c>
      <c r="AB50" s="275">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5">
        <f t="shared" ref="U51:AB51" si="73">IF(U$63=1,($AC51-$T51)/$AD$63+T51,$AC51)</f>
        <v>1</v>
      </c>
      <c r="V51" s="275">
        <f t="shared" si="73"/>
        <v>1</v>
      </c>
      <c r="W51" s="275">
        <f t="shared" si="73"/>
        <v>1</v>
      </c>
      <c r="X51" s="275">
        <f t="shared" si="73"/>
        <v>1</v>
      </c>
      <c r="Y51" s="275">
        <f t="shared" si="73"/>
        <v>1</v>
      </c>
      <c r="Z51" s="275">
        <f t="shared" si="73"/>
        <v>1</v>
      </c>
      <c r="AA51" s="275">
        <f t="shared" si="73"/>
        <v>1</v>
      </c>
      <c r="AB51" s="275">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5">
        <f t="shared" ref="U52:AB52" si="74">IF(U$63=1,($AC52-$T52)/$AD$63+T52,$AC52)</f>
        <v>1.0262499999999999</v>
      </c>
      <c r="V52" s="275">
        <f t="shared" si="74"/>
        <v>1.0174999999999998</v>
      </c>
      <c r="W52" s="275">
        <f t="shared" si="74"/>
        <v>1.0087499999999998</v>
      </c>
      <c r="X52" s="275">
        <f t="shared" si="74"/>
        <v>0.99999999999999978</v>
      </c>
      <c r="Y52" s="275">
        <f t="shared" si="74"/>
        <v>1</v>
      </c>
      <c r="Z52" s="275">
        <f t="shared" si="74"/>
        <v>1</v>
      </c>
      <c r="AA52" s="275">
        <f t="shared" si="74"/>
        <v>1</v>
      </c>
      <c r="AB52" s="275">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5">
        <f t="shared" ref="U53" si="75">IF(U$63=1,($AC53-$T53)/$AD$63+T53,$AC53)</f>
        <v>1.0262499999999999</v>
      </c>
      <c r="V53" s="275">
        <f t="shared" ref="V53" si="76">IF(V$63=1,($AC53-$T53)/$AD$63+U53,$AC53)</f>
        <v>1.0174999999999998</v>
      </c>
      <c r="W53" s="275">
        <f t="shared" ref="W53" si="77">IF(W$63=1,($AC53-$T53)/$AD$63+V53,$AC53)</f>
        <v>1.0087499999999998</v>
      </c>
      <c r="X53" s="275">
        <f t="shared" ref="X53" si="78">IF(X$63=1,($AC53-$T53)/$AD$63+W53,$AC53)</f>
        <v>0.99999999999999978</v>
      </c>
      <c r="Y53" s="275">
        <f t="shared" ref="Y53" si="79">IF(Y$63=1,($AC53-$T53)/$AD$63+X53,$AC53)</f>
        <v>1</v>
      </c>
      <c r="Z53" s="275">
        <f t="shared" ref="Z53" si="80">IF(Z$63=1,($AC53-$T53)/$AD$63+Y53,$AC53)</f>
        <v>1</v>
      </c>
      <c r="AA53" s="275">
        <f t="shared" ref="AA53" si="81">IF(AA$63=1,($AC53-$T53)/$AD$63+Z53,$AC53)</f>
        <v>1</v>
      </c>
      <c r="AB53" s="275">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5">
        <f t="shared" ref="U54:AB54" si="84">IF(U$63=1,($AC54-$T54)/$AD$63+T54,$AC54)</f>
        <v>1.0262499999999999</v>
      </c>
      <c r="V54" s="275">
        <f t="shared" si="84"/>
        <v>1.0174999999999998</v>
      </c>
      <c r="W54" s="275">
        <f t="shared" si="84"/>
        <v>1.0087499999999998</v>
      </c>
      <c r="X54" s="275">
        <f t="shared" si="84"/>
        <v>0.99999999999999978</v>
      </c>
      <c r="Y54" s="275">
        <f t="shared" si="84"/>
        <v>1</v>
      </c>
      <c r="Z54" s="275">
        <f t="shared" si="84"/>
        <v>1</v>
      </c>
      <c r="AA54" s="275">
        <f t="shared" si="84"/>
        <v>1</v>
      </c>
      <c r="AB54" s="275">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5">
        <f t="shared" ref="U55:AB55" si="85">IF(U$63=1,($AC55-$T55)/$AD$63+T55,$AC55)</f>
        <v>1</v>
      </c>
      <c r="V55" s="275">
        <f t="shared" si="85"/>
        <v>1</v>
      </c>
      <c r="W55" s="275">
        <f t="shared" si="85"/>
        <v>1</v>
      </c>
      <c r="X55" s="275">
        <f t="shared" si="85"/>
        <v>1</v>
      </c>
      <c r="Y55" s="275">
        <f t="shared" si="85"/>
        <v>1</v>
      </c>
      <c r="Z55" s="275">
        <f t="shared" si="85"/>
        <v>1</v>
      </c>
      <c r="AA55" s="275">
        <f t="shared" si="85"/>
        <v>1</v>
      </c>
      <c r="AB55" s="275">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5">
        <f t="shared" ref="U56:AB56" si="86">IF(U$63=1,($AC56-$T56)/$AD$63+T56,$AC56)</f>
        <v>1</v>
      </c>
      <c r="V56" s="275">
        <f t="shared" si="86"/>
        <v>1</v>
      </c>
      <c r="W56" s="275">
        <f t="shared" si="86"/>
        <v>1</v>
      </c>
      <c r="X56" s="275">
        <f t="shared" si="86"/>
        <v>1</v>
      </c>
      <c r="Y56" s="275">
        <f t="shared" si="86"/>
        <v>1</v>
      </c>
      <c r="Z56" s="275">
        <f t="shared" si="86"/>
        <v>1</v>
      </c>
      <c r="AA56" s="275">
        <f t="shared" si="86"/>
        <v>1</v>
      </c>
      <c r="AB56" s="275">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5">
        <f t="shared" ref="U57:AB57" si="87">IF(U$63=1,($AC57-$T57)/$AD$63+T57,$AC57)</f>
        <v>1</v>
      </c>
      <c r="V57" s="275">
        <f t="shared" si="87"/>
        <v>1</v>
      </c>
      <c r="W57" s="275">
        <f t="shared" si="87"/>
        <v>1</v>
      </c>
      <c r="X57" s="275">
        <f t="shared" si="87"/>
        <v>1</v>
      </c>
      <c r="Y57" s="275">
        <f t="shared" si="87"/>
        <v>1</v>
      </c>
      <c r="Z57" s="275">
        <f t="shared" si="87"/>
        <v>1</v>
      </c>
      <c r="AA57" s="275">
        <f t="shared" si="87"/>
        <v>1</v>
      </c>
      <c r="AB57" s="275">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5">
        <f t="shared" ref="U58:AB58" si="88">IF(U$63=1,($AC58-$T58)/$AD$63+T58,$AC58)</f>
        <v>1</v>
      </c>
      <c r="V58" s="275">
        <f t="shared" si="88"/>
        <v>1</v>
      </c>
      <c r="W58" s="275">
        <f t="shared" si="88"/>
        <v>1</v>
      </c>
      <c r="X58" s="275">
        <f t="shared" si="88"/>
        <v>1</v>
      </c>
      <c r="Y58" s="275">
        <f t="shared" si="88"/>
        <v>1</v>
      </c>
      <c r="Z58" s="275">
        <f t="shared" si="88"/>
        <v>1</v>
      </c>
      <c r="AA58" s="275">
        <f t="shared" si="88"/>
        <v>1</v>
      </c>
      <c r="AB58" s="275">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5">
        <f t="shared" ref="U59:AB59" si="89">IF(U$63=1,($AC59-$T59)/$AD$63+T59,$AC59)</f>
        <v>1.0262499999999999</v>
      </c>
      <c r="V59" s="275">
        <f t="shared" si="89"/>
        <v>1.0174999999999998</v>
      </c>
      <c r="W59" s="275">
        <f t="shared" si="89"/>
        <v>1.0087499999999998</v>
      </c>
      <c r="X59" s="275">
        <f t="shared" si="89"/>
        <v>0.99999999999999978</v>
      </c>
      <c r="Y59" s="275">
        <f t="shared" si="89"/>
        <v>1</v>
      </c>
      <c r="Z59" s="275">
        <f t="shared" si="89"/>
        <v>1</v>
      </c>
      <c r="AA59" s="275">
        <f t="shared" si="89"/>
        <v>1</v>
      </c>
      <c r="AB59" s="275">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5">
        <f t="shared" ref="U60:AB60" si="90">IF(U$63=1,($AC60-$T60)/$AD$63+T60,$AC60)</f>
        <v>1</v>
      </c>
      <c r="V60" s="275">
        <f t="shared" si="90"/>
        <v>1</v>
      </c>
      <c r="W60" s="275">
        <f t="shared" si="90"/>
        <v>1</v>
      </c>
      <c r="X60" s="275">
        <f t="shared" si="90"/>
        <v>1</v>
      </c>
      <c r="Y60" s="275">
        <f t="shared" si="90"/>
        <v>1</v>
      </c>
      <c r="Z60" s="275">
        <f t="shared" si="90"/>
        <v>1</v>
      </c>
      <c r="AA60" s="275">
        <f t="shared" si="90"/>
        <v>1</v>
      </c>
      <c r="AB60" s="275">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5">
        <f t="shared" ref="U61:AB61" si="91">IF(U$63=1,($AC61-$T61)/$AD$63+T61,$AC61)</f>
        <v>1</v>
      </c>
      <c r="V61" s="275">
        <f t="shared" si="91"/>
        <v>1</v>
      </c>
      <c r="W61" s="275">
        <f t="shared" si="91"/>
        <v>1</v>
      </c>
      <c r="X61" s="275">
        <f t="shared" si="91"/>
        <v>1</v>
      </c>
      <c r="Y61" s="275">
        <f t="shared" si="91"/>
        <v>1</v>
      </c>
      <c r="Z61" s="275">
        <f t="shared" si="91"/>
        <v>1</v>
      </c>
      <c r="AA61" s="275">
        <f t="shared" si="91"/>
        <v>1</v>
      </c>
      <c r="AB61" s="275">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5">
        <f t="shared" ref="U62:AB62" si="92">IF(U$63=1,($AC62-$T62)/$AD$63+T62,$AC62)</f>
        <v>1.0262499999999999</v>
      </c>
      <c r="V62" s="275">
        <f t="shared" si="92"/>
        <v>1.0174999999999998</v>
      </c>
      <c r="W62" s="275">
        <f t="shared" si="92"/>
        <v>1.0087499999999998</v>
      </c>
      <c r="X62" s="275">
        <f t="shared" si="92"/>
        <v>0.99999999999999978</v>
      </c>
      <c r="Y62" s="275">
        <f t="shared" si="92"/>
        <v>1</v>
      </c>
      <c r="Z62" s="275">
        <f t="shared" si="92"/>
        <v>1</v>
      </c>
      <c r="AA62" s="275">
        <f t="shared" si="92"/>
        <v>1</v>
      </c>
      <c r="AB62" s="275">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76">
        <f t="shared" ref="U63:AC63" si="93">IF(U3&lt;=$Y$45,1,0)</f>
        <v>1</v>
      </c>
      <c r="V63" s="276">
        <f t="shared" si="93"/>
        <v>1</v>
      </c>
      <c r="W63" s="276">
        <f t="shared" si="93"/>
        <v>1</v>
      </c>
      <c r="X63" s="276">
        <f t="shared" si="93"/>
        <v>1</v>
      </c>
      <c r="Y63" s="276">
        <f t="shared" si="93"/>
        <v>0</v>
      </c>
      <c r="Z63" s="276">
        <f t="shared" si="93"/>
        <v>0</v>
      </c>
      <c r="AA63" s="276">
        <f t="shared" si="93"/>
        <v>0</v>
      </c>
      <c r="AB63" s="276">
        <f t="shared" si="93"/>
        <v>0</v>
      </c>
      <c r="AC63" s="276">
        <f t="shared" si="93"/>
        <v>0</v>
      </c>
      <c r="AD63" s="276">
        <f>SUM(U63:AC63)</f>
        <v>4</v>
      </c>
    </row>
    <row r="64" spans="1:43" ht="15.75" thickBot="1">
      <c r="A64" t="s">
        <v>16</v>
      </c>
      <c r="B64" s="9" t="s">
        <v>273</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207</v>
      </c>
      <c r="C75" s="3" t="s">
        <v>206</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760</v>
      </c>
      <c r="D79" s="1" t="s">
        <v>761</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272</v>
      </c>
      <c r="C80" t="s">
        <v>125</v>
      </c>
      <c r="D80" s="3" t="s">
        <v>320</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2">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272</v>
      </c>
      <c r="C81" t="s">
        <v>125</v>
      </c>
      <c r="D81" s="3" t="s">
        <v>315</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2">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272</v>
      </c>
      <c r="C82" t="s">
        <v>125</v>
      </c>
      <c r="D82" s="3" t="s">
        <v>321</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2">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272</v>
      </c>
      <c r="C83" t="s">
        <v>125</v>
      </c>
      <c r="D83" s="3" t="s">
        <v>316</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2">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272</v>
      </c>
      <c r="C84" t="s">
        <v>125</v>
      </c>
      <c r="D84" s="3" t="s">
        <v>319</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2">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272</v>
      </c>
      <c r="C85" t="s">
        <v>125</v>
      </c>
      <c r="D85" s="3" t="s">
        <v>323</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2">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272</v>
      </c>
      <c r="C86" t="s">
        <v>125</v>
      </c>
      <c r="D86" s="3" t="s">
        <v>318</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2">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272</v>
      </c>
      <c r="C87" t="s">
        <v>125</v>
      </c>
      <c r="D87" s="3" t="s">
        <v>322</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2">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272</v>
      </c>
      <c r="C88" t="s">
        <v>125</v>
      </c>
      <c r="D88" s="3" t="s">
        <v>317</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2">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272</v>
      </c>
      <c r="C89" t="s">
        <v>125</v>
      </c>
      <c r="D89" s="3" t="s">
        <v>325</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2">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272</v>
      </c>
      <c r="C90" t="s">
        <v>125</v>
      </c>
      <c r="D90" s="3" t="s">
        <v>324</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2">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762</v>
      </c>
      <c r="D91" s="1" t="s">
        <v>740</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272</v>
      </c>
      <c r="C92" t="s">
        <v>125</v>
      </c>
      <c r="D92" s="3" t="s">
        <v>299</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2">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272</v>
      </c>
      <c r="C93" t="s">
        <v>125</v>
      </c>
      <c r="D93" s="3" t="s">
        <v>294</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2">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272</v>
      </c>
      <c r="C94" t="s">
        <v>125</v>
      </c>
      <c r="D94" s="3" t="s">
        <v>300</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2">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272</v>
      </c>
      <c r="C95" t="s">
        <v>125</v>
      </c>
      <c r="D95" s="3" t="s">
        <v>295</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2">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272</v>
      </c>
      <c r="C96" t="s">
        <v>125</v>
      </c>
      <c r="D96" s="3" t="s">
        <v>298</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2">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272</v>
      </c>
      <c r="C97" t="s">
        <v>125</v>
      </c>
      <c r="D97" s="3" t="s">
        <v>302</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2">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272</v>
      </c>
      <c r="C98" t="s">
        <v>125</v>
      </c>
      <c r="D98" s="3" t="s">
        <v>297</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2">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272</v>
      </c>
      <c r="C99" t="s">
        <v>125</v>
      </c>
      <c r="D99" s="3" t="s">
        <v>301</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2">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272</v>
      </c>
      <c r="C100" t="s">
        <v>125</v>
      </c>
      <c r="D100" s="3" t="s">
        <v>296</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2">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272</v>
      </c>
      <c r="C101" t="s">
        <v>125</v>
      </c>
      <c r="D101" s="3" t="s">
        <v>303</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2">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272</v>
      </c>
      <c r="C102" t="s">
        <v>125</v>
      </c>
      <c r="D102" s="3" t="s">
        <v>304</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2">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763</v>
      </c>
      <c r="D103" s="1" t="s">
        <v>741</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272</v>
      </c>
      <c r="C104" t="s">
        <v>125</v>
      </c>
      <c r="D104" s="3" t="s">
        <v>331</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2">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272</v>
      </c>
      <c r="C105" t="s">
        <v>125</v>
      </c>
      <c r="D105" s="3" t="s">
        <v>326</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2">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272</v>
      </c>
      <c r="C106" t="s">
        <v>125</v>
      </c>
      <c r="D106" s="3" t="s">
        <v>332</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2">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272</v>
      </c>
      <c r="C107" t="s">
        <v>125</v>
      </c>
      <c r="D107" s="3" t="s">
        <v>327</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2">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272</v>
      </c>
      <c r="C108" t="s">
        <v>125</v>
      </c>
      <c r="D108" s="3" t="s">
        <v>330</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2">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272</v>
      </c>
      <c r="C109" t="s">
        <v>125</v>
      </c>
      <c r="D109" s="3" t="s">
        <v>334</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2">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272</v>
      </c>
      <c r="C110" t="s">
        <v>125</v>
      </c>
      <c r="D110" s="3" t="s">
        <v>329</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2">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272</v>
      </c>
      <c r="C111" t="s">
        <v>125</v>
      </c>
      <c r="D111" s="3" t="s">
        <v>333</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2">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272</v>
      </c>
      <c r="C112" t="s">
        <v>125</v>
      </c>
      <c r="D112" s="3" t="s">
        <v>328</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2">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272</v>
      </c>
      <c r="C113" t="s">
        <v>125</v>
      </c>
      <c r="D113" s="3" t="s">
        <v>335</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2">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87"/>
      <c r="C114" s="1" t="s">
        <v>764</v>
      </c>
      <c r="D114" s="1" t="s">
        <v>742</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272</v>
      </c>
      <c r="C115" t="s">
        <v>125</v>
      </c>
      <c r="D115" s="3" t="s">
        <v>310</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2">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272</v>
      </c>
      <c r="C116" t="s">
        <v>125</v>
      </c>
      <c r="D116" s="3" t="s">
        <v>305</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2">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272</v>
      </c>
      <c r="C117" t="s">
        <v>125</v>
      </c>
      <c r="D117" s="3" t="s">
        <v>311</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2">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272</v>
      </c>
      <c r="C118" t="s">
        <v>125</v>
      </c>
      <c r="D118" s="3" t="s">
        <v>306</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2">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272</v>
      </c>
      <c r="C119" t="s">
        <v>125</v>
      </c>
      <c r="D119" s="3" t="s">
        <v>309</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2">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272</v>
      </c>
      <c r="C120" t="s">
        <v>125</v>
      </c>
      <c r="D120" s="3" t="s">
        <v>313</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2">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272</v>
      </c>
      <c r="C121" t="s">
        <v>125</v>
      </c>
      <c r="D121" s="3" t="s">
        <v>308</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2">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272</v>
      </c>
      <c r="C122" t="s">
        <v>125</v>
      </c>
      <c r="D122" s="3" t="s">
        <v>312</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2">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272</v>
      </c>
      <c r="C123" t="s">
        <v>125</v>
      </c>
      <c r="D123" s="3" t="s">
        <v>307</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2">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272</v>
      </c>
      <c r="C124" t="s">
        <v>125</v>
      </c>
      <c r="D124" s="3" t="s">
        <v>314</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2">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743</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272</v>
      </c>
      <c r="C126" t="s">
        <v>125</v>
      </c>
      <c r="D126" s="3" t="s">
        <v>341</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2">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272</v>
      </c>
      <c r="C127" t="s">
        <v>125</v>
      </c>
      <c r="D127" s="3" t="s">
        <v>336</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2">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272</v>
      </c>
      <c r="C128" t="s">
        <v>125</v>
      </c>
      <c r="D128" s="3" t="s">
        <v>342</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2">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272</v>
      </c>
      <c r="C129" t="s">
        <v>125</v>
      </c>
      <c r="D129" s="3" t="s">
        <v>337</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2">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272</v>
      </c>
      <c r="C130" t="s">
        <v>125</v>
      </c>
      <c r="D130" s="3" t="s">
        <v>340</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2">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272</v>
      </c>
      <c r="C131" t="s">
        <v>125</v>
      </c>
      <c r="D131" s="3" t="s">
        <v>344</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2">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272</v>
      </c>
      <c r="C132" t="s">
        <v>125</v>
      </c>
      <c r="D132" s="3" t="s">
        <v>339</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2">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272</v>
      </c>
      <c r="C133" t="s">
        <v>125</v>
      </c>
      <c r="D133" s="3" t="s">
        <v>343</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2">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272</v>
      </c>
      <c r="C134" t="s">
        <v>125</v>
      </c>
      <c r="D134" s="3" t="s">
        <v>338</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2">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272</v>
      </c>
      <c r="C135" t="s">
        <v>125</v>
      </c>
      <c r="D135" s="3" t="s">
        <v>345</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2">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272</v>
      </c>
      <c r="C136" t="s">
        <v>125</v>
      </c>
      <c r="D136" s="3" t="s">
        <v>369</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2">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69" t="s">
        <v>185</v>
      </c>
      <c r="C2" s="369"/>
      <c r="I2" s="104"/>
      <c r="AY2" t="s">
        <v>279</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390</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199</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278</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529</v>
      </c>
      <c r="D71" s="178" t="s">
        <v>530</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531</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532</v>
      </c>
      <c r="D75" s="3" t="s">
        <v>471</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472</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533</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534</v>
      </c>
      <c r="E78" s="181">
        <f>DriversGams!A164</f>
        <v>-1</v>
      </c>
      <c r="F78" s="270" t="s">
        <v>633</v>
      </c>
      <c r="G78" s="3" t="s">
        <v>32</v>
      </c>
    </row>
    <row r="79" spans="1:39">
      <c r="A79" t="s">
        <v>16</v>
      </c>
      <c r="B79" s="18"/>
      <c r="D79" s="3"/>
      <c r="F79" s="74">
        <v>1</v>
      </c>
      <c r="G79" s="74" t="s">
        <v>611</v>
      </c>
      <c r="L79" s="2"/>
    </row>
    <row r="80" spans="1:39">
      <c r="A80" t="s">
        <v>16</v>
      </c>
      <c r="B80" s="18"/>
      <c r="D80" s="3"/>
      <c r="F80" s="74">
        <v>2</v>
      </c>
      <c r="G80" s="74" t="s">
        <v>615</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535</v>
      </c>
      <c r="D81" s="3" t="str">
        <f>D102</f>
        <v>RLEH</v>
      </c>
      <c r="F81" s="74">
        <v>3</v>
      </c>
      <c r="G81" s="157" t="s">
        <v>611</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628</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627</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361</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349</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634</v>
      </c>
    </row>
    <row r="89" spans="1:51">
      <c r="A89" t="s">
        <v>16</v>
      </c>
      <c r="B89" s="18"/>
      <c r="C89" t="s">
        <v>635</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429</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78">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78">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78">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78">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78">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78">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78">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78">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6" customFormat="1">
      <c r="A107" s="259" t="str">
        <f>'[12]TS BYDem'!A22</f>
        <v/>
      </c>
      <c r="B107" s="259" t="str">
        <f>'[12]TS BYDem'!B22</f>
        <v>COM_PROJ</v>
      </c>
      <c r="C107" s="259" t="str">
        <f>'[12]TS BYDem'!C22</f>
        <v>-</v>
      </c>
      <c r="D107" s="259" t="str">
        <f>'[12]TS BYDem'!D22</f>
        <v>RMNL</v>
      </c>
      <c r="E107" s="258" t="s">
        <v>125</v>
      </c>
      <c r="F107" s="258" t="s">
        <v>125</v>
      </c>
      <c r="G107" s="258" t="s">
        <v>125</v>
      </c>
      <c r="H107" s="258" t="s">
        <v>125</v>
      </c>
      <c r="I107" s="258">
        <v>0</v>
      </c>
      <c r="J107" s="258"/>
      <c r="K107" s="258"/>
      <c r="L107" s="278">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57"/>
      <c r="AO107" s="257"/>
      <c r="AP107" s="257"/>
      <c r="AQ107" s="257"/>
      <c r="AR107" s="257"/>
      <c r="AS107" s="257"/>
      <c r="AY107" s="260">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78">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78">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78">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78">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78">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78">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6" customFormat="1">
      <c r="A114" s="259" t="str">
        <f>'[12]TS BYDem'!A32</f>
        <v/>
      </c>
      <c r="B114" s="259" t="str">
        <f>'[12]TS BYDem'!B32</f>
        <v>COM_PROJ</v>
      </c>
      <c r="C114" s="259" t="str">
        <f>'[12]TS BYDem'!C32</f>
        <v>-</v>
      </c>
      <c r="D114" s="259" t="str">
        <f>'[12]TS BYDem'!D32</f>
        <v>RHEL</v>
      </c>
      <c r="E114" s="258" t="s">
        <v>125</v>
      </c>
      <c r="F114" s="258" t="s">
        <v>125</v>
      </c>
      <c r="G114" s="258" t="s">
        <v>125</v>
      </c>
      <c r="H114" s="258" t="s">
        <v>125</v>
      </c>
      <c r="I114" s="258">
        <v>0</v>
      </c>
      <c r="J114" s="258"/>
      <c r="K114" s="258"/>
      <c r="L114" s="278">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57"/>
      <c r="AO114" s="257"/>
      <c r="AP114" s="257"/>
      <c r="AR114" s="257"/>
      <c r="AS114" s="257"/>
      <c r="AY114" s="256">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78">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78">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78">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78">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78">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69" t="s">
        <v>280</v>
      </c>
      <c r="C2" s="369"/>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378</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3"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213</v>
      </c>
      <c r="C11" s="74"/>
      <c r="D11" s="74"/>
      <c r="E11" s="74"/>
      <c r="F11" s="74"/>
      <c r="G11" s="74"/>
      <c r="H11" s="74"/>
      <c r="I11" s="74"/>
      <c r="J11" s="74"/>
      <c r="K11" s="74"/>
      <c r="L11" s="224" t="str">
        <f t="shared" ref="L11:BR11" si="10">INDEX($C$14:$C$18,MATCH(L$12,$B$14:$B$18,0))</f>
        <v>A</v>
      </c>
      <c r="M11" s="224" t="str">
        <f t="shared" si="10"/>
        <v>A</v>
      </c>
      <c r="N11" s="224" t="str">
        <f t="shared" si="10"/>
        <v>A</v>
      </c>
      <c r="O11" s="224" t="str">
        <f t="shared" si="10"/>
        <v>A</v>
      </c>
      <c r="P11" s="224" t="str">
        <f t="shared" si="10"/>
        <v>A</v>
      </c>
      <c r="Q11" s="224" t="str">
        <f t="shared" si="10"/>
        <v>A</v>
      </c>
      <c r="R11" s="224" t="str">
        <f t="shared" si="10"/>
        <v>B</v>
      </c>
      <c r="S11" s="224" t="str">
        <f t="shared" si="10"/>
        <v>B</v>
      </c>
      <c r="T11" s="224" t="str">
        <f t="shared" si="10"/>
        <v>B</v>
      </c>
      <c r="U11" s="224" t="str">
        <f t="shared" si="10"/>
        <v>B</v>
      </c>
      <c r="V11" s="224" t="str">
        <f t="shared" si="10"/>
        <v>B</v>
      </c>
      <c r="W11" s="224" t="str">
        <f t="shared" si="10"/>
        <v>B</v>
      </c>
      <c r="X11" s="224" t="str">
        <f t="shared" si="10"/>
        <v>B</v>
      </c>
      <c r="Y11" s="224" t="str">
        <f t="shared" si="10"/>
        <v>B</v>
      </c>
      <c r="Z11" s="224" t="str">
        <f t="shared" si="10"/>
        <v>B</v>
      </c>
      <c r="AA11" s="224" t="str">
        <f t="shared" si="10"/>
        <v>B</v>
      </c>
      <c r="AB11" s="224" t="str">
        <f t="shared" si="10"/>
        <v>B</v>
      </c>
      <c r="AC11" s="224" t="str">
        <f t="shared" si="10"/>
        <v>B</v>
      </c>
      <c r="AD11" s="224" t="str">
        <f t="shared" si="10"/>
        <v>B</v>
      </c>
      <c r="AE11" s="224" t="str">
        <f t="shared" si="10"/>
        <v>C</v>
      </c>
      <c r="AF11" s="224" t="str">
        <f t="shared" si="10"/>
        <v>C</v>
      </c>
      <c r="AG11" s="224" t="str">
        <f t="shared" si="10"/>
        <v>C</v>
      </c>
      <c r="AH11" s="224" t="str">
        <f t="shared" si="10"/>
        <v>C</v>
      </c>
      <c r="AI11" s="224" t="str">
        <f t="shared" si="10"/>
        <v>C</v>
      </c>
      <c r="AJ11" s="224" t="str">
        <f t="shared" si="10"/>
        <v>C</v>
      </c>
      <c r="AK11" s="224" t="str">
        <f t="shared" si="10"/>
        <v>C</v>
      </c>
      <c r="AL11" s="224" t="str">
        <f t="shared" si="10"/>
        <v>C</v>
      </c>
      <c r="AM11" s="224" t="str">
        <f t="shared" si="10"/>
        <v>C</v>
      </c>
      <c r="AN11" s="224" t="str">
        <f t="shared" si="10"/>
        <v>C</v>
      </c>
      <c r="AO11" s="224" t="str">
        <f t="shared" si="10"/>
        <v>D</v>
      </c>
      <c r="AP11" s="224" t="str">
        <f t="shared" si="10"/>
        <v>D</v>
      </c>
      <c r="AQ11" s="224" t="str">
        <f t="shared" si="10"/>
        <v>D</v>
      </c>
      <c r="AR11" s="224" t="str">
        <f t="shared" si="10"/>
        <v>D</v>
      </c>
      <c r="AS11" s="224" t="str">
        <f t="shared" si="10"/>
        <v>D</v>
      </c>
      <c r="AT11" s="224" t="str">
        <f t="shared" si="10"/>
        <v>D</v>
      </c>
      <c r="AU11" s="224" t="str">
        <f t="shared" si="10"/>
        <v>D</v>
      </c>
      <c r="AV11" s="224" t="str">
        <f t="shared" si="10"/>
        <v>D</v>
      </c>
      <c r="AW11" s="224" t="str">
        <f t="shared" si="10"/>
        <v>D</v>
      </c>
      <c r="AX11" s="224" t="str">
        <f t="shared" si="10"/>
        <v>D</v>
      </c>
      <c r="AY11" s="224" t="str">
        <f t="shared" si="10"/>
        <v>D</v>
      </c>
      <c r="AZ11" s="224" t="str">
        <f t="shared" si="10"/>
        <v>D</v>
      </c>
      <c r="BA11" s="224" t="str">
        <f t="shared" si="10"/>
        <v>D</v>
      </c>
      <c r="BB11" s="224" t="str">
        <f t="shared" si="10"/>
        <v>D</v>
      </c>
      <c r="BC11" s="224" t="str">
        <f t="shared" si="10"/>
        <v>D</v>
      </c>
      <c r="BD11" s="224" t="str">
        <f t="shared" si="10"/>
        <v>D</v>
      </c>
      <c r="BE11" s="224" t="str">
        <f t="shared" si="10"/>
        <v>D</v>
      </c>
      <c r="BF11" s="224" t="str">
        <f t="shared" si="10"/>
        <v>D</v>
      </c>
      <c r="BG11" s="224" t="str">
        <f t="shared" si="10"/>
        <v>D</v>
      </c>
      <c r="BH11" s="224" t="str">
        <f t="shared" si="10"/>
        <v>D</v>
      </c>
      <c r="BI11" s="224" t="str">
        <f t="shared" si="10"/>
        <v>D</v>
      </c>
      <c r="BJ11" s="224" t="str">
        <f t="shared" si="10"/>
        <v>D</v>
      </c>
      <c r="BK11" s="224" t="str">
        <f t="shared" si="10"/>
        <v>D</v>
      </c>
      <c r="BL11" s="224" t="str">
        <f t="shared" si="10"/>
        <v>D</v>
      </c>
      <c r="BM11" s="224" t="str">
        <f t="shared" si="10"/>
        <v>D</v>
      </c>
      <c r="BN11" s="224" t="str">
        <f t="shared" si="10"/>
        <v>D</v>
      </c>
      <c r="BO11" s="224" t="str">
        <f t="shared" si="10"/>
        <v>D</v>
      </c>
      <c r="BP11" s="224" t="str">
        <f t="shared" si="10"/>
        <v>D</v>
      </c>
      <c r="BQ11" s="224" t="str">
        <f t="shared" si="10"/>
        <v>D</v>
      </c>
      <c r="BR11" s="224" t="str">
        <f t="shared" si="10"/>
        <v>D</v>
      </c>
    </row>
    <row r="12" spans="1:70">
      <c r="A12" t="s">
        <v>16</v>
      </c>
      <c r="B12" s="223"/>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70" t="s">
        <v>214</v>
      </c>
      <c r="C13" s="371"/>
      <c r="D13" s="70" t="s">
        <v>215</v>
      </c>
      <c r="E13" s="70" t="s">
        <v>216</v>
      </c>
      <c r="L13" s="69"/>
      <c r="M13" s="70"/>
    </row>
    <row r="14" spans="1:70">
      <c r="A14" t="s">
        <v>16</v>
      </c>
      <c r="B14" s="223">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3">
        <v>2</v>
      </c>
      <c r="C15" s="70" t="s">
        <v>217</v>
      </c>
      <c r="D15" s="75">
        <f>E14+1</f>
        <v>2018</v>
      </c>
      <c r="E15" s="75">
        <v>2030</v>
      </c>
      <c r="L15" s="69"/>
      <c r="M15" s="70"/>
    </row>
    <row r="16" spans="1:70">
      <c r="A16" t="s">
        <v>16</v>
      </c>
      <c r="B16" s="223">
        <v>3</v>
      </c>
      <c r="C16" s="70" t="s">
        <v>100</v>
      </c>
      <c r="D16" s="75">
        <v>2031</v>
      </c>
      <c r="E16" s="75">
        <v>2040</v>
      </c>
      <c r="L16" s="69"/>
      <c r="M16" s="70"/>
    </row>
    <row r="17" spans="1:70">
      <c r="A17" t="s">
        <v>16</v>
      </c>
      <c r="B17" s="223">
        <v>4</v>
      </c>
      <c r="C17" s="70" t="s">
        <v>218</v>
      </c>
      <c r="D17" s="75">
        <v>2041</v>
      </c>
      <c r="E17" s="75">
        <v>2070</v>
      </c>
      <c r="L17" s="69"/>
      <c r="M17" s="70"/>
    </row>
    <row r="18" spans="1:70">
      <c r="A18" t="s">
        <v>16</v>
      </c>
      <c r="B18" s="223"/>
      <c r="L18" s="69"/>
      <c r="M18" s="70"/>
    </row>
    <row r="19" spans="1:70" ht="15.75" thickBot="1">
      <c r="A19" t="s">
        <v>16</v>
      </c>
      <c r="B19" s="67" t="s">
        <v>494</v>
      </c>
      <c r="C19" s="67" t="s">
        <v>219</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3"/>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3" t="str">
        <f>B10</f>
        <v>COM</v>
      </c>
      <c r="C23" s="70" t="str">
        <f>C10</f>
        <v>Commercial</v>
      </c>
      <c r="D23" s="70" t="s">
        <v>62</v>
      </c>
      <c r="L23" s="185">
        <f>[13]Forecast!I$8</f>
        <v>132.81548999999998</v>
      </c>
      <c r="M23" s="185">
        <f>[13]Forecast!J$8</f>
        <v>134.00787499999998</v>
      </c>
      <c r="N23" s="185">
        <f>[13]Forecast!K$8</f>
        <v>135.598851</v>
      </c>
      <c r="O23" s="185">
        <f>[13]Forecast!L$8</f>
        <v>136.99421599999999</v>
      </c>
      <c r="P23" s="185">
        <f>[13]Forecast!M$8</f>
        <v>138.328236</v>
      </c>
      <c r="Q23" s="186">
        <f>IF(Q10/P10&lt;1,P23,(1+$B$20*(Q10/P10-1))*P23)</f>
        <v>139.22563422464734</v>
      </c>
      <c r="R23" s="271">
        <f t="shared" ref="R23:AQ23" si="13">IF(R10/Q10&lt;1,Q23,(1+$B$20*(R10/Q10-1))*Q23)</f>
        <v>140.22718478624111</v>
      </c>
      <c r="S23" s="271">
        <f t="shared" si="13"/>
        <v>141.05298495459101</v>
      </c>
      <c r="T23" s="271">
        <f t="shared" si="13"/>
        <v>141.05298495459101</v>
      </c>
      <c r="U23" s="271">
        <f t="shared" si="13"/>
        <v>144.2407063311102</v>
      </c>
      <c r="V23" s="271">
        <f t="shared" si="13"/>
        <v>145.46192942680437</v>
      </c>
      <c r="W23" s="186">
        <f t="shared" si="13"/>
        <v>145.59086144956359</v>
      </c>
      <c r="X23" s="186">
        <f t="shared" si="13"/>
        <v>146.23609296601325</v>
      </c>
      <c r="Y23" s="186">
        <f t="shared" si="13"/>
        <v>146.94899313428721</v>
      </c>
      <c r="Z23" s="186">
        <f t="shared" si="13"/>
        <v>147.86074383780982</v>
      </c>
      <c r="AA23" s="186">
        <f t="shared" si="13"/>
        <v>148.9092097760695</v>
      </c>
      <c r="AB23" s="186">
        <f t="shared" si="13"/>
        <v>150.09709784613739</v>
      </c>
      <c r="AC23" s="186">
        <f t="shared" si="13"/>
        <v>151.56265310675622</v>
      </c>
      <c r="AD23" s="186">
        <f t="shared" si="13"/>
        <v>153.32373311689403</v>
      </c>
      <c r="AE23" s="186">
        <f t="shared" si="13"/>
        <v>155.32000285140711</v>
      </c>
      <c r="AF23" s="186">
        <f t="shared" si="13"/>
        <v>157.39038802288925</v>
      </c>
      <c r="AG23" s="186">
        <f t="shared" si="13"/>
        <v>159.55115983647553</v>
      </c>
      <c r="AH23" s="186">
        <f t="shared" si="13"/>
        <v>161.98117773056944</v>
      </c>
      <c r="AI23" s="186">
        <f t="shared" si="13"/>
        <v>164.50841828327606</v>
      </c>
      <c r="AJ23" s="186">
        <f t="shared" si="13"/>
        <v>167.13624111210763</v>
      </c>
      <c r="AK23" s="186">
        <f t="shared" si="13"/>
        <v>169.87741244882298</v>
      </c>
      <c r="AL23" s="186">
        <f t="shared" si="13"/>
        <v>172.68981057721783</v>
      </c>
      <c r="AM23" s="186">
        <f t="shared" si="13"/>
        <v>175.48827489925748</v>
      </c>
      <c r="AN23" s="186">
        <f t="shared" si="13"/>
        <v>178.24211278190532</v>
      </c>
      <c r="AO23" s="186">
        <f t="shared" si="13"/>
        <v>181.18553467962417</v>
      </c>
      <c r="AP23" s="186">
        <f t="shared" si="13"/>
        <v>184.07008051312263</v>
      </c>
      <c r="AQ23" s="186">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3"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3" t="str">
        <f>B10 &amp; "-" &amp; "EXISTING"</f>
        <v>COM-EXISTING</v>
      </c>
      <c r="C25" s="70" t="str">
        <f>C10 &amp; "-" &amp; "existing"</f>
        <v>Commercial-existing</v>
      </c>
      <c r="D25" s="70" t="s">
        <v>44</v>
      </c>
      <c r="E25" s="82">
        <v>1</v>
      </c>
      <c r="I25" s="132"/>
      <c r="L25" s="184">
        <f>E25</f>
        <v>1</v>
      </c>
      <c r="M25" s="184">
        <v>1</v>
      </c>
      <c r="N25" s="184">
        <v>1</v>
      </c>
      <c r="O25" s="184">
        <v>1</v>
      </c>
      <c r="P25" s="184">
        <v>1</v>
      </c>
      <c r="Q25" s="184">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3"/>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3" t="s">
        <v>470</v>
      </c>
      <c r="C27" s="225">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3"/>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6" t="s">
        <v>474</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3" t="s">
        <v>471</v>
      </c>
      <c r="D30" s="70" t="s">
        <v>62</v>
      </c>
      <c r="I30" s="132"/>
      <c r="L30" s="184">
        <f>L23</f>
        <v>132.81548999999998</v>
      </c>
      <c r="M30" s="184">
        <f t="shared" ref="M30:Q30" si="77">M23</f>
        <v>134.00787499999998</v>
      </c>
      <c r="N30" s="184">
        <f t="shared" si="77"/>
        <v>135.598851</v>
      </c>
      <c r="O30" s="184">
        <f t="shared" si="77"/>
        <v>136.99421599999999</v>
      </c>
      <c r="P30" s="184">
        <f t="shared" si="77"/>
        <v>138.328236</v>
      </c>
      <c r="Q30" s="184">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3" t="s">
        <v>472</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3"/>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6" t="s">
        <v>479</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3" t="s">
        <v>473</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7">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3" t="s">
        <v>475</v>
      </c>
      <c r="C35" s="223"/>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7">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3" t="s">
        <v>476</v>
      </c>
      <c r="C36" s="223"/>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7">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3"/>
      <c r="C37" s="223"/>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7" t="s">
        <v>477</v>
      </c>
      <c r="C39" s="223"/>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28" t="s">
        <v>482</v>
      </c>
      <c r="C40" s="223"/>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220</v>
      </c>
      <c r="C41" s="73"/>
      <c r="D41" s="74" t="s">
        <v>221</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3" t="s">
        <v>222</v>
      </c>
      <c r="C42" s="223"/>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28" t="str">
        <f>C14</f>
        <v>A</v>
      </c>
      <c r="C43" s="223"/>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28" t="str">
        <f>C15</f>
        <v>B</v>
      </c>
      <c r="C44" s="223"/>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28" t="str">
        <f>C16</f>
        <v>C</v>
      </c>
      <c r="C45" s="223"/>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28" t="str">
        <f>C17</f>
        <v>D</v>
      </c>
      <c r="C46" s="223"/>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3"/>
      <c r="C47" s="223"/>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28" t="s">
        <v>223</v>
      </c>
      <c r="C48" s="223"/>
      <c r="E48" s="72"/>
      <c r="F48" s="72"/>
      <c r="G48" s="72"/>
      <c r="H48" s="72"/>
      <c r="I48" s="145" t="s">
        <v>471</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28" t="str">
        <f>B43</f>
        <v>A</v>
      </c>
      <c r="C49" s="223"/>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28" t="str">
        <f>B44</f>
        <v>B</v>
      </c>
      <c r="C50" s="223"/>
      <c r="E50" s="72"/>
      <c r="F50" s="72"/>
      <c r="G50" s="72"/>
      <c r="H50" s="72"/>
      <c r="I50" s="145" t="s">
        <v>244</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28" t="str">
        <f>B45</f>
        <v>C</v>
      </c>
      <c r="C51" s="223"/>
      <c r="E51" s="72"/>
      <c r="F51" s="72"/>
      <c r="G51" s="72"/>
      <c r="H51" s="72"/>
      <c r="I51" s="145" t="s">
        <v>245</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28" t="str">
        <f>B46</f>
        <v>D</v>
      </c>
      <c r="C52" s="223"/>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3" t="s">
        <v>224</v>
      </c>
      <c r="C53" s="223"/>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3"/>
      <c r="I54" s="132"/>
      <c r="L54" s="72"/>
      <c r="M54" s="70"/>
      <c r="AX54" s="72"/>
    </row>
    <row r="55" spans="1:70" ht="15.75" thickBot="1">
      <c r="A55" t="s">
        <v>16</v>
      </c>
      <c r="B55" s="68" t="s">
        <v>14</v>
      </c>
      <c r="C55" s="68" t="s">
        <v>481</v>
      </c>
      <c r="D55" s="68" t="s">
        <v>480</v>
      </c>
      <c r="E55" s="68">
        <v>2017</v>
      </c>
      <c r="F55" s="68">
        <v>2012</v>
      </c>
      <c r="G55" s="68">
        <v>2017</v>
      </c>
      <c r="I55" s="132"/>
      <c r="M55" s="70"/>
    </row>
    <row r="56" spans="1:70">
      <c r="A56" t="s">
        <v>16</v>
      </c>
      <c r="B56" s="72" t="s">
        <v>63</v>
      </c>
      <c r="C56" s="72" t="s">
        <v>225</v>
      </c>
      <c r="D56" s="85">
        <f t="shared" ref="D56:E64" si="134">F56*1000</f>
        <v>139664.39435388436</v>
      </c>
      <c r="E56" s="85">
        <f t="shared" si="134"/>
        <v>128412.71933541799</v>
      </c>
      <c r="F56" s="17">
        <f>'[13]TS BYDem'!$J10</f>
        <v>139.66439435388435</v>
      </c>
      <c r="G56" s="292">
        <f>INDEX('BY-DMD'!$I$5:$I$138,MATCH(C56,'BY-DMD'!$H$5:$H$138,0))</f>
        <v>128.41271933541799</v>
      </c>
      <c r="L56" s="69"/>
      <c r="M56" s="157" t="s">
        <v>496</v>
      </c>
      <c r="N56" s="74"/>
      <c r="O56" s="74" t="s">
        <v>427</v>
      </c>
      <c r="P56" s="74"/>
      <c r="Q56" s="74"/>
    </row>
    <row r="57" spans="1:70">
      <c r="A57" t="s">
        <v>16</v>
      </c>
      <c r="B57" s="72" t="s">
        <v>248</v>
      </c>
      <c r="C57" s="72" t="s">
        <v>226</v>
      </c>
      <c r="D57" s="85">
        <f t="shared" si="134"/>
        <v>7851.7549075018987</v>
      </c>
      <c r="E57" s="85">
        <f t="shared" si="134"/>
        <v>11992.907577983</v>
      </c>
      <c r="F57" s="17">
        <f>'[13]TS BYDem'!$J11</f>
        <v>7.8517549075018991</v>
      </c>
      <c r="G57" s="292">
        <f>INDEX('BY-DMD'!$I$5:$I$138,MATCH(C57,'BY-DMD'!$H$5:$H$138,0))</f>
        <v>11.992907577983001</v>
      </c>
      <c r="L57" s="69"/>
      <c r="M57" s="157" t="s">
        <v>499</v>
      </c>
      <c r="N57" s="74">
        <f>DriversGams!$B$164</f>
        <v>-1</v>
      </c>
      <c r="O57" s="74"/>
      <c r="P57" s="74"/>
      <c r="Q57" s="74"/>
    </row>
    <row r="58" spans="1:70">
      <c r="A58" t="s">
        <v>16</v>
      </c>
      <c r="B58" s="72" t="s">
        <v>249</v>
      </c>
      <c r="C58" s="72" t="s">
        <v>227</v>
      </c>
      <c r="D58" s="85">
        <f t="shared" si="134"/>
        <v>9894.4997565297635</v>
      </c>
      <c r="E58" s="85">
        <f t="shared" si="134"/>
        <v>8962.9891158025894</v>
      </c>
      <c r="F58" s="17">
        <f>'[13]TS BYDem'!$J12</f>
        <v>9.894499756529763</v>
      </c>
      <c r="G58" s="292">
        <f>INDEX('BY-DMD'!$I$5:$I$138,MATCH(C58,'BY-DMD'!$H$5:$H$138,0))</f>
        <v>8.9629891158025892</v>
      </c>
      <c r="L58" s="69"/>
      <c r="M58" s="157" t="s">
        <v>497</v>
      </c>
      <c r="N58" s="74"/>
      <c r="O58" s="74"/>
      <c r="P58" s="74"/>
      <c r="Q58" s="74"/>
    </row>
    <row r="59" spans="1:70">
      <c r="A59" t="s">
        <v>16</v>
      </c>
      <c r="B59" s="72" t="s">
        <v>64</v>
      </c>
      <c r="C59" s="72" t="s">
        <v>228</v>
      </c>
      <c r="D59" s="85">
        <f t="shared" si="134"/>
        <v>121540.2719056889</v>
      </c>
      <c r="E59" s="85">
        <f t="shared" si="134"/>
        <v>111748.716602955</v>
      </c>
      <c r="F59" s="17">
        <f>'[13]TS BYDem'!$J13</f>
        <v>121.5402719056889</v>
      </c>
      <c r="G59" s="292">
        <f>INDEX('BY-DMD'!$I$5:$I$138,MATCH(C59,'BY-DMD'!$H$5:$H$138,0))</f>
        <v>111.748716602955</v>
      </c>
      <c r="L59" s="69"/>
      <c r="M59" s="74">
        <v>-1</v>
      </c>
      <c r="N59" s="157" t="s">
        <v>498</v>
      </c>
      <c r="O59" s="74"/>
      <c r="P59" s="74"/>
      <c r="Q59" s="74"/>
      <c r="AE59" s="70" t="s">
        <v>610</v>
      </c>
    </row>
    <row r="60" spans="1:70">
      <c r="A60" t="s">
        <v>16</v>
      </c>
      <c r="B60" s="72" t="s">
        <v>250</v>
      </c>
      <c r="C60" s="72" t="s">
        <v>229</v>
      </c>
      <c r="D60" s="85">
        <f t="shared" si="134"/>
        <v>29566.39037374705</v>
      </c>
      <c r="E60" s="85">
        <f t="shared" si="134"/>
        <v>27184.456041138401</v>
      </c>
      <c r="F60" s="17">
        <f>'[13]TS BYDem'!$J14</f>
        <v>29.566390373747051</v>
      </c>
      <c r="G60" s="292">
        <f>INDEX('BY-DMD'!$I$5:$I$138,MATCH(C60,'BY-DMD'!$H$5:$H$138,0))</f>
        <v>27.1844560411384</v>
      </c>
      <c r="L60" s="69"/>
      <c r="M60" s="74">
        <v>1</v>
      </c>
      <c r="N60" s="74" t="s">
        <v>611</v>
      </c>
      <c r="O60" s="158">
        <v>-0.37</v>
      </c>
      <c r="P60" s="158">
        <v>-0.5</v>
      </c>
      <c r="Q60" s="158">
        <v>-0.2</v>
      </c>
      <c r="S60" s="70" t="s">
        <v>612</v>
      </c>
      <c r="AC60" s="72" t="s">
        <v>613</v>
      </c>
      <c r="AD60" s="72">
        <f>AD30/(AD30+AD31)</f>
        <v>0.79000360422411875</v>
      </c>
      <c r="AE60" s="72" t="s">
        <v>614</v>
      </c>
      <c r="AF60" s="72"/>
      <c r="AG60" s="72"/>
      <c r="AH60" s="72"/>
      <c r="AI60" s="72">
        <f>(AD30*0.8+AD31*0.46)/(AD30+AD31)</f>
        <v>0.72860122543620043</v>
      </c>
    </row>
    <row r="61" spans="1:70">
      <c r="A61" t="s">
        <v>16</v>
      </c>
      <c r="B61" s="72" t="s">
        <v>251</v>
      </c>
      <c r="C61" s="72" t="s">
        <v>230</v>
      </c>
      <c r="D61" s="85">
        <f t="shared" si="134"/>
        <v>9683.1090230750324</v>
      </c>
      <c r="E61" s="85">
        <f t="shared" si="134"/>
        <v>14392.1338097343</v>
      </c>
      <c r="F61" s="17">
        <f>'[13]TS BYDem'!$J15</f>
        <v>9.6831090230750316</v>
      </c>
      <c r="G61" s="292">
        <f>INDEX('BY-DMD'!$I$5:$I$138,MATCH(C61,'BY-DMD'!$H$5:$H$138,0))</f>
        <v>14.3921338097343</v>
      </c>
      <c r="L61" s="69"/>
      <c r="M61" s="74">
        <v>2</v>
      </c>
      <c r="N61" s="74" t="s">
        <v>615</v>
      </c>
      <c r="O61" s="158">
        <v>-0.25</v>
      </c>
      <c r="P61" s="158">
        <v>-0.25</v>
      </c>
      <c r="Q61" s="158">
        <v>-0.2</v>
      </c>
      <c r="S61" s="90" t="s">
        <v>632</v>
      </c>
    </row>
    <row r="62" spans="1:70">
      <c r="A62" t="s">
        <v>16</v>
      </c>
      <c r="B62" s="72" t="s">
        <v>254</v>
      </c>
      <c r="C62" s="72" t="s">
        <v>231</v>
      </c>
      <c r="D62" s="85">
        <f t="shared" si="134"/>
        <v>10300.552873773209</v>
      </c>
      <c r="E62" s="85">
        <f t="shared" si="134"/>
        <v>9470.7173671475102</v>
      </c>
      <c r="F62" s="17">
        <f>'[13]TS BYDem'!$J16</f>
        <v>10.30055287377321</v>
      </c>
      <c r="G62" s="292">
        <f>INDEX('BY-DMD'!$I$5:$I$138,MATCH(C62,'BY-DMD'!$H$5:$H$138,0))</f>
        <v>9.4707173671475093</v>
      </c>
      <c r="L62" s="69"/>
      <c r="M62" s="74">
        <v>3</v>
      </c>
      <c r="N62" s="157" t="s">
        <v>611</v>
      </c>
      <c r="O62" s="158">
        <v>-0.37</v>
      </c>
      <c r="P62" s="158">
        <v>-0.5</v>
      </c>
      <c r="Q62" s="158">
        <v>-0.2</v>
      </c>
    </row>
    <row r="63" spans="1:70">
      <c r="A63" t="s">
        <v>16</v>
      </c>
      <c r="B63" s="72" t="s">
        <v>253</v>
      </c>
      <c r="C63" s="72" t="s">
        <v>232</v>
      </c>
      <c r="D63" s="85">
        <f t="shared" si="134"/>
        <v>3559.3512487513526</v>
      </c>
      <c r="E63" s="85">
        <f t="shared" si="134"/>
        <v>3272.60197587621</v>
      </c>
      <c r="F63" s="17">
        <f>'[13]TS BYDem'!$J17</f>
        <v>3.5593512487513528</v>
      </c>
      <c r="G63" s="292">
        <f>INDEX('BY-DMD'!$I$5:$I$138,MATCH(C63,'BY-DMD'!$H$5:$H$138,0))</f>
        <v>3.2726019758762099</v>
      </c>
      <c r="L63" s="69"/>
      <c r="M63" s="70"/>
    </row>
    <row r="64" spans="1:70">
      <c r="A64" t="s">
        <v>16</v>
      </c>
      <c r="B64" s="72" t="s">
        <v>0</v>
      </c>
      <c r="C64" s="72" t="s">
        <v>233</v>
      </c>
      <c r="D64" s="85">
        <f t="shared" si="134"/>
        <v>18760.184357078931</v>
      </c>
      <c r="E64" s="85">
        <f t="shared" si="134"/>
        <v>20198.960613823001</v>
      </c>
      <c r="F64" s="17">
        <f>'[13]TS BYDem'!$J18</f>
        <v>18.760184357078931</v>
      </c>
      <c r="G64" s="292">
        <f>INDEX('BY-DMD'!$I$5:$I$138,MATCH(C64,'BY-DMD'!$H$5:$H$138,0))</f>
        <v>20.198960613823001</v>
      </c>
      <c r="L64" s="69"/>
      <c r="M64" s="70"/>
    </row>
    <row r="65" spans="1:70">
      <c r="A65" t="s">
        <v>16</v>
      </c>
      <c r="B65" s="72"/>
      <c r="C65" s="72"/>
      <c r="D65" s="72"/>
      <c r="L65" s="69"/>
      <c r="M65" s="70"/>
    </row>
    <row r="66" spans="1:70">
      <c r="A66" t="s">
        <v>16</v>
      </c>
      <c r="B66" s="72"/>
      <c r="F66" s="188"/>
      <c r="I66" s="132"/>
      <c r="M66" s="70"/>
    </row>
    <row r="67" spans="1:70" ht="15.75" thickBot="1">
      <c r="A67" t="s">
        <v>16</v>
      </c>
      <c r="B67" s="129" t="s">
        <v>12</v>
      </c>
      <c r="C67" s="130"/>
      <c r="D67" s="68"/>
      <c r="E67" s="80">
        <v>2012</v>
      </c>
      <c r="F67" s="189">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v>
      </c>
      <c r="I69" s="132"/>
      <c r="M69" s="70"/>
    </row>
    <row r="70" spans="1:70">
      <c r="A70" t="s">
        <v>16</v>
      </c>
      <c r="B70" s="223" t="s">
        <v>225</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3" t="s">
        <v>226</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3" t="s">
        <v>227</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3" t="s">
        <v>228</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3" t="s">
        <v>229</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3" t="s">
        <v>230</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3" t="s">
        <v>231</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3" t="s">
        <v>232</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3" t="s">
        <v>233</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3"/>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3" t="s">
        <v>234</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3" t="s">
        <v>235</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3" t="s">
        <v>236</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3" t="s">
        <v>237</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3" t="s">
        <v>238</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3" t="s">
        <v>239</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3" t="s">
        <v>240</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3" t="s">
        <v>241</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3" t="s">
        <v>242</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3"/>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469</v>
      </c>
      <c r="C91" s="67"/>
      <c r="D91" s="68"/>
      <c r="H91" s="155">
        <f>VLOOKUP($N$57,$M$59:$Q$66,4)</f>
        <v>0</v>
      </c>
      <c r="I91" s="156">
        <f>VLOOKUP($N$57,$M$59:$Q$66,5)</f>
        <v>0</v>
      </c>
      <c r="J91" s="156">
        <f t="shared" ref="J91:K91" si="150">VLOOKUP($N$57,$M$59:$Q$66,5)</f>
        <v>0</v>
      </c>
      <c r="K91" s="156">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3"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3"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3"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3"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3"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4">
      <c r="A97" t="s">
        <v>16</v>
      </c>
      <c r="B97" s="223"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4">
      <c r="A98" t="s">
        <v>16</v>
      </c>
      <c r="B98" s="223"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340.12117882925378</v>
      </c>
      <c r="I98" s="149">
        <f t="shared" si="157"/>
        <v>340.12117882925378</v>
      </c>
      <c r="J98" s="149">
        <f t="shared" si="153"/>
        <v>340.12117882925378</v>
      </c>
      <c r="K98" s="149">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4">
      <c r="A99" t="s">
        <v>16</v>
      </c>
      <c r="B99" s="223"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117.52871495617349</v>
      </c>
      <c r="I99" s="149">
        <f t="shared" si="157"/>
        <v>117.52871495617349</v>
      </c>
      <c r="J99" s="149">
        <f t="shared" si="153"/>
        <v>117.52871495617349</v>
      </c>
      <c r="K99" s="149">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4">
      <c r="A100" t="s">
        <v>16</v>
      </c>
      <c r="B100" s="223"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4">
      <c r="A101" t="s">
        <v>16</v>
      </c>
      <c r="B101" s="223"/>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461</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462</v>
      </c>
    </row>
    <row r="104" spans="1:74" ht="15.75" thickBot="1">
      <c r="A104" t="s">
        <v>16</v>
      </c>
      <c r="B104" s="67"/>
      <c r="C104" s="67" t="s">
        <v>243</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3" t="s">
        <v>234</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3" t="s">
        <v>235</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3" t="s">
        <v>236</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0"/>
      <c r="BV107" s="300"/>
    </row>
    <row r="108" spans="1:74">
      <c r="A108" t="s">
        <v>16</v>
      </c>
      <c r="B108" s="223" t="s">
        <v>237</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3" t="s">
        <v>238</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3" t="s">
        <v>239</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3" t="s">
        <v>240</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3" t="s">
        <v>241</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3" t="s">
        <v>242</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3"/>
      <c r="I114" s="132"/>
      <c r="M114" s="70"/>
    </row>
    <row r="115" spans="1:70" ht="15.75" thickBot="1">
      <c r="A115" t="s">
        <v>16</v>
      </c>
      <c r="B115" s="223"/>
      <c r="C115" s="67" t="s">
        <v>244</v>
      </c>
      <c r="D115" s="70" t="s">
        <v>767</v>
      </c>
      <c r="E115" s="70" t="s">
        <v>768</v>
      </c>
      <c r="H115" s="123"/>
      <c r="I115" s="132"/>
      <c r="M115" s="70"/>
    </row>
    <row r="116" spans="1:70">
      <c r="A116" t="s">
        <v>16</v>
      </c>
      <c r="B116" s="223" t="str">
        <f>B105</f>
        <v>CNC</v>
      </c>
      <c r="C116" s="223" t="str">
        <f>C105</f>
        <v>Commercial - Cooling</v>
      </c>
      <c r="E116" s="296">
        <f>E$125/9</f>
        <v>0</v>
      </c>
      <c r="F116" s="297" t="s">
        <v>769</v>
      </c>
      <c r="H116" s="298"/>
      <c r="I116" s="132"/>
      <c r="L116" s="134">
        <f t="shared" ref="L116:AA124" si="161">(1-$E116)</f>
        <v>1</v>
      </c>
      <c r="M116" s="91">
        <f t="shared" si="161"/>
        <v>1</v>
      </c>
      <c r="N116" s="91">
        <f t="shared" si="161"/>
        <v>1</v>
      </c>
      <c r="O116" s="91">
        <f t="shared" si="161"/>
        <v>1</v>
      </c>
      <c r="P116" s="91">
        <f t="shared" si="161"/>
        <v>1</v>
      </c>
      <c r="Q116" s="91">
        <f t="shared" si="161"/>
        <v>1</v>
      </c>
      <c r="R116" s="91">
        <f t="shared" si="161"/>
        <v>1</v>
      </c>
      <c r="S116" s="91">
        <f t="shared" si="161"/>
        <v>1</v>
      </c>
      <c r="T116" s="91">
        <f t="shared" si="161"/>
        <v>1</v>
      </c>
      <c r="U116" s="91">
        <f t="shared" si="161"/>
        <v>1</v>
      </c>
      <c r="V116" s="91">
        <f t="shared" si="161"/>
        <v>1</v>
      </c>
      <c r="W116" s="91">
        <f t="shared" si="161"/>
        <v>1</v>
      </c>
      <c r="X116" s="91">
        <f t="shared" si="161"/>
        <v>1</v>
      </c>
      <c r="Y116" s="91">
        <f t="shared" si="161"/>
        <v>1</v>
      </c>
      <c r="Z116" s="91">
        <f t="shared" si="161"/>
        <v>1</v>
      </c>
      <c r="AA116" s="91">
        <f t="shared" si="161"/>
        <v>1</v>
      </c>
      <c r="AB116" s="91">
        <f t="shared" ref="AB116:AY124" si="162">(1-$E116)</f>
        <v>1</v>
      </c>
      <c r="AC116" s="91">
        <f t="shared" si="162"/>
        <v>1</v>
      </c>
      <c r="AD116" s="91">
        <f t="shared" si="162"/>
        <v>1</v>
      </c>
      <c r="AE116" s="91">
        <f t="shared" si="162"/>
        <v>1</v>
      </c>
      <c r="AF116" s="91">
        <f t="shared" si="162"/>
        <v>1</v>
      </c>
      <c r="AG116" s="91">
        <f t="shared" si="162"/>
        <v>1</v>
      </c>
      <c r="AH116" s="91">
        <f t="shared" si="162"/>
        <v>1</v>
      </c>
      <c r="AI116" s="91">
        <f t="shared" si="162"/>
        <v>1</v>
      </c>
      <c r="AJ116" s="91">
        <f t="shared" si="162"/>
        <v>1</v>
      </c>
      <c r="AK116" s="91">
        <f t="shared" si="162"/>
        <v>1</v>
      </c>
      <c r="AL116" s="91">
        <f t="shared" si="162"/>
        <v>1</v>
      </c>
      <c r="AM116" s="91">
        <f t="shared" si="162"/>
        <v>1</v>
      </c>
      <c r="AN116" s="91">
        <f t="shared" si="162"/>
        <v>1</v>
      </c>
      <c r="AO116" s="91">
        <f t="shared" si="162"/>
        <v>1</v>
      </c>
      <c r="AP116" s="91">
        <f t="shared" si="162"/>
        <v>1</v>
      </c>
      <c r="AQ116" s="91">
        <f t="shared" si="162"/>
        <v>1</v>
      </c>
      <c r="AR116" s="91">
        <f t="shared" si="162"/>
        <v>1</v>
      </c>
      <c r="AS116" s="91">
        <f t="shared" si="162"/>
        <v>1</v>
      </c>
      <c r="AT116" s="91">
        <f t="shared" si="162"/>
        <v>1</v>
      </c>
      <c r="AU116" s="91">
        <f t="shared" si="162"/>
        <v>1</v>
      </c>
      <c r="AV116" s="91">
        <f t="shared" si="162"/>
        <v>1</v>
      </c>
      <c r="AW116" s="91">
        <f t="shared" si="162"/>
        <v>1</v>
      </c>
      <c r="AX116" s="91">
        <f t="shared" si="162"/>
        <v>1</v>
      </c>
      <c r="AY116" s="91">
        <f t="shared" si="162"/>
        <v>1</v>
      </c>
      <c r="AZ116" s="91">
        <f t="shared" ref="AY116:BR122" si="163">(1-$E116)</f>
        <v>1</v>
      </c>
      <c r="BA116" s="91">
        <f t="shared" si="163"/>
        <v>1</v>
      </c>
      <c r="BB116" s="91">
        <f t="shared" si="163"/>
        <v>1</v>
      </c>
      <c r="BC116" s="91">
        <f t="shared" si="163"/>
        <v>1</v>
      </c>
      <c r="BD116" s="91">
        <f t="shared" si="163"/>
        <v>1</v>
      </c>
      <c r="BE116" s="91">
        <f t="shared" si="163"/>
        <v>1</v>
      </c>
      <c r="BF116" s="91">
        <f t="shared" si="163"/>
        <v>1</v>
      </c>
      <c r="BG116" s="91">
        <f t="shared" si="163"/>
        <v>1</v>
      </c>
      <c r="BH116" s="91">
        <f t="shared" si="163"/>
        <v>1</v>
      </c>
      <c r="BI116" s="91">
        <f t="shared" si="163"/>
        <v>1</v>
      </c>
      <c r="BJ116" s="91">
        <f t="shared" si="163"/>
        <v>1</v>
      </c>
      <c r="BK116" s="91">
        <f t="shared" si="163"/>
        <v>1</v>
      </c>
      <c r="BL116" s="91">
        <f t="shared" si="163"/>
        <v>1</v>
      </c>
      <c r="BM116" s="91">
        <f t="shared" si="163"/>
        <v>1</v>
      </c>
      <c r="BN116" s="91">
        <f t="shared" si="163"/>
        <v>1</v>
      </c>
      <c r="BO116" s="91">
        <f t="shared" si="163"/>
        <v>1</v>
      </c>
      <c r="BP116" s="91">
        <f t="shared" si="163"/>
        <v>1</v>
      </c>
      <c r="BQ116" s="91">
        <f t="shared" si="163"/>
        <v>1</v>
      </c>
      <c r="BR116" s="91">
        <f t="shared" si="163"/>
        <v>1</v>
      </c>
    </row>
    <row r="117" spans="1:70">
      <c r="A117" t="s">
        <v>16</v>
      </c>
      <c r="B117" s="223" t="str">
        <f t="shared" ref="B117:C124" si="164">B106</f>
        <v>CNH</v>
      </c>
      <c r="C117" s="223" t="str">
        <f t="shared" si="164"/>
        <v>Commercial - Space Heating</v>
      </c>
      <c r="E117" s="296">
        <f t="shared" ref="E117:E124" si="165">E$125/9</f>
        <v>0</v>
      </c>
      <c r="F117" s="303"/>
      <c r="G117" s="299"/>
      <c r="H117" s="298"/>
      <c r="I117" s="132"/>
      <c r="L117" s="134">
        <f t="shared" si="161"/>
        <v>1</v>
      </c>
      <c r="M117" s="91">
        <f t="shared" si="161"/>
        <v>1</v>
      </c>
      <c r="N117" s="91">
        <f t="shared" si="161"/>
        <v>1</v>
      </c>
      <c r="O117" s="91">
        <f t="shared" si="161"/>
        <v>1</v>
      </c>
      <c r="P117" s="91">
        <f t="shared" si="161"/>
        <v>1</v>
      </c>
      <c r="Q117" s="91">
        <f t="shared" si="161"/>
        <v>1</v>
      </c>
      <c r="R117" s="91">
        <f t="shared" si="161"/>
        <v>1</v>
      </c>
      <c r="S117" s="91">
        <f t="shared" si="161"/>
        <v>1</v>
      </c>
      <c r="T117" s="91">
        <f t="shared" si="161"/>
        <v>1</v>
      </c>
      <c r="U117" s="91">
        <f t="shared" si="161"/>
        <v>1</v>
      </c>
      <c r="V117" s="91">
        <f t="shared" si="161"/>
        <v>1</v>
      </c>
      <c r="W117" s="91">
        <f t="shared" si="161"/>
        <v>1</v>
      </c>
      <c r="X117" s="91">
        <f t="shared" si="161"/>
        <v>1</v>
      </c>
      <c r="Y117" s="91">
        <f t="shared" si="161"/>
        <v>1</v>
      </c>
      <c r="Z117" s="91">
        <f t="shared" si="161"/>
        <v>1</v>
      </c>
      <c r="AA117" s="91">
        <f t="shared" si="161"/>
        <v>1</v>
      </c>
      <c r="AB117" s="91">
        <f t="shared" si="162"/>
        <v>1</v>
      </c>
      <c r="AC117" s="91">
        <f t="shared" si="162"/>
        <v>1</v>
      </c>
      <c r="AD117" s="91">
        <f t="shared" si="162"/>
        <v>1</v>
      </c>
      <c r="AE117" s="91">
        <f t="shared" si="162"/>
        <v>1</v>
      </c>
      <c r="AF117" s="91">
        <f t="shared" si="162"/>
        <v>1</v>
      </c>
      <c r="AG117" s="91">
        <f t="shared" si="162"/>
        <v>1</v>
      </c>
      <c r="AH117" s="91">
        <f t="shared" si="162"/>
        <v>1</v>
      </c>
      <c r="AI117" s="91">
        <f t="shared" si="162"/>
        <v>1</v>
      </c>
      <c r="AJ117" s="91">
        <f t="shared" si="162"/>
        <v>1</v>
      </c>
      <c r="AK117" s="91">
        <f t="shared" si="162"/>
        <v>1</v>
      </c>
      <c r="AL117" s="91">
        <f t="shared" si="162"/>
        <v>1</v>
      </c>
      <c r="AM117" s="91">
        <f t="shared" si="162"/>
        <v>1</v>
      </c>
      <c r="AN117" s="91">
        <f t="shared" si="162"/>
        <v>1</v>
      </c>
      <c r="AO117" s="91">
        <f t="shared" si="162"/>
        <v>1</v>
      </c>
      <c r="AP117" s="91">
        <f t="shared" si="162"/>
        <v>1</v>
      </c>
      <c r="AQ117" s="91">
        <f t="shared" si="162"/>
        <v>1</v>
      </c>
      <c r="AR117" s="91">
        <f t="shared" si="162"/>
        <v>1</v>
      </c>
      <c r="AS117" s="91">
        <f t="shared" si="162"/>
        <v>1</v>
      </c>
      <c r="AT117" s="91">
        <f t="shared" si="162"/>
        <v>1</v>
      </c>
      <c r="AU117" s="91">
        <f t="shared" si="162"/>
        <v>1</v>
      </c>
      <c r="AV117" s="91">
        <f t="shared" si="162"/>
        <v>1</v>
      </c>
      <c r="AW117" s="91">
        <f t="shared" si="162"/>
        <v>1</v>
      </c>
      <c r="AX117" s="91">
        <f t="shared" si="162"/>
        <v>1</v>
      </c>
      <c r="AY117" s="91">
        <f t="shared" si="163"/>
        <v>1</v>
      </c>
      <c r="AZ117" s="91">
        <f t="shared" si="163"/>
        <v>1</v>
      </c>
      <c r="BA117" s="91">
        <f t="shared" si="163"/>
        <v>1</v>
      </c>
      <c r="BB117" s="91">
        <f t="shared" si="163"/>
        <v>1</v>
      </c>
      <c r="BC117" s="91">
        <f t="shared" si="163"/>
        <v>1</v>
      </c>
      <c r="BD117" s="91">
        <f t="shared" si="163"/>
        <v>1</v>
      </c>
      <c r="BE117" s="91">
        <f t="shared" si="163"/>
        <v>1</v>
      </c>
      <c r="BF117" s="91">
        <f t="shared" si="163"/>
        <v>1</v>
      </c>
      <c r="BG117" s="91">
        <f t="shared" si="163"/>
        <v>1</v>
      </c>
      <c r="BH117" s="91">
        <f t="shared" si="163"/>
        <v>1</v>
      </c>
      <c r="BI117" s="91">
        <f t="shared" si="163"/>
        <v>1</v>
      </c>
      <c r="BJ117" s="91">
        <f t="shared" si="163"/>
        <v>1</v>
      </c>
      <c r="BK117" s="91">
        <f t="shared" si="163"/>
        <v>1</v>
      </c>
      <c r="BL117" s="91">
        <f t="shared" si="163"/>
        <v>1</v>
      </c>
      <c r="BM117" s="91">
        <f t="shared" si="163"/>
        <v>1</v>
      </c>
      <c r="BN117" s="91">
        <f t="shared" si="163"/>
        <v>1</v>
      </c>
      <c r="BO117" s="91">
        <f t="shared" si="163"/>
        <v>1</v>
      </c>
      <c r="BP117" s="91">
        <f t="shared" si="163"/>
        <v>1</v>
      </c>
      <c r="BQ117" s="91">
        <f t="shared" si="163"/>
        <v>1</v>
      </c>
      <c r="BR117" s="91">
        <f t="shared" si="163"/>
        <v>1</v>
      </c>
    </row>
    <row r="118" spans="1:70">
      <c r="A118" t="s">
        <v>16</v>
      </c>
      <c r="B118" s="223" t="str">
        <f t="shared" si="164"/>
        <v>CNK</v>
      </c>
      <c r="C118" s="223" t="str">
        <f t="shared" si="164"/>
        <v>Commercial - Cooking</v>
      </c>
      <c r="E118" s="296">
        <f t="shared" si="165"/>
        <v>0</v>
      </c>
      <c r="F118" s="303"/>
      <c r="G118" s="299"/>
      <c r="H118" s="298"/>
      <c r="I118" s="132"/>
      <c r="L118" s="134">
        <f t="shared" si="161"/>
        <v>1</v>
      </c>
      <c r="M118" s="91">
        <f t="shared" si="161"/>
        <v>1</v>
      </c>
      <c r="N118" s="91">
        <f t="shared" si="161"/>
        <v>1</v>
      </c>
      <c r="O118" s="91">
        <f>(1-$E118)</f>
        <v>1</v>
      </c>
      <c r="P118" s="91">
        <f t="shared" si="161"/>
        <v>1</v>
      </c>
      <c r="Q118" s="91">
        <f t="shared" si="161"/>
        <v>1</v>
      </c>
      <c r="R118" s="91">
        <f t="shared" si="161"/>
        <v>1</v>
      </c>
      <c r="S118" s="91">
        <f t="shared" si="161"/>
        <v>1</v>
      </c>
      <c r="T118" s="91">
        <f t="shared" si="161"/>
        <v>1</v>
      </c>
      <c r="U118" s="91">
        <f t="shared" si="161"/>
        <v>1</v>
      </c>
      <c r="V118" s="91">
        <f t="shared" si="161"/>
        <v>1</v>
      </c>
      <c r="W118" s="91">
        <f t="shared" si="161"/>
        <v>1</v>
      </c>
      <c r="X118" s="91">
        <f t="shared" si="161"/>
        <v>1</v>
      </c>
      <c r="Y118" s="91">
        <f t="shared" si="161"/>
        <v>1</v>
      </c>
      <c r="Z118" s="91">
        <f t="shared" si="161"/>
        <v>1</v>
      </c>
      <c r="AA118" s="91">
        <f t="shared" si="161"/>
        <v>1</v>
      </c>
      <c r="AB118" s="91">
        <f t="shared" si="162"/>
        <v>1</v>
      </c>
      <c r="AC118" s="91">
        <f t="shared" si="162"/>
        <v>1</v>
      </c>
      <c r="AD118" s="91">
        <f t="shared" si="162"/>
        <v>1</v>
      </c>
      <c r="AE118" s="91">
        <f t="shared" si="162"/>
        <v>1</v>
      </c>
      <c r="AF118" s="91">
        <f t="shared" si="162"/>
        <v>1</v>
      </c>
      <c r="AG118" s="91">
        <f t="shared" si="162"/>
        <v>1</v>
      </c>
      <c r="AH118" s="91">
        <f t="shared" si="162"/>
        <v>1</v>
      </c>
      <c r="AI118" s="91">
        <f t="shared" si="162"/>
        <v>1</v>
      </c>
      <c r="AJ118" s="91">
        <f t="shared" si="162"/>
        <v>1</v>
      </c>
      <c r="AK118" s="91">
        <f t="shared" si="162"/>
        <v>1</v>
      </c>
      <c r="AL118" s="91">
        <f t="shared" si="162"/>
        <v>1</v>
      </c>
      <c r="AM118" s="91">
        <f t="shared" si="162"/>
        <v>1</v>
      </c>
      <c r="AN118" s="91">
        <f t="shared" si="162"/>
        <v>1</v>
      </c>
      <c r="AO118" s="91">
        <f t="shared" si="162"/>
        <v>1</v>
      </c>
      <c r="AP118" s="91">
        <f t="shared" si="162"/>
        <v>1</v>
      </c>
      <c r="AQ118" s="91">
        <f t="shared" si="162"/>
        <v>1</v>
      </c>
      <c r="AR118" s="91">
        <f t="shared" si="162"/>
        <v>1</v>
      </c>
      <c r="AS118" s="91">
        <f t="shared" si="162"/>
        <v>1</v>
      </c>
      <c r="AT118" s="91">
        <f t="shared" si="162"/>
        <v>1</v>
      </c>
      <c r="AU118" s="91">
        <f t="shared" si="162"/>
        <v>1</v>
      </c>
      <c r="AV118" s="91">
        <f t="shared" si="162"/>
        <v>1</v>
      </c>
      <c r="AW118" s="91">
        <f t="shared" si="162"/>
        <v>1</v>
      </c>
      <c r="AX118" s="91">
        <f t="shared" si="162"/>
        <v>1</v>
      </c>
      <c r="AY118" s="91">
        <f t="shared" si="163"/>
        <v>1</v>
      </c>
      <c r="AZ118" s="91">
        <f t="shared" si="163"/>
        <v>1</v>
      </c>
      <c r="BA118" s="91">
        <f t="shared" si="163"/>
        <v>1</v>
      </c>
      <c r="BB118" s="91">
        <f t="shared" si="163"/>
        <v>1</v>
      </c>
      <c r="BC118" s="91">
        <f t="shared" si="163"/>
        <v>1</v>
      </c>
      <c r="BD118" s="91">
        <f t="shared" si="163"/>
        <v>1</v>
      </c>
      <c r="BE118" s="91">
        <f t="shared" si="163"/>
        <v>1</v>
      </c>
      <c r="BF118" s="91">
        <f t="shared" si="163"/>
        <v>1</v>
      </c>
      <c r="BG118" s="91">
        <f t="shared" si="163"/>
        <v>1</v>
      </c>
      <c r="BH118" s="91">
        <f t="shared" si="163"/>
        <v>1</v>
      </c>
      <c r="BI118" s="91">
        <f t="shared" si="163"/>
        <v>1</v>
      </c>
      <c r="BJ118" s="91">
        <f t="shared" si="163"/>
        <v>1</v>
      </c>
      <c r="BK118" s="91">
        <f t="shared" si="163"/>
        <v>1</v>
      </c>
      <c r="BL118" s="91">
        <f t="shared" si="163"/>
        <v>1</v>
      </c>
      <c r="BM118" s="91">
        <f t="shared" si="163"/>
        <v>1</v>
      </c>
      <c r="BN118" s="91">
        <f t="shared" si="163"/>
        <v>1</v>
      </c>
      <c r="BO118" s="91">
        <f t="shared" si="163"/>
        <v>1</v>
      </c>
      <c r="BP118" s="91">
        <f t="shared" si="163"/>
        <v>1</v>
      </c>
      <c r="BQ118" s="91">
        <f t="shared" si="163"/>
        <v>1</v>
      </c>
      <c r="BR118" s="91">
        <f t="shared" si="163"/>
        <v>1</v>
      </c>
    </row>
    <row r="119" spans="1:70">
      <c r="A119" t="s">
        <v>16</v>
      </c>
      <c r="B119" s="223" t="str">
        <f t="shared" si="164"/>
        <v>CNL</v>
      </c>
      <c r="C119" s="223" t="str">
        <f t="shared" si="164"/>
        <v>Commercial - Lighting</v>
      </c>
      <c r="E119" s="296">
        <f t="shared" si="165"/>
        <v>0</v>
      </c>
      <c r="F119" s="303"/>
      <c r="G119" s="299"/>
      <c r="H119" s="298"/>
      <c r="I119" s="132"/>
      <c r="L119" s="134">
        <f t="shared" si="161"/>
        <v>1</v>
      </c>
      <c r="M119" s="91">
        <f t="shared" si="161"/>
        <v>1</v>
      </c>
      <c r="N119" s="91">
        <f t="shared" si="161"/>
        <v>1</v>
      </c>
      <c r="O119" s="91">
        <f t="shared" si="161"/>
        <v>1</v>
      </c>
      <c r="P119" s="91">
        <f t="shared" si="161"/>
        <v>1</v>
      </c>
      <c r="Q119" s="91">
        <f t="shared" si="161"/>
        <v>1</v>
      </c>
      <c r="R119" s="91">
        <f t="shared" si="161"/>
        <v>1</v>
      </c>
      <c r="S119" s="91">
        <f t="shared" si="161"/>
        <v>1</v>
      </c>
      <c r="T119" s="91">
        <f t="shared" si="161"/>
        <v>1</v>
      </c>
      <c r="U119" s="91">
        <f t="shared" si="161"/>
        <v>1</v>
      </c>
      <c r="V119" s="91">
        <f t="shared" si="161"/>
        <v>1</v>
      </c>
      <c r="W119" s="91">
        <f t="shared" si="161"/>
        <v>1</v>
      </c>
      <c r="X119" s="91">
        <f t="shared" si="161"/>
        <v>1</v>
      </c>
      <c r="Y119" s="91">
        <f t="shared" si="161"/>
        <v>1</v>
      </c>
      <c r="Z119" s="91">
        <f t="shared" si="161"/>
        <v>1</v>
      </c>
      <c r="AA119" s="91">
        <f t="shared" si="161"/>
        <v>1</v>
      </c>
      <c r="AB119" s="91">
        <f t="shared" si="162"/>
        <v>1</v>
      </c>
      <c r="AC119" s="91">
        <f t="shared" si="162"/>
        <v>1</v>
      </c>
      <c r="AD119" s="91">
        <f t="shared" si="162"/>
        <v>1</v>
      </c>
      <c r="AE119" s="91">
        <f t="shared" si="162"/>
        <v>1</v>
      </c>
      <c r="AF119" s="91">
        <f t="shared" si="162"/>
        <v>1</v>
      </c>
      <c r="AG119" s="91">
        <f t="shared" si="162"/>
        <v>1</v>
      </c>
      <c r="AH119" s="91">
        <f t="shared" si="162"/>
        <v>1</v>
      </c>
      <c r="AI119" s="91">
        <f t="shared" si="162"/>
        <v>1</v>
      </c>
      <c r="AJ119" s="91">
        <f t="shared" si="162"/>
        <v>1</v>
      </c>
      <c r="AK119" s="91">
        <f t="shared" si="162"/>
        <v>1</v>
      </c>
      <c r="AL119" s="91">
        <f t="shared" si="162"/>
        <v>1</v>
      </c>
      <c r="AM119" s="91">
        <f t="shared" si="162"/>
        <v>1</v>
      </c>
      <c r="AN119" s="91">
        <f t="shared" si="162"/>
        <v>1</v>
      </c>
      <c r="AO119" s="91">
        <f t="shared" si="162"/>
        <v>1</v>
      </c>
      <c r="AP119" s="91">
        <f t="shared" si="162"/>
        <v>1</v>
      </c>
      <c r="AQ119" s="91">
        <f t="shared" si="162"/>
        <v>1</v>
      </c>
      <c r="AR119" s="91">
        <f t="shared" si="162"/>
        <v>1</v>
      </c>
      <c r="AS119" s="91">
        <f t="shared" si="162"/>
        <v>1</v>
      </c>
      <c r="AT119" s="91">
        <f t="shared" si="162"/>
        <v>1</v>
      </c>
      <c r="AU119" s="91">
        <f t="shared" si="162"/>
        <v>1</v>
      </c>
      <c r="AV119" s="91">
        <f t="shared" si="162"/>
        <v>1</v>
      </c>
      <c r="AW119" s="91">
        <f t="shared" si="162"/>
        <v>1</v>
      </c>
      <c r="AX119" s="91">
        <f t="shared" si="162"/>
        <v>1</v>
      </c>
      <c r="AY119" s="91">
        <f t="shared" si="163"/>
        <v>1</v>
      </c>
      <c r="AZ119" s="91">
        <f t="shared" si="163"/>
        <v>1</v>
      </c>
      <c r="BA119" s="91">
        <f t="shared" si="163"/>
        <v>1</v>
      </c>
      <c r="BB119" s="91">
        <f t="shared" si="163"/>
        <v>1</v>
      </c>
      <c r="BC119" s="91">
        <f t="shared" si="163"/>
        <v>1</v>
      </c>
      <c r="BD119" s="91">
        <f t="shared" si="163"/>
        <v>1</v>
      </c>
      <c r="BE119" s="91">
        <f t="shared" si="163"/>
        <v>1</v>
      </c>
      <c r="BF119" s="91">
        <f t="shared" si="163"/>
        <v>1</v>
      </c>
      <c r="BG119" s="91">
        <f t="shared" si="163"/>
        <v>1</v>
      </c>
      <c r="BH119" s="91">
        <f t="shared" si="163"/>
        <v>1</v>
      </c>
      <c r="BI119" s="91">
        <f t="shared" si="163"/>
        <v>1</v>
      </c>
      <c r="BJ119" s="91">
        <f t="shared" si="163"/>
        <v>1</v>
      </c>
      <c r="BK119" s="91">
        <f t="shared" si="163"/>
        <v>1</v>
      </c>
      <c r="BL119" s="91">
        <f t="shared" si="163"/>
        <v>1</v>
      </c>
      <c r="BM119" s="91">
        <f t="shared" si="163"/>
        <v>1</v>
      </c>
      <c r="BN119" s="91">
        <f t="shared" si="163"/>
        <v>1</v>
      </c>
      <c r="BO119" s="91">
        <f t="shared" si="163"/>
        <v>1</v>
      </c>
      <c r="BP119" s="91">
        <f t="shared" si="163"/>
        <v>1</v>
      </c>
      <c r="BQ119" s="91">
        <f t="shared" si="163"/>
        <v>1</v>
      </c>
      <c r="BR119" s="91">
        <f t="shared" si="163"/>
        <v>1</v>
      </c>
    </row>
    <row r="120" spans="1:70">
      <c r="A120" t="s">
        <v>16</v>
      </c>
      <c r="B120" s="223" t="str">
        <f t="shared" si="164"/>
        <v>CNR</v>
      </c>
      <c r="C120" s="223" t="str">
        <f t="shared" si="164"/>
        <v>Commercial - Refrigeration</v>
      </c>
      <c r="E120" s="296">
        <f t="shared" si="165"/>
        <v>0</v>
      </c>
      <c r="F120" s="303"/>
      <c r="G120" s="299"/>
      <c r="H120" s="298"/>
      <c r="I120" s="132"/>
      <c r="L120" s="134">
        <f t="shared" si="161"/>
        <v>1</v>
      </c>
      <c r="M120" s="91">
        <f t="shared" si="161"/>
        <v>1</v>
      </c>
      <c r="N120" s="91">
        <f t="shared" si="161"/>
        <v>1</v>
      </c>
      <c r="O120" s="91">
        <f t="shared" si="161"/>
        <v>1</v>
      </c>
      <c r="P120" s="91">
        <f t="shared" si="161"/>
        <v>1</v>
      </c>
      <c r="Q120" s="91">
        <f t="shared" si="161"/>
        <v>1</v>
      </c>
      <c r="R120" s="91">
        <f t="shared" si="161"/>
        <v>1</v>
      </c>
      <c r="S120" s="91">
        <f t="shared" si="161"/>
        <v>1</v>
      </c>
      <c r="T120" s="91">
        <f t="shared" si="161"/>
        <v>1</v>
      </c>
      <c r="U120" s="91">
        <f t="shared" si="161"/>
        <v>1</v>
      </c>
      <c r="V120" s="91">
        <f t="shared" si="161"/>
        <v>1</v>
      </c>
      <c r="W120" s="91">
        <f t="shared" si="161"/>
        <v>1</v>
      </c>
      <c r="X120" s="91">
        <f t="shared" si="161"/>
        <v>1</v>
      </c>
      <c r="Y120" s="91">
        <f t="shared" si="161"/>
        <v>1</v>
      </c>
      <c r="Z120" s="91">
        <f t="shared" si="161"/>
        <v>1</v>
      </c>
      <c r="AA120" s="91">
        <f t="shared" si="161"/>
        <v>1</v>
      </c>
      <c r="AB120" s="91">
        <f t="shared" si="162"/>
        <v>1</v>
      </c>
      <c r="AC120" s="91">
        <f t="shared" si="162"/>
        <v>1</v>
      </c>
      <c r="AD120" s="91">
        <f t="shared" si="162"/>
        <v>1</v>
      </c>
      <c r="AE120" s="91">
        <f t="shared" si="162"/>
        <v>1</v>
      </c>
      <c r="AF120" s="91">
        <f t="shared" si="162"/>
        <v>1</v>
      </c>
      <c r="AG120" s="91">
        <f t="shared" si="162"/>
        <v>1</v>
      </c>
      <c r="AH120" s="91">
        <f t="shared" si="162"/>
        <v>1</v>
      </c>
      <c r="AI120" s="91">
        <f t="shared" si="162"/>
        <v>1</v>
      </c>
      <c r="AJ120" s="91">
        <f t="shared" si="162"/>
        <v>1</v>
      </c>
      <c r="AK120" s="91">
        <f t="shared" si="162"/>
        <v>1</v>
      </c>
      <c r="AL120" s="91">
        <f t="shared" si="162"/>
        <v>1</v>
      </c>
      <c r="AM120" s="91">
        <f t="shared" si="162"/>
        <v>1</v>
      </c>
      <c r="AN120" s="91">
        <f t="shared" si="162"/>
        <v>1</v>
      </c>
      <c r="AO120" s="91">
        <f t="shared" si="162"/>
        <v>1</v>
      </c>
      <c r="AP120" s="91">
        <f t="shared" si="162"/>
        <v>1</v>
      </c>
      <c r="AQ120" s="91">
        <f t="shared" si="162"/>
        <v>1</v>
      </c>
      <c r="AR120" s="91">
        <f t="shared" si="162"/>
        <v>1</v>
      </c>
      <c r="AS120" s="91">
        <f t="shared" si="162"/>
        <v>1</v>
      </c>
      <c r="AT120" s="91">
        <f t="shared" si="162"/>
        <v>1</v>
      </c>
      <c r="AU120" s="91">
        <f t="shared" si="162"/>
        <v>1</v>
      </c>
      <c r="AV120" s="91">
        <f t="shared" si="162"/>
        <v>1</v>
      </c>
      <c r="AW120" s="91">
        <f t="shared" si="162"/>
        <v>1</v>
      </c>
      <c r="AX120" s="91">
        <f t="shared" si="162"/>
        <v>1</v>
      </c>
      <c r="AY120" s="91">
        <f t="shared" si="163"/>
        <v>1</v>
      </c>
      <c r="AZ120" s="91">
        <f t="shared" si="163"/>
        <v>1</v>
      </c>
      <c r="BA120" s="91">
        <f t="shared" si="163"/>
        <v>1</v>
      </c>
      <c r="BB120" s="91">
        <f t="shared" si="163"/>
        <v>1</v>
      </c>
      <c r="BC120" s="91">
        <f t="shared" si="163"/>
        <v>1</v>
      </c>
      <c r="BD120" s="91">
        <f t="shared" si="163"/>
        <v>1</v>
      </c>
      <c r="BE120" s="91">
        <f t="shared" si="163"/>
        <v>1</v>
      </c>
      <c r="BF120" s="91">
        <f t="shared" si="163"/>
        <v>1</v>
      </c>
      <c r="BG120" s="91">
        <f t="shared" si="163"/>
        <v>1</v>
      </c>
      <c r="BH120" s="91">
        <f t="shared" si="163"/>
        <v>1</v>
      </c>
      <c r="BI120" s="91">
        <f t="shared" si="163"/>
        <v>1</v>
      </c>
      <c r="BJ120" s="91">
        <f t="shared" si="163"/>
        <v>1</v>
      </c>
      <c r="BK120" s="91">
        <f t="shared" si="163"/>
        <v>1</v>
      </c>
      <c r="BL120" s="91">
        <f t="shared" si="163"/>
        <v>1</v>
      </c>
      <c r="BM120" s="91">
        <f t="shared" si="163"/>
        <v>1</v>
      </c>
      <c r="BN120" s="91">
        <f t="shared" si="163"/>
        <v>1</v>
      </c>
      <c r="BO120" s="91">
        <f t="shared" si="163"/>
        <v>1</v>
      </c>
      <c r="BP120" s="91">
        <f t="shared" si="163"/>
        <v>1</v>
      </c>
      <c r="BQ120" s="91">
        <f t="shared" si="163"/>
        <v>1</v>
      </c>
      <c r="BR120" s="91">
        <f t="shared" si="163"/>
        <v>1</v>
      </c>
    </row>
    <row r="121" spans="1:70">
      <c r="A121" t="s">
        <v>16</v>
      </c>
      <c r="B121" s="223" t="str">
        <f t="shared" si="164"/>
        <v>CNW</v>
      </c>
      <c r="C121" s="223" t="str">
        <f t="shared" si="164"/>
        <v>Commercial - Water Heating</v>
      </c>
      <c r="E121" s="296">
        <f t="shared" si="165"/>
        <v>0</v>
      </c>
      <c r="F121" s="303"/>
      <c r="G121" s="299"/>
      <c r="H121" s="298"/>
      <c r="I121" s="132"/>
      <c r="L121" s="134">
        <f t="shared" si="161"/>
        <v>1</v>
      </c>
      <c r="M121" s="91">
        <f t="shared" si="161"/>
        <v>1</v>
      </c>
      <c r="N121" s="91">
        <f t="shared" si="161"/>
        <v>1</v>
      </c>
      <c r="O121" s="91">
        <f t="shared" si="161"/>
        <v>1</v>
      </c>
      <c r="P121" s="91">
        <f t="shared" si="161"/>
        <v>1</v>
      </c>
      <c r="Q121" s="91">
        <f t="shared" si="161"/>
        <v>1</v>
      </c>
      <c r="R121" s="91">
        <f t="shared" si="161"/>
        <v>1</v>
      </c>
      <c r="S121" s="91">
        <f t="shared" si="161"/>
        <v>1</v>
      </c>
      <c r="T121" s="91">
        <f t="shared" si="161"/>
        <v>1</v>
      </c>
      <c r="U121" s="91">
        <f t="shared" si="161"/>
        <v>1</v>
      </c>
      <c r="V121" s="91">
        <f t="shared" si="161"/>
        <v>1</v>
      </c>
      <c r="W121" s="91">
        <f t="shared" si="161"/>
        <v>1</v>
      </c>
      <c r="X121" s="91">
        <f t="shared" si="161"/>
        <v>1</v>
      </c>
      <c r="Y121" s="91">
        <f t="shared" si="161"/>
        <v>1</v>
      </c>
      <c r="Z121" s="91">
        <f t="shared" si="161"/>
        <v>1</v>
      </c>
      <c r="AA121" s="91">
        <f t="shared" si="161"/>
        <v>1</v>
      </c>
      <c r="AB121" s="91">
        <f t="shared" si="162"/>
        <v>1</v>
      </c>
      <c r="AC121" s="91">
        <f t="shared" si="162"/>
        <v>1</v>
      </c>
      <c r="AD121" s="91">
        <f t="shared" si="162"/>
        <v>1</v>
      </c>
      <c r="AE121" s="91">
        <f t="shared" si="162"/>
        <v>1</v>
      </c>
      <c r="AF121" s="91">
        <f t="shared" si="162"/>
        <v>1</v>
      </c>
      <c r="AG121" s="91">
        <f t="shared" si="162"/>
        <v>1</v>
      </c>
      <c r="AH121" s="91">
        <f t="shared" si="162"/>
        <v>1</v>
      </c>
      <c r="AI121" s="91">
        <f t="shared" si="162"/>
        <v>1</v>
      </c>
      <c r="AJ121" s="91">
        <f t="shared" si="162"/>
        <v>1</v>
      </c>
      <c r="AK121" s="91">
        <f t="shared" si="162"/>
        <v>1</v>
      </c>
      <c r="AL121" s="91">
        <f t="shared" si="162"/>
        <v>1</v>
      </c>
      <c r="AM121" s="91">
        <f t="shared" si="162"/>
        <v>1</v>
      </c>
      <c r="AN121" s="91">
        <f t="shared" si="162"/>
        <v>1</v>
      </c>
      <c r="AO121" s="91">
        <f t="shared" si="162"/>
        <v>1</v>
      </c>
      <c r="AP121" s="91">
        <f t="shared" si="162"/>
        <v>1</v>
      </c>
      <c r="AQ121" s="91">
        <f t="shared" si="162"/>
        <v>1</v>
      </c>
      <c r="AR121" s="91">
        <f t="shared" si="162"/>
        <v>1</v>
      </c>
      <c r="AS121" s="91">
        <f t="shared" si="162"/>
        <v>1</v>
      </c>
      <c r="AT121" s="91">
        <f t="shared" si="162"/>
        <v>1</v>
      </c>
      <c r="AU121" s="91">
        <f t="shared" si="162"/>
        <v>1</v>
      </c>
      <c r="AV121" s="91">
        <f t="shared" si="162"/>
        <v>1</v>
      </c>
      <c r="AW121" s="91">
        <f t="shared" si="162"/>
        <v>1</v>
      </c>
      <c r="AX121" s="91">
        <f t="shared" si="162"/>
        <v>1</v>
      </c>
      <c r="AY121" s="91">
        <f t="shared" si="163"/>
        <v>1</v>
      </c>
      <c r="AZ121" s="91">
        <f t="shared" si="163"/>
        <v>1</v>
      </c>
      <c r="BA121" s="91">
        <f t="shared" si="163"/>
        <v>1</v>
      </c>
      <c r="BB121" s="91">
        <f t="shared" si="163"/>
        <v>1</v>
      </c>
      <c r="BC121" s="91">
        <f t="shared" si="163"/>
        <v>1</v>
      </c>
      <c r="BD121" s="91">
        <f t="shared" si="163"/>
        <v>1</v>
      </c>
      <c r="BE121" s="91">
        <f t="shared" si="163"/>
        <v>1</v>
      </c>
      <c r="BF121" s="91">
        <f t="shared" si="163"/>
        <v>1</v>
      </c>
      <c r="BG121" s="91">
        <f t="shared" si="163"/>
        <v>1</v>
      </c>
      <c r="BH121" s="91">
        <f t="shared" si="163"/>
        <v>1</v>
      </c>
      <c r="BI121" s="91">
        <f t="shared" si="163"/>
        <v>1</v>
      </c>
      <c r="BJ121" s="91">
        <f t="shared" si="163"/>
        <v>1</v>
      </c>
      <c r="BK121" s="91">
        <f t="shared" si="163"/>
        <v>1</v>
      </c>
      <c r="BL121" s="91">
        <f t="shared" si="163"/>
        <v>1</v>
      </c>
      <c r="BM121" s="91">
        <f t="shared" si="163"/>
        <v>1</v>
      </c>
      <c r="BN121" s="91">
        <f t="shared" si="163"/>
        <v>1</v>
      </c>
      <c r="BO121" s="91">
        <f t="shared" si="163"/>
        <v>1</v>
      </c>
      <c r="BP121" s="91">
        <f t="shared" si="163"/>
        <v>1</v>
      </c>
      <c r="BQ121" s="91">
        <f t="shared" si="163"/>
        <v>1</v>
      </c>
      <c r="BR121" s="91">
        <f t="shared" si="163"/>
        <v>1</v>
      </c>
    </row>
    <row r="122" spans="1:70">
      <c r="A122" t="s">
        <v>16</v>
      </c>
      <c r="B122" s="223" t="str">
        <f t="shared" si="164"/>
        <v>CNG</v>
      </c>
      <c r="C122" s="223" t="str">
        <f t="shared" si="164"/>
        <v>Commercial - Public lights</v>
      </c>
      <c r="E122" s="296">
        <f t="shared" si="165"/>
        <v>0</v>
      </c>
      <c r="F122" s="303"/>
      <c r="G122" s="299"/>
      <c r="I122" s="132"/>
      <c r="L122" s="134">
        <f t="shared" si="161"/>
        <v>1</v>
      </c>
      <c r="M122" s="91">
        <f t="shared" si="161"/>
        <v>1</v>
      </c>
      <c r="N122" s="91">
        <f t="shared" si="161"/>
        <v>1</v>
      </c>
      <c r="O122" s="91">
        <f t="shared" si="161"/>
        <v>1</v>
      </c>
      <c r="P122" s="91">
        <f t="shared" si="161"/>
        <v>1</v>
      </c>
      <c r="Q122" s="91">
        <f t="shared" si="161"/>
        <v>1</v>
      </c>
      <c r="R122" s="91">
        <f t="shared" si="161"/>
        <v>1</v>
      </c>
      <c r="S122" s="91">
        <f t="shared" si="161"/>
        <v>1</v>
      </c>
      <c r="T122" s="91">
        <f t="shared" si="161"/>
        <v>1</v>
      </c>
      <c r="U122" s="91">
        <f t="shared" si="161"/>
        <v>1</v>
      </c>
      <c r="V122" s="91">
        <f t="shared" si="161"/>
        <v>1</v>
      </c>
      <c r="W122" s="91">
        <f t="shared" si="161"/>
        <v>1</v>
      </c>
      <c r="X122" s="91">
        <f t="shared" si="161"/>
        <v>1</v>
      </c>
      <c r="Y122" s="91">
        <f t="shared" si="161"/>
        <v>1</v>
      </c>
      <c r="Z122" s="91">
        <f t="shared" si="161"/>
        <v>1</v>
      </c>
      <c r="AA122" s="91">
        <f t="shared" si="161"/>
        <v>1</v>
      </c>
      <c r="AB122" s="91">
        <f t="shared" si="162"/>
        <v>1</v>
      </c>
      <c r="AC122" s="91">
        <f t="shared" si="162"/>
        <v>1</v>
      </c>
      <c r="AD122" s="91">
        <f t="shared" si="162"/>
        <v>1</v>
      </c>
      <c r="AE122" s="91">
        <f t="shared" si="162"/>
        <v>1</v>
      </c>
      <c r="AF122" s="91">
        <f t="shared" si="162"/>
        <v>1</v>
      </c>
      <c r="AG122" s="91">
        <f t="shared" si="162"/>
        <v>1</v>
      </c>
      <c r="AH122" s="91">
        <f t="shared" si="162"/>
        <v>1</v>
      </c>
      <c r="AI122" s="91">
        <f t="shared" si="162"/>
        <v>1</v>
      </c>
      <c r="AJ122" s="91">
        <f t="shared" si="162"/>
        <v>1</v>
      </c>
      <c r="AK122" s="91">
        <f t="shared" si="162"/>
        <v>1</v>
      </c>
      <c r="AL122" s="91">
        <f t="shared" si="162"/>
        <v>1</v>
      </c>
      <c r="AM122" s="91">
        <f t="shared" si="162"/>
        <v>1</v>
      </c>
      <c r="AN122" s="91">
        <f t="shared" si="162"/>
        <v>1</v>
      </c>
      <c r="AO122" s="91">
        <f t="shared" si="162"/>
        <v>1</v>
      </c>
      <c r="AP122" s="91">
        <f t="shared" si="162"/>
        <v>1</v>
      </c>
      <c r="AQ122" s="91">
        <f t="shared" si="162"/>
        <v>1</v>
      </c>
      <c r="AR122" s="91">
        <f t="shared" si="162"/>
        <v>1</v>
      </c>
      <c r="AS122" s="91">
        <f t="shared" si="162"/>
        <v>1</v>
      </c>
      <c r="AT122" s="91">
        <f t="shared" si="162"/>
        <v>1</v>
      </c>
      <c r="AU122" s="91">
        <f t="shared" si="162"/>
        <v>1</v>
      </c>
      <c r="AV122" s="91">
        <f t="shared" si="162"/>
        <v>1</v>
      </c>
      <c r="AW122" s="91">
        <f t="shared" si="162"/>
        <v>1</v>
      </c>
      <c r="AX122" s="91">
        <f t="shared" si="162"/>
        <v>1</v>
      </c>
      <c r="AY122" s="91">
        <f t="shared" si="163"/>
        <v>1</v>
      </c>
      <c r="AZ122" s="91">
        <f t="shared" si="163"/>
        <v>1</v>
      </c>
      <c r="BA122" s="91">
        <f t="shared" si="163"/>
        <v>1</v>
      </c>
      <c r="BB122" s="91">
        <f t="shared" si="163"/>
        <v>1</v>
      </c>
      <c r="BC122" s="91">
        <f t="shared" si="163"/>
        <v>1</v>
      </c>
      <c r="BD122" s="91">
        <f t="shared" si="163"/>
        <v>1</v>
      </c>
      <c r="BE122" s="91">
        <f t="shared" si="163"/>
        <v>1</v>
      </c>
      <c r="BF122" s="91">
        <f t="shared" si="163"/>
        <v>1</v>
      </c>
      <c r="BG122" s="91">
        <f t="shared" si="163"/>
        <v>1</v>
      </c>
      <c r="BH122" s="91">
        <f t="shared" si="163"/>
        <v>1</v>
      </c>
      <c r="BI122" s="91">
        <f t="shared" si="163"/>
        <v>1</v>
      </c>
      <c r="BJ122" s="91">
        <f t="shared" si="163"/>
        <v>1</v>
      </c>
      <c r="BK122" s="91">
        <f t="shared" si="163"/>
        <v>1</v>
      </c>
      <c r="BL122" s="91">
        <f t="shared" si="163"/>
        <v>1</v>
      </c>
      <c r="BM122" s="91">
        <f t="shared" si="163"/>
        <v>1</v>
      </c>
      <c r="BN122" s="91">
        <f t="shared" si="163"/>
        <v>1</v>
      </c>
      <c r="BO122" s="91">
        <f t="shared" ref="AY122:BR124" si="166">(1-$E122)</f>
        <v>1</v>
      </c>
      <c r="BP122" s="91">
        <f t="shared" si="166"/>
        <v>1</v>
      </c>
      <c r="BQ122" s="91">
        <f t="shared" si="166"/>
        <v>1</v>
      </c>
      <c r="BR122" s="91">
        <f t="shared" si="166"/>
        <v>1</v>
      </c>
    </row>
    <row r="123" spans="1:70">
      <c r="A123" t="s">
        <v>16</v>
      </c>
      <c r="B123" s="223" t="str">
        <f t="shared" si="164"/>
        <v>CNT</v>
      </c>
      <c r="C123" s="223" t="str">
        <f t="shared" si="164"/>
        <v>Commercial - Public Water</v>
      </c>
      <c r="E123" s="296">
        <f t="shared" si="165"/>
        <v>0</v>
      </c>
      <c r="F123" s="303"/>
      <c r="G123" s="299"/>
      <c r="H123" s="298"/>
      <c r="I123" s="132"/>
      <c r="L123" s="134">
        <f t="shared" si="161"/>
        <v>1</v>
      </c>
      <c r="M123" s="91">
        <f t="shared" si="161"/>
        <v>1</v>
      </c>
      <c r="N123" s="91">
        <f t="shared" si="161"/>
        <v>1</v>
      </c>
      <c r="O123" s="91">
        <f t="shared" si="161"/>
        <v>1</v>
      </c>
      <c r="P123" s="91">
        <f t="shared" si="161"/>
        <v>1</v>
      </c>
      <c r="Q123" s="91">
        <f t="shared" si="161"/>
        <v>1</v>
      </c>
      <c r="R123" s="91">
        <f t="shared" si="161"/>
        <v>1</v>
      </c>
      <c r="S123" s="91">
        <f t="shared" si="161"/>
        <v>1</v>
      </c>
      <c r="T123" s="91">
        <f t="shared" si="161"/>
        <v>1</v>
      </c>
      <c r="U123" s="91">
        <f t="shared" si="161"/>
        <v>1</v>
      </c>
      <c r="V123" s="91">
        <f t="shared" si="161"/>
        <v>1</v>
      </c>
      <c r="W123" s="91">
        <f t="shared" si="161"/>
        <v>1</v>
      </c>
      <c r="X123" s="91">
        <f t="shared" si="161"/>
        <v>1</v>
      </c>
      <c r="Y123" s="91">
        <f t="shared" si="161"/>
        <v>1</v>
      </c>
      <c r="Z123" s="91">
        <f t="shared" si="161"/>
        <v>1</v>
      </c>
      <c r="AA123" s="91">
        <f t="shared" si="161"/>
        <v>1</v>
      </c>
      <c r="AB123" s="91">
        <f t="shared" si="162"/>
        <v>1</v>
      </c>
      <c r="AC123" s="91">
        <f t="shared" si="162"/>
        <v>1</v>
      </c>
      <c r="AD123" s="91">
        <f t="shared" si="162"/>
        <v>1</v>
      </c>
      <c r="AE123" s="91">
        <f t="shared" si="162"/>
        <v>1</v>
      </c>
      <c r="AF123" s="91">
        <f t="shared" si="162"/>
        <v>1</v>
      </c>
      <c r="AG123" s="91">
        <f t="shared" si="162"/>
        <v>1</v>
      </c>
      <c r="AH123" s="91">
        <f t="shared" si="162"/>
        <v>1</v>
      </c>
      <c r="AI123" s="91">
        <f t="shared" si="162"/>
        <v>1</v>
      </c>
      <c r="AJ123" s="91">
        <f t="shared" si="162"/>
        <v>1</v>
      </c>
      <c r="AK123" s="91">
        <f t="shared" si="162"/>
        <v>1</v>
      </c>
      <c r="AL123" s="91">
        <f t="shared" si="162"/>
        <v>1</v>
      </c>
      <c r="AM123" s="91">
        <f t="shared" si="162"/>
        <v>1</v>
      </c>
      <c r="AN123" s="91">
        <f t="shared" si="162"/>
        <v>1</v>
      </c>
      <c r="AO123" s="91">
        <f t="shared" si="162"/>
        <v>1</v>
      </c>
      <c r="AP123" s="91">
        <f t="shared" si="162"/>
        <v>1</v>
      </c>
      <c r="AQ123" s="91">
        <f t="shared" si="162"/>
        <v>1</v>
      </c>
      <c r="AR123" s="91">
        <f t="shared" si="162"/>
        <v>1</v>
      </c>
      <c r="AS123" s="91">
        <f t="shared" si="162"/>
        <v>1</v>
      </c>
      <c r="AT123" s="91">
        <f t="shared" si="162"/>
        <v>1</v>
      </c>
      <c r="AU123" s="91">
        <f t="shared" si="162"/>
        <v>1</v>
      </c>
      <c r="AV123" s="91">
        <f t="shared" si="162"/>
        <v>1</v>
      </c>
      <c r="AW123" s="91">
        <f t="shared" si="162"/>
        <v>1</v>
      </c>
      <c r="AX123" s="91">
        <f t="shared" si="162"/>
        <v>1</v>
      </c>
      <c r="AY123" s="91">
        <f t="shared" si="166"/>
        <v>1</v>
      </c>
      <c r="AZ123" s="91">
        <f t="shared" si="166"/>
        <v>1</v>
      </c>
      <c r="BA123" s="91">
        <f t="shared" si="166"/>
        <v>1</v>
      </c>
      <c r="BB123" s="91">
        <f t="shared" si="166"/>
        <v>1</v>
      </c>
      <c r="BC123" s="91">
        <f t="shared" si="166"/>
        <v>1</v>
      </c>
      <c r="BD123" s="91">
        <f t="shared" si="166"/>
        <v>1</v>
      </c>
      <c r="BE123" s="91">
        <f t="shared" si="166"/>
        <v>1</v>
      </c>
      <c r="BF123" s="91">
        <f t="shared" si="166"/>
        <v>1</v>
      </c>
      <c r="BG123" s="91">
        <f t="shared" si="166"/>
        <v>1</v>
      </c>
      <c r="BH123" s="91">
        <f t="shared" si="166"/>
        <v>1</v>
      </c>
      <c r="BI123" s="91">
        <f t="shared" si="166"/>
        <v>1</v>
      </c>
      <c r="BJ123" s="91">
        <f t="shared" si="166"/>
        <v>1</v>
      </c>
      <c r="BK123" s="91">
        <f t="shared" si="166"/>
        <v>1</v>
      </c>
      <c r="BL123" s="91">
        <f t="shared" si="166"/>
        <v>1</v>
      </c>
      <c r="BM123" s="91">
        <f t="shared" si="166"/>
        <v>1</v>
      </c>
      <c r="BN123" s="91">
        <f t="shared" si="166"/>
        <v>1</v>
      </c>
      <c r="BO123" s="91">
        <f t="shared" si="166"/>
        <v>1</v>
      </c>
      <c r="BP123" s="91">
        <f t="shared" si="166"/>
        <v>1</v>
      </c>
      <c r="BQ123" s="91">
        <f t="shared" si="166"/>
        <v>1</v>
      </c>
      <c r="BR123" s="91">
        <f t="shared" si="166"/>
        <v>1</v>
      </c>
    </row>
    <row r="124" spans="1:70">
      <c r="A124" t="s">
        <v>16</v>
      </c>
      <c r="B124" s="223" t="str">
        <f t="shared" si="164"/>
        <v>CNO</v>
      </c>
      <c r="C124" s="223" t="str">
        <f t="shared" si="164"/>
        <v>Commercial - Other</v>
      </c>
      <c r="E124" s="296">
        <f t="shared" si="165"/>
        <v>0</v>
      </c>
      <c r="F124" s="70" t="s">
        <v>772</v>
      </c>
      <c r="H124" s="197">
        <f>IF(N57=1,27%,0)</f>
        <v>0</v>
      </c>
      <c r="I124" s="132"/>
      <c r="L124" s="134">
        <f t="shared" si="161"/>
        <v>1</v>
      </c>
      <c r="M124" s="91">
        <f t="shared" si="161"/>
        <v>1</v>
      </c>
      <c r="N124" s="91">
        <f t="shared" si="161"/>
        <v>1</v>
      </c>
      <c r="O124" s="91">
        <f t="shared" si="161"/>
        <v>1</v>
      </c>
      <c r="P124" s="91">
        <f t="shared" si="161"/>
        <v>1</v>
      </c>
      <c r="Q124" s="91">
        <f t="shared" si="161"/>
        <v>1</v>
      </c>
      <c r="R124" s="91">
        <f t="shared" si="161"/>
        <v>1</v>
      </c>
      <c r="S124" s="91">
        <f t="shared" si="161"/>
        <v>1</v>
      </c>
      <c r="T124" s="91">
        <f t="shared" si="161"/>
        <v>1</v>
      </c>
      <c r="U124" s="91">
        <f t="shared" si="161"/>
        <v>1</v>
      </c>
      <c r="V124" s="91">
        <f t="shared" si="161"/>
        <v>1</v>
      </c>
      <c r="W124" s="91">
        <f t="shared" si="161"/>
        <v>1</v>
      </c>
      <c r="X124" s="91">
        <f t="shared" si="161"/>
        <v>1</v>
      </c>
      <c r="Y124" s="91">
        <f t="shared" si="161"/>
        <v>1</v>
      </c>
      <c r="Z124" s="91">
        <f t="shared" si="161"/>
        <v>1</v>
      </c>
      <c r="AA124" s="91">
        <f t="shared" si="161"/>
        <v>1</v>
      </c>
      <c r="AB124" s="91">
        <f t="shared" si="162"/>
        <v>1</v>
      </c>
      <c r="AC124" s="91">
        <f t="shared" si="162"/>
        <v>1</v>
      </c>
      <c r="AD124" s="91">
        <f t="shared" si="162"/>
        <v>1</v>
      </c>
      <c r="AE124" s="91">
        <f t="shared" si="162"/>
        <v>1</v>
      </c>
      <c r="AF124" s="91">
        <f t="shared" si="162"/>
        <v>1</v>
      </c>
      <c r="AG124" s="91">
        <f t="shared" si="162"/>
        <v>1</v>
      </c>
      <c r="AH124" s="91">
        <f t="shared" si="162"/>
        <v>1</v>
      </c>
      <c r="AI124" s="91">
        <f t="shared" si="162"/>
        <v>1</v>
      </c>
      <c r="AJ124" s="91">
        <f t="shared" si="162"/>
        <v>1</v>
      </c>
      <c r="AK124" s="91">
        <f t="shared" si="162"/>
        <v>1</v>
      </c>
      <c r="AL124" s="91">
        <f t="shared" si="162"/>
        <v>1</v>
      </c>
      <c r="AM124" s="91">
        <f t="shared" si="162"/>
        <v>1</v>
      </c>
      <c r="AN124" s="91">
        <f t="shared" si="162"/>
        <v>1</v>
      </c>
      <c r="AO124" s="91">
        <f t="shared" si="162"/>
        <v>1</v>
      </c>
      <c r="AP124" s="91">
        <f t="shared" si="162"/>
        <v>1</v>
      </c>
      <c r="AQ124" s="91">
        <f t="shared" si="162"/>
        <v>1</v>
      </c>
      <c r="AR124" s="91">
        <f t="shared" si="162"/>
        <v>1</v>
      </c>
      <c r="AS124" s="91">
        <f t="shared" si="162"/>
        <v>1</v>
      </c>
      <c r="AT124" s="91">
        <f t="shared" si="162"/>
        <v>1</v>
      </c>
      <c r="AU124" s="91">
        <f t="shared" si="162"/>
        <v>1</v>
      </c>
      <c r="AV124" s="91">
        <f t="shared" si="162"/>
        <v>1</v>
      </c>
      <c r="AW124" s="91">
        <f t="shared" si="162"/>
        <v>1</v>
      </c>
      <c r="AX124" s="91">
        <f t="shared" si="162"/>
        <v>1</v>
      </c>
      <c r="AY124" s="91">
        <f t="shared" si="166"/>
        <v>1</v>
      </c>
      <c r="AZ124" s="91">
        <f t="shared" si="166"/>
        <v>1</v>
      </c>
      <c r="BA124" s="91">
        <f t="shared" si="166"/>
        <v>1</v>
      </c>
      <c r="BB124" s="91">
        <f t="shared" si="166"/>
        <v>1</v>
      </c>
      <c r="BC124" s="91">
        <f t="shared" si="166"/>
        <v>1</v>
      </c>
      <c r="BD124" s="91">
        <f t="shared" si="166"/>
        <v>1</v>
      </c>
      <c r="BE124" s="91">
        <f t="shared" si="166"/>
        <v>1</v>
      </c>
      <c r="BF124" s="91">
        <f t="shared" si="166"/>
        <v>1</v>
      </c>
      <c r="BG124" s="91">
        <f t="shared" si="166"/>
        <v>1</v>
      </c>
      <c r="BH124" s="91">
        <f t="shared" si="166"/>
        <v>1</v>
      </c>
      <c r="BI124" s="91">
        <f t="shared" si="166"/>
        <v>1</v>
      </c>
      <c r="BJ124" s="91">
        <f t="shared" si="166"/>
        <v>1</v>
      </c>
      <c r="BK124" s="91">
        <f t="shared" si="166"/>
        <v>1</v>
      </c>
      <c r="BL124" s="91">
        <f t="shared" si="166"/>
        <v>1</v>
      </c>
      <c r="BM124" s="91">
        <f t="shared" si="166"/>
        <v>1</v>
      </c>
      <c r="BN124" s="91">
        <f t="shared" si="166"/>
        <v>1</v>
      </c>
      <c r="BO124" s="91">
        <f t="shared" si="166"/>
        <v>1</v>
      </c>
      <c r="BP124" s="91">
        <f t="shared" si="166"/>
        <v>1</v>
      </c>
      <c r="BQ124" s="91">
        <f t="shared" si="166"/>
        <v>1</v>
      </c>
      <c r="BR124" s="91">
        <f t="shared" si="166"/>
        <v>1</v>
      </c>
    </row>
    <row r="125" spans="1:70">
      <c r="A125" t="s">
        <v>16</v>
      </c>
      <c r="B125" s="223"/>
      <c r="C125" s="223"/>
      <c r="D125" s="70" t="s">
        <v>773</v>
      </c>
      <c r="E125" s="302">
        <f>((1/(1-H124))-1)</f>
        <v>0</v>
      </c>
      <c r="F125" s="70" t="s">
        <v>774</v>
      </c>
      <c r="I125" s="132"/>
      <c r="M125" s="70"/>
    </row>
    <row r="126" spans="1:70" ht="15.75" thickBot="1">
      <c r="A126" t="s">
        <v>16</v>
      </c>
      <c r="B126" s="223"/>
      <c r="C126" s="67" t="s">
        <v>245</v>
      </c>
      <c r="E126" s="70" t="s">
        <v>770</v>
      </c>
      <c r="I126" s="132"/>
      <c r="M126" s="70"/>
    </row>
    <row r="127" spans="1:70">
      <c r="A127" t="s">
        <v>16</v>
      </c>
      <c r="B127" s="223" t="str">
        <f t="shared" ref="B127:C135" si="167">B116</f>
        <v>CNC</v>
      </c>
      <c r="C127" s="223" t="str">
        <f t="shared" si="167"/>
        <v>Commercial - Cooling</v>
      </c>
      <c r="E127" s="125">
        <f>E$136/9</f>
        <v>0</v>
      </c>
      <c r="G127" s="299"/>
      <c r="I127" s="132"/>
      <c r="L127" s="304">
        <f t="shared" ref="L127:AX133" si="168">L116*(1-$E127)</f>
        <v>1</v>
      </c>
      <c r="M127" s="305">
        <f t="shared" si="168"/>
        <v>1</v>
      </c>
      <c r="N127" s="305">
        <f t="shared" si="168"/>
        <v>1</v>
      </c>
      <c r="O127" s="305">
        <f t="shared" si="168"/>
        <v>1</v>
      </c>
      <c r="P127" s="88">
        <f t="shared" si="168"/>
        <v>1</v>
      </c>
      <c r="Q127" s="88">
        <f t="shared" si="168"/>
        <v>1</v>
      </c>
      <c r="R127" s="88">
        <f t="shared" si="168"/>
        <v>1</v>
      </c>
      <c r="S127" s="88">
        <f t="shared" si="168"/>
        <v>1</v>
      </c>
      <c r="T127" s="88">
        <f t="shared" si="168"/>
        <v>1</v>
      </c>
      <c r="U127" s="88">
        <f t="shared" si="168"/>
        <v>1</v>
      </c>
      <c r="V127" s="88">
        <f t="shared" si="168"/>
        <v>1</v>
      </c>
      <c r="W127" s="88">
        <f t="shared" si="168"/>
        <v>1</v>
      </c>
      <c r="X127" s="88">
        <f t="shared" si="168"/>
        <v>1</v>
      </c>
      <c r="Y127" s="88">
        <f t="shared" si="168"/>
        <v>1</v>
      </c>
      <c r="Z127" s="88">
        <f t="shared" si="168"/>
        <v>1</v>
      </c>
      <c r="AA127" s="88">
        <f t="shared" si="168"/>
        <v>1</v>
      </c>
      <c r="AB127" s="88">
        <f t="shared" si="168"/>
        <v>1</v>
      </c>
      <c r="AC127" s="88">
        <f t="shared" si="168"/>
        <v>1</v>
      </c>
      <c r="AD127" s="88">
        <f t="shared" si="168"/>
        <v>1</v>
      </c>
      <c r="AE127" s="88">
        <f t="shared" si="168"/>
        <v>1</v>
      </c>
      <c r="AF127" s="88">
        <f t="shared" si="168"/>
        <v>1</v>
      </c>
      <c r="AG127" s="88">
        <f t="shared" si="168"/>
        <v>1</v>
      </c>
      <c r="AH127" s="88">
        <f t="shared" si="168"/>
        <v>1</v>
      </c>
      <c r="AI127" s="88">
        <f t="shared" si="168"/>
        <v>1</v>
      </c>
      <c r="AJ127" s="88">
        <f t="shared" si="168"/>
        <v>1</v>
      </c>
      <c r="AK127" s="88">
        <f t="shared" si="168"/>
        <v>1</v>
      </c>
      <c r="AL127" s="88">
        <f t="shared" si="168"/>
        <v>1</v>
      </c>
      <c r="AM127" s="88">
        <f t="shared" si="168"/>
        <v>1</v>
      </c>
      <c r="AN127" s="88">
        <f t="shared" si="168"/>
        <v>1</v>
      </c>
      <c r="AO127" s="88">
        <f t="shared" si="168"/>
        <v>1</v>
      </c>
      <c r="AP127" s="88">
        <f t="shared" si="168"/>
        <v>1</v>
      </c>
      <c r="AQ127" s="88">
        <f t="shared" si="168"/>
        <v>1</v>
      </c>
      <c r="AR127" s="88">
        <f t="shared" si="168"/>
        <v>1</v>
      </c>
      <c r="AS127" s="88">
        <f t="shared" si="168"/>
        <v>1</v>
      </c>
      <c r="AT127" s="88">
        <f t="shared" si="168"/>
        <v>1</v>
      </c>
      <c r="AU127" s="88">
        <f t="shared" si="168"/>
        <v>1</v>
      </c>
      <c r="AV127" s="88">
        <f t="shared" si="168"/>
        <v>1</v>
      </c>
      <c r="AW127" s="88">
        <f t="shared" si="168"/>
        <v>1</v>
      </c>
      <c r="AX127" s="88">
        <f t="shared" si="168"/>
        <v>1</v>
      </c>
      <c r="AY127" s="88">
        <f t="shared" ref="AY127:BR132" si="169">AY116*(1-$E127)</f>
        <v>1</v>
      </c>
      <c r="AZ127" s="88">
        <f t="shared" si="169"/>
        <v>1</v>
      </c>
      <c r="BA127" s="88">
        <f t="shared" si="169"/>
        <v>1</v>
      </c>
      <c r="BB127" s="88">
        <f t="shared" si="169"/>
        <v>1</v>
      </c>
      <c r="BC127" s="88">
        <f t="shared" si="169"/>
        <v>1</v>
      </c>
      <c r="BD127" s="88">
        <f t="shared" si="169"/>
        <v>1</v>
      </c>
      <c r="BE127" s="88">
        <f t="shared" si="169"/>
        <v>1</v>
      </c>
      <c r="BF127" s="88">
        <f t="shared" si="169"/>
        <v>1</v>
      </c>
      <c r="BG127" s="88">
        <f t="shared" si="169"/>
        <v>1</v>
      </c>
      <c r="BH127" s="88">
        <f t="shared" si="169"/>
        <v>1</v>
      </c>
      <c r="BI127" s="88">
        <f t="shared" si="169"/>
        <v>1</v>
      </c>
      <c r="BJ127" s="88">
        <f t="shared" si="169"/>
        <v>1</v>
      </c>
      <c r="BK127" s="88">
        <f t="shared" si="169"/>
        <v>1</v>
      </c>
      <c r="BL127" s="88">
        <f t="shared" si="169"/>
        <v>1</v>
      </c>
      <c r="BM127" s="88">
        <f t="shared" si="169"/>
        <v>1</v>
      </c>
      <c r="BN127" s="88">
        <f t="shared" si="169"/>
        <v>1</v>
      </c>
      <c r="BO127" s="88">
        <f t="shared" si="169"/>
        <v>1</v>
      </c>
      <c r="BP127" s="88">
        <f t="shared" si="169"/>
        <v>1</v>
      </c>
      <c r="BQ127" s="88">
        <f t="shared" si="169"/>
        <v>1</v>
      </c>
      <c r="BR127" s="88">
        <f t="shared" si="169"/>
        <v>1</v>
      </c>
    </row>
    <row r="128" spans="1:70">
      <c r="A128" t="s">
        <v>16</v>
      </c>
      <c r="B128" s="223" t="str">
        <f t="shared" si="167"/>
        <v>CNH</v>
      </c>
      <c r="C128" s="223" t="str">
        <f t="shared" si="167"/>
        <v>Commercial - Space Heating</v>
      </c>
      <c r="E128" s="125">
        <f t="shared" ref="E128:E135" si="170">E$136/9</f>
        <v>0</v>
      </c>
      <c r="G128" s="299" t="s">
        <v>775</v>
      </c>
      <c r="H128" s="124">
        <v>0.09</v>
      </c>
      <c r="I128" s="132"/>
      <c r="L128" s="304">
        <f t="shared" si="168"/>
        <v>1</v>
      </c>
      <c r="M128" s="305">
        <f t="shared" si="168"/>
        <v>1</v>
      </c>
      <c r="N128" s="305">
        <f t="shared" si="168"/>
        <v>1</v>
      </c>
      <c r="O128" s="305">
        <f t="shared" si="168"/>
        <v>1</v>
      </c>
      <c r="P128" s="88">
        <f t="shared" si="168"/>
        <v>1</v>
      </c>
      <c r="Q128" s="88">
        <f t="shared" si="168"/>
        <v>1</v>
      </c>
      <c r="R128" s="88">
        <f t="shared" si="168"/>
        <v>1</v>
      </c>
      <c r="S128" s="88">
        <f t="shared" si="168"/>
        <v>1</v>
      </c>
      <c r="T128" s="88">
        <f t="shared" si="168"/>
        <v>1</v>
      </c>
      <c r="U128" s="88">
        <f t="shared" si="168"/>
        <v>1</v>
      </c>
      <c r="V128" s="88">
        <f t="shared" si="168"/>
        <v>1</v>
      </c>
      <c r="W128" s="88">
        <f t="shared" si="168"/>
        <v>1</v>
      </c>
      <c r="X128" s="88">
        <f t="shared" si="168"/>
        <v>1</v>
      </c>
      <c r="Y128" s="88">
        <f t="shared" si="168"/>
        <v>1</v>
      </c>
      <c r="Z128" s="88">
        <f t="shared" si="168"/>
        <v>1</v>
      </c>
      <c r="AA128" s="88">
        <f t="shared" si="168"/>
        <v>1</v>
      </c>
      <c r="AB128" s="88">
        <f t="shared" si="168"/>
        <v>1</v>
      </c>
      <c r="AC128" s="88">
        <f t="shared" si="168"/>
        <v>1</v>
      </c>
      <c r="AD128" s="88">
        <f t="shared" si="168"/>
        <v>1</v>
      </c>
      <c r="AE128" s="88">
        <f t="shared" si="168"/>
        <v>1</v>
      </c>
      <c r="AF128" s="88">
        <f t="shared" si="168"/>
        <v>1</v>
      </c>
      <c r="AG128" s="88">
        <f t="shared" si="168"/>
        <v>1</v>
      </c>
      <c r="AH128" s="88">
        <f t="shared" si="168"/>
        <v>1</v>
      </c>
      <c r="AI128" s="88">
        <f t="shared" si="168"/>
        <v>1</v>
      </c>
      <c r="AJ128" s="88">
        <f t="shared" si="168"/>
        <v>1</v>
      </c>
      <c r="AK128" s="88">
        <f t="shared" si="168"/>
        <v>1</v>
      </c>
      <c r="AL128" s="88">
        <f t="shared" si="168"/>
        <v>1</v>
      </c>
      <c r="AM128" s="88">
        <f t="shared" si="168"/>
        <v>1</v>
      </c>
      <c r="AN128" s="88">
        <f t="shared" si="168"/>
        <v>1</v>
      </c>
      <c r="AO128" s="88">
        <f t="shared" si="168"/>
        <v>1</v>
      </c>
      <c r="AP128" s="88">
        <f t="shared" si="168"/>
        <v>1</v>
      </c>
      <c r="AQ128" s="88">
        <f t="shared" si="168"/>
        <v>1</v>
      </c>
      <c r="AR128" s="88">
        <f t="shared" si="168"/>
        <v>1</v>
      </c>
      <c r="AS128" s="88">
        <f t="shared" si="168"/>
        <v>1</v>
      </c>
      <c r="AT128" s="88">
        <f t="shared" si="168"/>
        <v>1</v>
      </c>
      <c r="AU128" s="88">
        <f t="shared" si="168"/>
        <v>1</v>
      </c>
      <c r="AV128" s="88">
        <f t="shared" si="168"/>
        <v>1</v>
      </c>
      <c r="AW128" s="88">
        <f t="shared" si="168"/>
        <v>1</v>
      </c>
      <c r="AX128" s="88">
        <f t="shared" si="168"/>
        <v>1</v>
      </c>
      <c r="AY128" s="88">
        <f t="shared" si="169"/>
        <v>1</v>
      </c>
      <c r="AZ128" s="88">
        <f t="shared" si="169"/>
        <v>1</v>
      </c>
      <c r="BA128" s="88">
        <f t="shared" si="169"/>
        <v>1</v>
      </c>
      <c r="BB128" s="88">
        <f t="shared" si="169"/>
        <v>1</v>
      </c>
      <c r="BC128" s="88">
        <f t="shared" si="169"/>
        <v>1</v>
      </c>
      <c r="BD128" s="88">
        <f t="shared" si="169"/>
        <v>1</v>
      </c>
      <c r="BE128" s="88">
        <f t="shared" si="169"/>
        <v>1</v>
      </c>
      <c r="BF128" s="88">
        <f t="shared" si="169"/>
        <v>1</v>
      </c>
      <c r="BG128" s="88">
        <f t="shared" si="169"/>
        <v>1</v>
      </c>
      <c r="BH128" s="88">
        <f t="shared" si="169"/>
        <v>1</v>
      </c>
      <c r="BI128" s="88">
        <f t="shared" si="169"/>
        <v>1</v>
      </c>
      <c r="BJ128" s="88">
        <f t="shared" si="169"/>
        <v>1</v>
      </c>
      <c r="BK128" s="88">
        <f t="shared" si="169"/>
        <v>1</v>
      </c>
      <c r="BL128" s="88">
        <f t="shared" si="169"/>
        <v>1</v>
      </c>
      <c r="BM128" s="88">
        <f t="shared" si="169"/>
        <v>1</v>
      </c>
      <c r="BN128" s="88">
        <f t="shared" si="169"/>
        <v>1</v>
      </c>
      <c r="BO128" s="88">
        <f t="shared" si="169"/>
        <v>1</v>
      </c>
      <c r="BP128" s="88">
        <f t="shared" si="169"/>
        <v>1</v>
      </c>
      <c r="BQ128" s="88">
        <f t="shared" si="169"/>
        <v>1</v>
      </c>
      <c r="BR128" s="88">
        <f t="shared" si="169"/>
        <v>1</v>
      </c>
    </row>
    <row r="129" spans="1:70">
      <c r="A129" t="s">
        <v>16</v>
      </c>
      <c r="B129" s="223" t="str">
        <f t="shared" si="167"/>
        <v>CNK</v>
      </c>
      <c r="C129" s="223" t="str">
        <f t="shared" si="167"/>
        <v>Commercial - Cooking</v>
      </c>
      <c r="E129" s="125">
        <f t="shared" si="170"/>
        <v>0</v>
      </c>
      <c r="G129" s="299" t="s">
        <v>772</v>
      </c>
      <c r="H129" s="197">
        <f>(1-(1/(H128+1)))</f>
        <v>8.2568807339449601E-2</v>
      </c>
      <c r="I129" s="132"/>
      <c r="L129" s="304">
        <f t="shared" si="168"/>
        <v>1</v>
      </c>
      <c r="M129" s="305">
        <f t="shared" si="168"/>
        <v>1</v>
      </c>
      <c r="N129" s="305">
        <f t="shared" si="168"/>
        <v>1</v>
      </c>
      <c r="O129" s="305">
        <f t="shared" si="168"/>
        <v>1</v>
      </c>
      <c r="P129" s="88">
        <f t="shared" si="168"/>
        <v>1</v>
      </c>
      <c r="Q129" s="88">
        <f t="shared" si="168"/>
        <v>1</v>
      </c>
      <c r="R129" s="88">
        <f t="shared" si="168"/>
        <v>1</v>
      </c>
      <c r="S129" s="88">
        <f t="shared" si="168"/>
        <v>1</v>
      </c>
      <c r="T129" s="88">
        <f t="shared" si="168"/>
        <v>1</v>
      </c>
      <c r="U129" s="88">
        <f t="shared" si="168"/>
        <v>1</v>
      </c>
      <c r="V129" s="88">
        <f t="shared" si="168"/>
        <v>1</v>
      </c>
      <c r="W129" s="88">
        <f t="shared" si="168"/>
        <v>1</v>
      </c>
      <c r="X129" s="88">
        <f t="shared" si="168"/>
        <v>1</v>
      </c>
      <c r="Y129" s="88">
        <f t="shared" si="168"/>
        <v>1</v>
      </c>
      <c r="Z129" s="88">
        <f t="shared" si="168"/>
        <v>1</v>
      </c>
      <c r="AA129" s="88">
        <f t="shared" si="168"/>
        <v>1</v>
      </c>
      <c r="AB129" s="88">
        <f t="shared" si="168"/>
        <v>1</v>
      </c>
      <c r="AC129" s="88">
        <f t="shared" si="168"/>
        <v>1</v>
      </c>
      <c r="AD129" s="88">
        <f t="shared" si="168"/>
        <v>1</v>
      </c>
      <c r="AE129" s="88">
        <f t="shared" si="168"/>
        <v>1</v>
      </c>
      <c r="AF129" s="88">
        <f t="shared" si="168"/>
        <v>1</v>
      </c>
      <c r="AG129" s="88">
        <f t="shared" si="168"/>
        <v>1</v>
      </c>
      <c r="AH129" s="88">
        <f t="shared" si="168"/>
        <v>1</v>
      </c>
      <c r="AI129" s="88">
        <f t="shared" si="168"/>
        <v>1</v>
      </c>
      <c r="AJ129" s="88">
        <f t="shared" si="168"/>
        <v>1</v>
      </c>
      <c r="AK129" s="88">
        <f t="shared" si="168"/>
        <v>1</v>
      </c>
      <c r="AL129" s="88">
        <f t="shared" si="168"/>
        <v>1</v>
      </c>
      <c r="AM129" s="88">
        <f t="shared" si="168"/>
        <v>1</v>
      </c>
      <c r="AN129" s="88">
        <f t="shared" si="168"/>
        <v>1</v>
      </c>
      <c r="AO129" s="88">
        <f t="shared" si="168"/>
        <v>1</v>
      </c>
      <c r="AP129" s="88">
        <f t="shared" si="168"/>
        <v>1</v>
      </c>
      <c r="AQ129" s="88">
        <f t="shared" si="168"/>
        <v>1</v>
      </c>
      <c r="AR129" s="88">
        <f t="shared" si="168"/>
        <v>1</v>
      </c>
      <c r="AS129" s="88">
        <f t="shared" si="168"/>
        <v>1</v>
      </c>
      <c r="AT129" s="88">
        <f t="shared" si="168"/>
        <v>1</v>
      </c>
      <c r="AU129" s="88">
        <f t="shared" si="168"/>
        <v>1</v>
      </c>
      <c r="AV129" s="88">
        <f t="shared" si="168"/>
        <v>1</v>
      </c>
      <c r="AW129" s="88">
        <f t="shared" si="168"/>
        <v>1</v>
      </c>
      <c r="AX129" s="88">
        <f t="shared" si="168"/>
        <v>1</v>
      </c>
      <c r="AY129" s="88">
        <f t="shared" si="169"/>
        <v>1</v>
      </c>
      <c r="AZ129" s="88">
        <f t="shared" si="169"/>
        <v>1</v>
      </c>
      <c r="BA129" s="88">
        <f t="shared" si="169"/>
        <v>1</v>
      </c>
      <c r="BB129" s="88">
        <f t="shared" si="169"/>
        <v>1</v>
      </c>
      <c r="BC129" s="88">
        <f t="shared" si="169"/>
        <v>1</v>
      </c>
      <c r="BD129" s="88">
        <f t="shared" si="169"/>
        <v>1</v>
      </c>
      <c r="BE129" s="88">
        <f t="shared" si="169"/>
        <v>1</v>
      </c>
      <c r="BF129" s="88">
        <f t="shared" si="169"/>
        <v>1</v>
      </c>
      <c r="BG129" s="88">
        <f t="shared" si="169"/>
        <v>1</v>
      </c>
      <c r="BH129" s="88">
        <f t="shared" si="169"/>
        <v>1</v>
      </c>
      <c r="BI129" s="88">
        <f t="shared" si="169"/>
        <v>1</v>
      </c>
      <c r="BJ129" s="88">
        <f t="shared" si="169"/>
        <v>1</v>
      </c>
      <c r="BK129" s="88">
        <f t="shared" si="169"/>
        <v>1</v>
      </c>
      <c r="BL129" s="88">
        <f t="shared" si="169"/>
        <v>1</v>
      </c>
      <c r="BM129" s="88">
        <f t="shared" si="169"/>
        <v>1</v>
      </c>
      <c r="BN129" s="88">
        <f t="shared" si="169"/>
        <v>1</v>
      </c>
      <c r="BO129" s="88">
        <f t="shared" si="169"/>
        <v>1</v>
      </c>
      <c r="BP129" s="88">
        <f t="shared" si="169"/>
        <v>1</v>
      </c>
      <c r="BQ129" s="88">
        <f t="shared" si="169"/>
        <v>1</v>
      </c>
      <c r="BR129" s="88">
        <f t="shared" si="169"/>
        <v>1</v>
      </c>
    </row>
    <row r="130" spans="1:70">
      <c r="A130" t="s">
        <v>16</v>
      </c>
      <c r="B130" s="223" t="str">
        <f t="shared" si="167"/>
        <v>CNL</v>
      </c>
      <c r="C130" s="223" t="str">
        <f t="shared" si="167"/>
        <v>Commercial - Lighting</v>
      </c>
      <c r="E130" s="125">
        <f t="shared" si="170"/>
        <v>0</v>
      </c>
      <c r="G130" s="299"/>
      <c r="I130" s="132"/>
      <c r="L130" s="304">
        <f t="shared" si="168"/>
        <v>1</v>
      </c>
      <c r="M130" s="305">
        <f t="shared" si="168"/>
        <v>1</v>
      </c>
      <c r="N130" s="305">
        <f t="shared" si="168"/>
        <v>1</v>
      </c>
      <c r="O130" s="305">
        <f t="shared" si="168"/>
        <v>1</v>
      </c>
      <c r="P130" s="88">
        <f t="shared" si="168"/>
        <v>1</v>
      </c>
      <c r="Q130" s="88">
        <f t="shared" si="168"/>
        <v>1</v>
      </c>
      <c r="R130" s="88">
        <f t="shared" si="168"/>
        <v>1</v>
      </c>
      <c r="S130" s="88">
        <f t="shared" si="168"/>
        <v>1</v>
      </c>
      <c r="T130" s="88">
        <f t="shared" si="168"/>
        <v>1</v>
      </c>
      <c r="U130" s="88">
        <f t="shared" si="168"/>
        <v>1</v>
      </c>
      <c r="V130" s="88">
        <f t="shared" si="168"/>
        <v>1</v>
      </c>
      <c r="W130" s="88">
        <f t="shared" si="168"/>
        <v>1</v>
      </c>
      <c r="X130" s="88">
        <f t="shared" si="168"/>
        <v>1</v>
      </c>
      <c r="Y130" s="88">
        <f t="shared" si="168"/>
        <v>1</v>
      </c>
      <c r="Z130" s="88">
        <f t="shared" si="168"/>
        <v>1</v>
      </c>
      <c r="AA130" s="88">
        <f t="shared" si="168"/>
        <v>1</v>
      </c>
      <c r="AB130" s="88">
        <f t="shared" si="168"/>
        <v>1</v>
      </c>
      <c r="AC130" s="88">
        <f t="shared" si="168"/>
        <v>1</v>
      </c>
      <c r="AD130" s="88">
        <f t="shared" si="168"/>
        <v>1</v>
      </c>
      <c r="AE130" s="88">
        <f t="shared" si="168"/>
        <v>1</v>
      </c>
      <c r="AF130" s="88">
        <f t="shared" si="168"/>
        <v>1</v>
      </c>
      <c r="AG130" s="88">
        <f t="shared" si="168"/>
        <v>1</v>
      </c>
      <c r="AH130" s="88">
        <f t="shared" si="168"/>
        <v>1</v>
      </c>
      <c r="AI130" s="88">
        <f t="shared" si="168"/>
        <v>1</v>
      </c>
      <c r="AJ130" s="88">
        <f t="shared" si="168"/>
        <v>1</v>
      </c>
      <c r="AK130" s="88">
        <f t="shared" si="168"/>
        <v>1</v>
      </c>
      <c r="AL130" s="88">
        <f t="shared" si="168"/>
        <v>1</v>
      </c>
      <c r="AM130" s="88">
        <f t="shared" si="168"/>
        <v>1</v>
      </c>
      <c r="AN130" s="88">
        <f t="shared" si="168"/>
        <v>1</v>
      </c>
      <c r="AO130" s="88">
        <f t="shared" si="168"/>
        <v>1</v>
      </c>
      <c r="AP130" s="88">
        <f t="shared" si="168"/>
        <v>1</v>
      </c>
      <c r="AQ130" s="88">
        <f t="shared" si="168"/>
        <v>1</v>
      </c>
      <c r="AR130" s="88">
        <f t="shared" si="168"/>
        <v>1</v>
      </c>
      <c r="AS130" s="88">
        <f t="shared" si="168"/>
        <v>1</v>
      </c>
      <c r="AT130" s="88">
        <f t="shared" si="168"/>
        <v>1</v>
      </c>
      <c r="AU130" s="88">
        <f t="shared" si="168"/>
        <v>1</v>
      </c>
      <c r="AV130" s="88">
        <f t="shared" si="168"/>
        <v>1</v>
      </c>
      <c r="AW130" s="88">
        <f t="shared" si="168"/>
        <v>1</v>
      </c>
      <c r="AX130" s="88">
        <f t="shared" si="168"/>
        <v>1</v>
      </c>
      <c r="AY130" s="88">
        <f t="shared" si="169"/>
        <v>1</v>
      </c>
      <c r="AZ130" s="88">
        <f t="shared" si="169"/>
        <v>1</v>
      </c>
      <c r="BA130" s="88">
        <f t="shared" si="169"/>
        <v>1</v>
      </c>
      <c r="BB130" s="88">
        <f t="shared" si="169"/>
        <v>1</v>
      </c>
      <c r="BC130" s="88">
        <f t="shared" si="169"/>
        <v>1</v>
      </c>
      <c r="BD130" s="88">
        <f t="shared" si="169"/>
        <v>1</v>
      </c>
      <c r="BE130" s="88">
        <f t="shared" si="169"/>
        <v>1</v>
      </c>
      <c r="BF130" s="88">
        <f t="shared" si="169"/>
        <v>1</v>
      </c>
      <c r="BG130" s="88">
        <f t="shared" si="169"/>
        <v>1</v>
      </c>
      <c r="BH130" s="88">
        <f t="shared" si="169"/>
        <v>1</v>
      </c>
      <c r="BI130" s="88">
        <f t="shared" si="169"/>
        <v>1</v>
      </c>
      <c r="BJ130" s="88">
        <f t="shared" si="169"/>
        <v>1</v>
      </c>
      <c r="BK130" s="88">
        <f t="shared" si="169"/>
        <v>1</v>
      </c>
      <c r="BL130" s="88">
        <f t="shared" si="169"/>
        <v>1</v>
      </c>
      <c r="BM130" s="88">
        <f t="shared" si="169"/>
        <v>1</v>
      </c>
      <c r="BN130" s="88">
        <f t="shared" si="169"/>
        <v>1</v>
      </c>
      <c r="BO130" s="88">
        <f t="shared" si="169"/>
        <v>1</v>
      </c>
      <c r="BP130" s="88">
        <f t="shared" si="169"/>
        <v>1</v>
      </c>
      <c r="BQ130" s="88">
        <f t="shared" si="169"/>
        <v>1</v>
      </c>
      <c r="BR130" s="88">
        <f t="shared" si="169"/>
        <v>1</v>
      </c>
    </row>
    <row r="131" spans="1:70">
      <c r="A131" t="s">
        <v>16</v>
      </c>
      <c r="B131" s="223" t="str">
        <f t="shared" si="167"/>
        <v>CNR</v>
      </c>
      <c r="C131" s="223" t="str">
        <f t="shared" si="167"/>
        <v>Commercial - Refrigeration</v>
      </c>
      <c r="E131" s="125">
        <f t="shared" si="170"/>
        <v>0</v>
      </c>
      <c r="G131" s="299"/>
      <c r="I131" s="132"/>
      <c r="L131" s="304">
        <f t="shared" si="168"/>
        <v>1</v>
      </c>
      <c r="M131" s="305">
        <f t="shared" si="168"/>
        <v>1</v>
      </c>
      <c r="N131" s="305">
        <f t="shared" si="168"/>
        <v>1</v>
      </c>
      <c r="O131" s="305">
        <f t="shared" si="168"/>
        <v>1</v>
      </c>
      <c r="P131" s="88">
        <f>P120*(1-$E131)</f>
        <v>1</v>
      </c>
      <c r="Q131" s="88">
        <f t="shared" si="168"/>
        <v>1</v>
      </c>
      <c r="R131" s="88">
        <f t="shared" si="168"/>
        <v>1</v>
      </c>
      <c r="S131" s="88">
        <f t="shared" si="168"/>
        <v>1</v>
      </c>
      <c r="T131" s="88">
        <f t="shared" si="168"/>
        <v>1</v>
      </c>
      <c r="U131" s="88">
        <f t="shared" si="168"/>
        <v>1</v>
      </c>
      <c r="V131" s="88">
        <f t="shared" si="168"/>
        <v>1</v>
      </c>
      <c r="W131" s="88">
        <f t="shared" si="168"/>
        <v>1</v>
      </c>
      <c r="X131" s="88">
        <f t="shared" si="168"/>
        <v>1</v>
      </c>
      <c r="Y131" s="88">
        <f t="shared" si="168"/>
        <v>1</v>
      </c>
      <c r="Z131" s="88">
        <f t="shared" si="168"/>
        <v>1</v>
      </c>
      <c r="AA131" s="88">
        <f t="shared" si="168"/>
        <v>1</v>
      </c>
      <c r="AB131" s="88">
        <f t="shared" si="168"/>
        <v>1</v>
      </c>
      <c r="AC131" s="88">
        <f t="shared" si="168"/>
        <v>1</v>
      </c>
      <c r="AD131" s="88">
        <f t="shared" si="168"/>
        <v>1</v>
      </c>
      <c r="AE131" s="88">
        <f t="shared" si="168"/>
        <v>1</v>
      </c>
      <c r="AF131" s="88">
        <f t="shared" si="168"/>
        <v>1</v>
      </c>
      <c r="AG131" s="88">
        <f t="shared" si="168"/>
        <v>1</v>
      </c>
      <c r="AH131" s="88">
        <f t="shared" si="168"/>
        <v>1</v>
      </c>
      <c r="AI131" s="88">
        <f t="shared" si="168"/>
        <v>1</v>
      </c>
      <c r="AJ131" s="88">
        <f t="shared" si="168"/>
        <v>1</v>
      </c>
      <c r="AK131" s="88">
        <f t="shared" si="168"/>
        <v>1</v>
      </c>
      <c r="AL131" s="88">
        <f t="shared" si="168"/>
        <v>1</v>
      </c>
      <c r="AM131" s="88">
        <f t="shared" si="168"/>
        <v>1</v>
      </c>
      <c r="AN131" s="88">
        <f t="shared" si="168"/>
        <v>1</v>
      </c>
      <c r="AO131" s="88">
        <f t="shared" si="168"/>
        <v>1</v>
      </c>
      <c r="AP131" s="88">
        <f t="shared" si="168"/>
        <v>1</v>
      </c>
      <c r="AQ131" s="88">
        <f t="shared" si="168"/>
        <v>1</v>
      </c>
      <c r="AR131" s="88">
        <f t="shared" si="168"/>
        <v>1</v>
      </c>
      <c r="AS131" s="88">
        <f t="shared" si="168"/>
        <v>1</v>
      </c>
      <c r="AT131" s="88">
        <f t="shared" si="168"/>
        <v>1</v>
      </c>
      <c r="AU131" s="88">
        <f t="shared" si="168"/>
        <v>1</v>
      </c>
      <c r="AV131" s="88">
        <f t="shared" si="168"/>
        <v>1</v>
      </c>
      <c r="AW131" s="88">
        <f t="shared" si="168"/>
        <v>1</v>
      </c>
      <c r="AX131" s="88">
        <f t="shared" si="168"/>
        <v>1</v>
      </c>
      <c r="AY131" s="88">
        <f t="shared" si="169"/>
        <v>1</v>
      </c>
      <c r="AZ131" s="88">
        <f t="shared" si="169"/>
        <v>1</v>
      </c>
      <c r="BA131" s="88">
        <f t="shared" si="169"/>
        <v>1</v>
      </c>
      <c r="BB131" s="88">
        <f t="shared" si="169"/>
        <v>1</v>
      </c>
      <c r="BC131" s="88">
        <f t="shared" si="169"/>
        <v>1</v>
      </c>
      <c r="BD131" s="88">
        <f t="shared" si="169"/>
        <v>1</v>
      </c>
      <c r="BE131" s="88">
        <f t="shared" si="169"/>
        <v>1</v>
      </c>
      <c r="BF131" s="88">
        <f t="shared" si="169"/>
        <v>1</v>
      </c>
      <c r="BG131" s="88">
        <f t="shared" si="169"/>
        <v>1</v>
      </c>
      <c r="BH131" s="88">
        <f t="shared" si="169"/>
        <v>1</v>
      </c>
      <c r="BI131" s="88">
        <f t="shared" si="169"/>
        <v>1</v>
      </c>
      <c r="BJ131" s="88">
        <f t="shared" si="169"/>
        <v>1</v>
      </c>
      <c r="BK131" s="88">
        <f t="shared" si="169"/>
        <v>1</v>
      </c>
      <c r="BL131" s="88">
        <f t="shared" si="169"/>
        <v>1</v>
      </c>
      <c r="BM131" s="88">
        <f t="shared" si="169"/>
        <v>1</v>
      </c>
      <c r="BN131" s="88">
        <f t="shared" si="169"/>
        <v>1</v>
      </c>
      <c r="BO131" s="88">
        <f t="shared" si="169"/>
        <v>1</v>
      </c>
      <c r="BP131" s="88">
        <f t="shared" si="169"/>
        <v>1</v>
      </c>
      <c r="BQ131" s="88">
        <f t="shared" si="169"/>
        <v>1</v>
      </c>
      <c r="BR131" s="88">
        <f t="shared" si="169"/>
        <v>1</v>
      </c>
    </row>
    <row r="132" spans="1:70">
      <c r="A132" t="s">
        <v>16</v>
      </c>
      <c r="B132" s="223" t="str">
        <f t="shared" si="167"/>
        <v>CNW</v>
      </c>
      <c r="C132" s="223" t="str">
        <f t="shared" si="167"/>
        <v>Commercial - Water Heating</v>
      </c>
      <c r="E132" s="125">
        <f t="shared" si="170"/>
        <v>0</v>
      </c>
      <c r="G132" s="299"/>
      <c r="I132" s="132"/>
      <c r="L132" s="304">
        <f t="shared" si="168"/>
        <v>1</v>
      </c>
      <c r="M132" s="305">
        <f t="shared" si="168"/>
        <v>1</v>
      </c>
      <c r="N132" s="305">
        <f t="shared" si="168"/>
        <v>1</v>
      </c>
      <c r="O132" s="305">
        <f t="shared" si="168"/>
        <v>1</v>
      </c>
      <c r="P132" s="88">
        <f t="shared" si="168"/>
        <v>1</v>
      </c>
      <c r="Q132" s="88">
        <f t="shared" si="168"/>
        <v>1</v>
      </c>
      <c r="R132" s="88">
        <f t="shared" si="168"/>
        <v>1</v>
      </c>
      <c r="S132" s="88">
        <f t="shared" si="168"/>
        <v>1</v>
      </c>
      <c r="T132" s="88">
        <f t="shared" si="168"/>
        <v>1</v>
      </c>
      <c r="U132" s="88">
        <f t="shared" si="168"/>
        <v>1</v>
      </c>
      <c r="V132" s="88">
        <f t="shared" si="168"/>
        <v>1</v>
      </c>
      <c r="W132" s="88">
        <f t="shared" si="168"/>
        <v>1</v>
      </c>
      <c r="X132" s="88">
        <f t="shared" si="168"/>
        <v>1</v>
      </c>
      <c r="Y132" s="88">
        <f t="shared" si="168"/>
        <v>1</v>
      </c>
      <c r="Z132" s="88">
        <f t="shared" si="168"/>
        <v>1</v>
      </c>
      <c r="AA132" s="88">
        <f t="shared" si="168"/>
        <v>1</v>
      </c>
      <c r="AB132" s="88">
        <f t="shared" si="168"/>
        <v>1</v>
      </c>
      <c r="AC132" s="88">
        <f t="shared" si="168"/>
        <v>1</v>
      </c>
      <c r="AD132" s="88">
        <f t="shared" si="168"/>
        <v>1</v>
      </c>
      <c r="AE132" s="88">
        <f t="shared" si="168"/>
        <v>1</v>
      </c>
      <c r="AF132" s="88">
        <f t="shared" si="168"/>
        <v>1</v>
      </c>
      <c r="AG132" s="88">
        <f t="shared" si="168"/>
        <v>1</v>
      </c>
      <c r="AH132" s="88">
        <f t="shared" si="168"/>
        <v>1</v>
      </c>
      <c r="AI132" s="88">
        <f t="shared" si="168"/>
        <v>1</v>
      </c>
      <c r="AJ132" s="88">
        <f t="shared" si="168"/>
        <v>1</v>
      </c>
      <c r="AK132" s="88">
        <f t="shared" si="168"/>
        <v>1</v>
      </c>
      <c r="AL132" s="88">
        <f t="shared" si="168"/>
        <v>1</v>
      </c>
      <c r="AM132" s="88">
        <f t="shared" si="168"/>
        <v>1</v>
      </c>
      <c r="AN132" s="88">
        <f t="shared" si="168"/>
        <v>1</v>
      </c>
      <c r="AO132" s="88">
        <f t="shared" si="168"/>
        <v>1</v>
      </c>
      <c r="AP132" s="88">
        <f t="shared" si="168"/>
        <v>1</v>
      </c>
      <c r="AQ132" s="88">
        <f t="shared" si="168"/>
        <v>1</v>
      </c>
      <c r="AR132" s="88">
        <f t="shared" si="168"/>
        <v>1</v>
      </c>
      <c r="AS132" s="88">
        <f t="shared" si="168"/>
        <v>1</v>
      </c>
      <c r="AT132" s="88">
        <f t="shared" si="168"/>
        <v>1</v>
      </c>
      <c r="AU132" s="88">
        <f t="shared" si="168"/>
        <v>1</v>
      </c>
      <c r="AV132" s="88">
        <f t="shared" si="168"/>
        <v>1</v>
      </c>
      <c r="AW132" s="88">
        <f t="shared" si="168"/>
        <v>1</v>
      </c>
      <c r="AX132" s="88">
        <f t="shared" si="168"/>
        <v>1</v>
      </c>
      <c r="AY132" s="88">
        <f t="shared" si="169"/>
        <v>1</v>
      </c>
      <c r="AZ132" s="88">
        <f t="shared" si="169"/>
        <v>1</v>
      </c>
      <c r="BA132" s="88">
        <f t="shared" si="169"/>
        <v>1</v>
      </c>
      <c r="BB132" s="88">
        <f t="shared" si="169"/>
        <v>1</v>
      </c>
      <c r="BC132" s="88">
        <f t="shared" si="169"/>
        <v>1</v>
      </c>
      <c r="BD132" s="88">
        <f t="shared" si="169"/>
        <v>1</v>
      </c>
      <c r="BE132" s="88">
        <f t="shared" si="169"/>
        <v>1</v>
      </c>
      <c r="BF132" s="88">
        <f t="shared" si="169"/>
        <v>1</v>
      </c>
      <c r="BG132" s="88">
        <f t="shared" si="169"/>
        <v>1</v>
      </c>
      <c r="BH132" s="88">
        <f t="shared" si="169"/>
        <v>1</v>
      </c>
      <c r="BI132" s="88">
        <f t="shared" si="169"/>
        <v>1</v>
      </c>
      <c r="BJ132" s="88">
        <f t="shared" si="169"/>
        <v>1</v>
      </c>
      <c r="BK132" s="88">
        <f t="shared" si="169"/>
        <v>1</v>
      </c>
      <c r="BL132" s="88">
        <f t="shared" si="169"/>
        <v>1</v>
      </c>
      <c r="BM132" s="88">
        <f t="shared" si="169"/>
        <v>1</v>
      </c>
      <c r="BN132" s="88">
        <f t="shared" si="169"/>
        <v>1</v>
      </c>
      <c r="BO132" s="88">
        <f t="shared" si="169"/>
        <v>1</v>
      </c>
      <c r="BP132" s="88">
        <f t="shared" si="169"/>
        <v>1</v>
      </c>
      <c r="BQ132" s="88">
        <f t="shared" si="169"/>
        <v>1</v>
      </c>
      <c r="BR132" s="88">
        <f t="shared" si="169"/>
        <v>1</v>
      </c>
    </row>
    <row r="133" spans="1:70">
      <c r="A133" t="s">
        <v>16</v>
      </c>
      <c r="B133" s="223" t="str">
        <f t="shared" si="167"/>
        <v>CNG</v>
      </c>
      <c r="C133" s="223" t="str">
        <f t="shared" si="167"/>
        <v>Commercial - Public lights</v>
      </c>
      <c r="E133" s="125">
        <f t="shared" si="170"/>
        <v>0</v>
      </c>
      <c r="G133" s="299"/>
      <c r="I133" s="132"/>
      <c r="L133" s="304">
        <f t="shared" si="168"/>
        <v>1</v>
      </c>
      <c r="M133" s="305">
        <f t="shared" si="168"/>
        <v>1</v>
      </c>
      <c r="N133" s="305">
        <f t="shared" si="168"/>
        <v>1</v>
      </c>
      <c r="O133" s="305">
        <f t="shared" si="168"/>
        <v>1</v>
      </c>
      <c r="P133" s="88">
        <f t="shared" si="168"/>
        <v>1</v>
      </c>
      <c r="Q133" s="88">
        <f t="shared" si="168"/>
        <v>1</v>
      </c>
      <c r="R133" s="88">
        <f t="shared" si="168"/>
        <v>1</v>
      </c>
      <c r="S133" s="88">
        <f t="shared" si="168"/>
        <v>1</v>
      </c>
      <c r="T133" s="88">
        <f t="shared" si="168"/>
        <v>1</v>
      </c>
      <c r="U133" s="88">
        <f t="shared" si="168"/>
        <v>1</v>
      </c>
      <c r="V133" s="88">
        <f t="shared" si="168"/>
        <v>1</v>
      </c>
      <c r="W133" s="88">
        <f t="shared" si="168"/>
        <v>1</v>
      </c>
      <c r="X133" s="88">
        <f t="shared" si="168"/>
        <v>1</v>
      </c>
      <c r="Y133" s="88">
        <f t="shared" si="168"/>
        <v>1</v>
      </c>
      <c r="Z133" s="88">
        <f t="shared" si="168"/>
        <v>1</v>
      </c>
      <c r="AA133" s="88">
        <f t="shared" si="168"/>
        <v>1</v>
      </c>
      <c r="AB133" s="88">
        <f t="shared" si="168"/>
        <v>1</v>
      </c>
      <c r="AC133" s="88">
        <f t="shared" si="168"/>
        <v>1</v>
      </c>
      <c r="AD133" s="88">
        <f t="shared" si="168"/>
        <v>1</v>
      </c>
      <c r="AE133" s="88">
        <f t="shared" si="168"/>
        <v>1</v>
      </c>
      <c r="AF133" s="88">
        <f t="shared" si="168"/>
        <v>1</v>
      </c>
      <c r="AG133" s="88">
        <f t="shared" si="168"/>
        <v>1</v>
      </c>
      <c r="AH133" s="88">
        <f t="shared" ref="AH133:AX135" si="171">AH122*(1-$E133)</f>
        <v>1</v>
      </c>
      <c r="AI133" s="88">
        <f t="shared" si="171"/>
        <v>1</v>
      </c>
      <c r="AJ133" s="88">
        <f t="shared" si="171"/>
        <v>1</v>
      </c>
      <c r="AK133" s="88">
        <f t="shared" si="171"/>
        <v>1</v>
      </c>
      <c r="AL133" s="88">
        <f t="shared" si="171"/>
        <v>1</v>
      </c>
      <c r="AM133" s="88">
        <f t="shared" si="171"/>
        <v>1</v>
      </c>
      <c r="AN133" s="88">
        <f t="shared" si="171"/>
        <v>1</v>
      </c>
      <c r="AO133" s="88">
        <f t="shared" si="171"/>
        <v>1</v>
      </c>
      <c r="AP133" s="88">
        <f t="shared" si="171"/>
        <v>1</v>
      </c>
      <c r="AQ133" s="88">
        <f t="shared" si="171"/>
        <v>1</v>
      </c>
      <c r="AR133" s="88">
        <f t="shared" si="171"/>
        <v>1</v>
      </c>
      <c r="AS133" s="88">
        <f t="shared" si="171"/>
        <v>1</v>
      </c>
      <c r="AT133" s="88">
        <f t="shared" si="171"/>
        <v>1</v>
      </c>
      <c r="AU133" s="88">
        <f t="shared" si="171"/>
        <v>1</v>
      </c>
      <c r="AV133" s="88">
        <f t="shared" si="171"/>
        <v>1</v>
      </c>
      <c r="AW133" s="88">
        <f t="shared" si="171"/>
        <v>1</v>
      </c>
      <c r="AX133" s="88">
        <f t="shared" si="171"/>
        <v>1</v>
      </c>
      <c r="AY133" s="88">
        <f t="shared" ref="AY133:BR133" si="172">AY122*(1-$E133)</f>
        <v>1</v>
      </c>
      <c r="AZ133" s="88">
        <f t="shared" si="172"/>
        <v>1</v>
      </c>
      <c r="BA133" s="88">
        <f t="shared" si="172"/>
        <v>1</v>
      </c>
      <c r="BB133" s="88">
        <f t="shared" si="172"/>
        <v>1</v>
      </c>
      <c r="BC133" s="88">
        <f t="shared" si="172"/>
        <v>1</v>
      </c>
      <c r="BD133" s="88">
        <f t="shared" si="172"/>
        <v>1</v>
      </c>
      <c r="BE133" s="88">
        <f t="shared" si="172"/>
        <v>1</v>
      </c>
      <c r="BF133" s="88">
        <f t="shared" si="172"/>
        <v>1</v>
      </c>
      <c r="BG133" s="88">
        <f t="shared" si="172"/>
        <v>1</v>
      </c>
      <c r="BH133" s="88">
        <f t="shared" si="172"/>
        <v>1</v>
      </c>
      <c r="BI133" s="88">
        <f t="shared" si="172"/>
        <v>1</v>
      </c>
      <c r="BJ133" s="88">
        <f t="shared" si="172"/>
        <v>1</v>
      </c>
      <c r="BK133" s="88">
        <f>BK122*(1-$E133)</f>
        <v>1</v>
      </c>
      <c r="BL133" s="88">
        <f t="shared" si="172"/>
        <v>1</v>
      </c>
      <c r="BM133" s="88">
        <f t="shared" si="172"/>
        <v>1</v>
      </c>
      <c r="BN133" s="88">
        <f t="shared" si="172"/>
        <v>1</v>
      </c>
      <c r="BO133" s="88">
        <f t="shared" si="172"/>
        <v>1</v>
      </c>
      <c r="BP133" s="88">
        <f t="shared" si="172"/>
        <v>1</v>
      </c>
      <c r="BQ133" s="88">
        <f t="shared" si="172"/>
        <v>1</v>
      </c>
      <c r="BR133" s="88">
        <f t="shared" si="172"/>
        <v>1</v>
      </c>
    </row>
    <row r="134" spans="1:70">
      <c r="A134" t="s">
        <v>16</v>
      </c>
      <c r="B134" s="223" t="str">
        <f t="shared" si="167"/>
        <v>CNT</v>
      </c>
      <c r="C134" s="223" t="str">
        <f t="shared" si="167"/>
        <v>Commercial - Public Water</v>
      </c>
      <c r="E134" s="125">
        <f t="shared" si="170"/>
        <v>0</v>
      </c>
      <c r="F134" s="70" t="s">
        <v>776</v>
      </c>
      <c r="H134" s="197">
        <f>IF(N57=1,54%,0)</f>
        <v>0</v>
      </c>
      <c r="I134" s="132"/>
      <c r="L134" s="304">
        <f t="shared" ref="L134:AX135" si="173">L123*(1-$E134)</f>
        <v>1</v>
      </c>
      <c r="M134" s="305">
        <f t="shared" si="173"/>
        <v>1</v>
      </c>
      <c r="N134" s="305">
        <f t="shared" si="173"/>
        <v>1</v>
      </c>
      <c r="O134" s="305">
        <f t="shared" si="173"/>
        <v>1</v>
      </c>
      <c r="P134" s="88">
        <f t="shared" si="173"/>
        <v>1</v>
      </c>
      <c r="Q134" s="88">
        <f t="shared" si="173"/>
        <v>1</v>
      </c>
      <c r="R134" s="88">
        <f t="shared" si="173"/>
        <v>1</v>
      </c>
      <c r="S134" s="88">
        <f t="shared" si="173"/>
        <v>1</v>
      </c>
      <c r="T134" s="88">
        <f t="shared" si="173"/>
        <v>1</v>
      </c>
      <c r="U134" s="88">
        <f t="shared" si="173"/>
        <v>1</v>
      </c>
      <c r="V134" s="88">
        <f t="shared" si="173"/>
        <v>1</v>
      </c>
      <c r="W134" s="88">
        <f t="shared" si="173"/>
        <v>1</v>
      </c>
      <c r="X134" s="88">
        <f t="shared" si="173"/>
        <v>1</v>
      </c>
      <c r="Y134" s="88">
        <f t="shared" si="173"/>
        <v>1</v>
      </c>
      <c r="Z134" s="88">
        <f t="shared" si="173"/>
        <v>1</v>
      </c>
      <c r="AA134" s="88">
        <f t="shared" si="173"/>
        <v>1</v>
      </c>
      <c r="AB134" s="88">
        <f t="shared" si="173"/>
        <v>1</v>
      </c>
      <c r="AC134" s="88">
        <f t="shared" si="173"/>
        <v>1</v>
      </c>
      <c r="AD134" s="88">
        <f t="shared" si="173"/>
        <v>1</v>
      </c>
      <c r="AE134" s="88">
        <f t="shared" si="173"/>
        <v>1</v>
      </c>
      <c r="AF134" s="88">
        <f t="shared" si="173"/>
        <v>1</v>
      </c>
      <c r="AG134" s="88">
        <f t="shared" si="173"/>
        <v>1</v>
      </c>
      <c r="AH134" s="88">
        <f t="shared" si="173"/>
        <v>1</v>
      </c>
      <c r="AI134" s="88">
        <f t="shared" si="173"/>
        <v>1</v>
      </c>
      <c r="AJ134" s="88">
        <f t="shared" si="173"/>
        <v>1</v>
      </c>
      <c r="AK134" s="88">
        <f t="shared" si="171"/>
        <v>1</v>
      </c>
      <c r="AL134" s="88">
        <f t="shared" si="171"/>
        <v>1</v>
      </c>
      <c r="AM134" s="88">
        <f t="shared" si="171"/>
        <v>1</v>
      </c>
      <c r="AN134" s="88">
        <f t="shared" si="171"/>
        <v>1</v>
      </c>
      <c r="AO134" s="88">
        <f t="shared" si="171"/>
        <v>1</v>
      </c>
      <c r="AP134" s="88">
        <f t="shared" si="171"/>
        <v>1</v>
      </c>
      <c r="AQ134" s="88">
        <f t="shared" si="171"/>
        <v>1</v>
      </c>
      <c r="AR134" s="88">
        <f t="shared" si="171"/>
        <v>1</v>
      </c>
      <c r="AS134" s="88">
        <f t="shared" si="171"/>
        <v>1</v>
      </c>
      <c r="AT134" s="88">
        <f t="shared" si="171"/>
        <v>1</v>
      </c>
      <c r="AU134" s="88">
        <f t="shared" si="173"/>
        <v>1</v>
      </c>
      <c r="AV134" s="88">
        <f t="shared" si="173"/>
        <v>1</v>
      </c>
      <c r="AW134" s="88">
        <f t="shared" si="173"/>
        <v>1</v>
      </c>
      <c r="AX134" s="88">
        <f t="shared" si="173"/>
        <v>1</v>
      </c>
      <c r="AY134" s="88">
        <f t="shared" ref="AY134:BR134" si="174">AY123*(1-$E134)</f>
        <v>1</v>
      </c>
      <c r="AZ134" s="88">
        <f t="shared" si="174"/>
        <v>1</v>
      </c>
      <c r="BA134" s="88">
        <f t="shared" si="174"/>
        <v>1</v>
      </c>
      <c r="BB134" s="88">
        <f t="shared" si="174"/>
        <v>1</v>
      </c>
      <c r="BC134" s="88">
        <f t="shared" si="174"/>
        <v>1</v>
      </c>
      <c r="BD134" s="88">
        <f t="shared" si="174"/>
        <v>1</v>
      </c>
      <c r="BE134" s="88">
        <f t="shared" si="174"/>
        <v>1</v>
      </c>
      <c r="BF134" s="88">
        <f t="shared" si="174"/>
        <v>1</v>
      </c>
      <c r="BG134" s="88">
        <f t="shared" si="174"/>
        <v>1</v>
      </c>
      <c r="BH134" s="88">
        <f t="shared" si="174"/>
        <v>1</v>
      </c>
      <c r="BI134" s="88">
        <f t="shared" si="174"/>
        <v>1</v>
      </c>
      <c r="BJ134" s="88">
        <f t="shared" si="174"/>
        <v>1</v>
      </c>
      <c r="BK134" s="88">
        <f t="shared" si="174"/>
        <v>1</v>
      </c>
      <c r="BL134" s="88">
        <f t="shared" si="174"/>
        <v>1</v>
      </c>
      <c r="BM134" s="88">
        <f t="shared" si="174"/>
        <v>1</v>
      </c>
      <c r="BN134" s="88">
        <f t="shared" si="174"/>
        <v>1</v>
      </c>
      <c r="BO134" s="88">
        <f t="shared" si="174"/>
        <v>1</v>
      </c>
      <c r="BP134" s="88">
        <f t="shared" si="174"/>
        <v>1</v>
      </c>
      <c r="BQ134" s="88">
        <f t="shared" si="174"/>
        <v>1</v>
      </c>
      <c r="BR134" s="88">
        <f t="shared" si="174"/>
        <v>1</v>
      </c>
    </row>
    <row r="135" spans="1:70">
      <c r="A135" t="s">
        <v>16</v>
      </c>
      <c r="B135" s="223" t="str">
        <f t="shared" si="167"/>
        <v>CNO</v>
      </c>
      <c r="C135" s="223" t="str">
        <f t="shared" si="167"/>
        <v>Commercial - Other</v>
      </c>
      <c r="E135" s="125">
        <f t="shared" si="170"/>
        <v>0</v>
      </c>
      <c r="F135" s="70" t="s">
        <v>778</v>
      </c>
      <c r="G135" s="301"/>
      <c r="H135" s="124">
        <f>H134-H124</f>
        <v>0</v>
      </c>
      <c r="I135" s="132"/>
      <c r="L135" s="304">
        <f t="shared" si="173"/>
        <v>1</v>
      </c>
      <c r="M135" s="305">
        <f t="shared" si="173"/>
        <v>1</v>
      </c>
      <c r="N135" s="305">
        <f t="shared" si="173"/>
        <v>1</v>
      </c>
      <c r="O135" s="305">
        <f t="shared" si="173"/>
        <v>1</v>
      </c>
      <c r="P135" s="88">
        <f t="shared" si="173"/>
        <v>1</v>
      </c>
      <c r="Q135" s="88">
        <f t="shared" si="173"/>
        <v>1</v>
      </c>
      <c r="R135" s="88">
        <f t="shared" si="173"/>
        <v>1</v>
      </c>
      <c r="S135" s="88">
        <f t="shared" si="173"/>
        <v>1</v>
      </c>
      <c r="T135" s="88">
        <f t="shared" si="173"/>
        <v>1</v>
      </c>
      <c r="U135" s="88">
        <f t="shared" si="173"/>
        <v>1</v>
      </c>
      <c r="V135" s="88">
        <f t="shared" si="173"/>
        <v>1</v>
      </c>
      <c r="W135" s="88">
        <f t="shared" si="173"/>
        <v>1</v>
      </c>
      <c r="X135" s="88">
        <f t="shared" si="173"/>
        <v>1</v>
      </c>
      <c r="Y135" s="88">
        <f t="shared" si="173"/>
        <v>1</v>
      </c>
      <c r="Z135" s="88">
        <f t="shared" si="173"/>
        <v>1</v>
      </c>
      <c r="AA135" s="88">
        <f t="shared" si="173"/>
        <v>1</v>
      </c>
      <c r="AB135" s="88">
        <f t="shared" si="173"/>
        <v>1</v>
      </c>
      <c r="AC135" s="88">
        <f t="shared" si="173"/>
        <v>1</v>
      </c>
      <c r="AD135" s="88">
        <f t="shared" si="173"/>
        <v>1</v>
      </c>
      <c r="AE135" s="88">
        <f t="shared" si="173"/>
        <v>1</v>
      </c>
      <c r="AF135" s="88">
        <f t="shared" si="173"/>
        <v>1</v>
      </c>
      <c r="AG135" s="88">
        <f t="shared" si="173"/>
        <v>1</v>
      </c>
      <c r="AH135" s="88">
        <f t="shared" si="173"/>
        <v>1</v>
      </c>
      <c r="AI135" s="88">
        <f t="shared" si="173"/>
        <v>1</v>
      </c>
      <c r="AJ135" s="88">
        <f t="shared" si="173"/>
        <v>1</v>
      </c>
      <c r="AK135" s="88">
        <f t="shared" si="171"/>
        <v>1</v>
      </c>
      <c r="AL135" s="88">
        <f t="shared" si="171"/>
        <v>1</v>
      </c>
      <c r="AM135" s="88">
        <f t="shared" si="171"/>
        <v>1</v>
      </c>
      <c r="AN135" s="88">
        <f t="shared" si="171"/>
        <v>1</v>
      </c>
      <c r="AO135" s="88">
        <f t="shared" si="171"/>
        <v>1</v>
      </c>
      <c r="AP135" s="88">
        <f t="shared" si="171"/>
        <v>1</v>
      </c>
      <c r="AQ135" s="88">
        <f t="shared" si="171"/>
        <v>1</v>
      </c>
      <c r="AR135" s="88">
        <f t="shared" si="171"/>
        <v>1</v>
      </c>
      <c r="AS135" s="88">
        <f t="shared" si="171"/>
        <v>1</v>
      </c>
      <c r="AT135" s="88">
        <f t="shared" si="171"/>
        <v>1</v>
      </c>
      <c r="AU135" s="88">
        <f t="shared" si="173"/>
        <v>1</v>
      </c>
      <c r="AV135" s="88">
        <f t="shared" si="173"/>
        <v>1</v>
      </c>
      <c r="AW135" s="88">
        <f t="shared" si="173"/>
        <v>1</v>
      </c>
      <c r="AX135" s="88">
        <f t="shared" si="173"/>
        <v>1</v>
      </c>
      <c r="AY135" s="88">
        <f t="shared" ref="AY135:BR135" si="175">AY124*(1-$E135)</f>
        <v>1</v>
      </c>
      <c r="AZ135" s="88">
        <f t="shared" si="175"/>
        <v>1</v>
      </c>
      <c r="BA135" s="88">
        <f t="shared" si="175"/>
        <v>1</v>
      </c>
      <c r="BB135" s="88">
        <f t="shared" si="175"/>
        <v>1</v>
      </c>
      <c r="BC135" s="88">
        <f t="shared" si="175"/>
        <v>1</v>
      </c>
      <c r="BD135" s="88">
        <f t="shared" si="175"/>
        <v>1</v>
      </c>
      <c r="BE135" s="88">
        <f t="shared" si="175"/>
        <v>1</v>
      </c>
      <c r="BF135" s="88">
        <f t="shared" si="175"/>
        <v>1</v>
      </c>
      <c r="BG135" s="88">
        <f t="shared" si="175"/>
        <v>1</v>
      </c>
      <c r="BH135" s="88">
        <f t="shared" si="175"/>
        <v>1</v>
      </c>
      <c r="BI135" s="88">
        <f t="shared" si="175"/>
        <v>1</v>
      </c>
      <c r="BJ135" s="88">
        <f t="shared" si="175"/>
        <v>1</v>
      </c>
      <c r="BK135" s="88">
        <f t="shared" si="175"/>
        <v>1</v>
      </c>
      <c r="BL135" s="88">
        <f t="shared" si="175"/>
        <v>1</v>
      </c>
      <c r="BM135" s="88">
        <f t="shared" si="175"/>
        <v>1</v>
      </c>
      <c r="BN135" s="88">
        <f t="shared" si="175"/>
        <v>1</v>
      </c>
      <c r="BO135" s="88">
        <f t="shared" si="175"/>
        <v>1</v>
      </c>
      <c r="BP135" s="88">
        <f t="shared" si="175"/>
        <v>1</v>
      </c>
      <c r="BQ135" s="88">
        <f t="shared" si="175"/>
        <v>1</v>
      </c>
      <c r="BR135" s="88">
        <f t="shared" si="175"/>
        <v>1</v>
      </c>
    </row>
    <row r="136" spans="1:70">
      <c r="A136" t="s">
        <v>16</v>
      </c>
      <c r="B136" s="223"/>
      <c r="C136" s="223"/>
      <c r="E136" s="302">
        <f>((1/(1-H134))-1)</f>
        <v>0</v>
      </c>
      <c r="F136" s="70" t="s">
        <v>779</v>
      </c>
      <c r="G136" s="301"/>
      <c r="I136" s="132"/>
      <c r="L136" s="89"/>
      <c r="M136" s="89"/>
      <c r="N136" s="89"/>
      <c r="O136" s="89"/>
    </row>
    <row r="137" spans="1:70" ht="15.75" thickBot="1">
      <c r="A137" t="s">
        <v>16</v>
      </c>
      <c r="B137" s="223"/>
      <c r="C137" s="67" t="s">
        <v>246</v>
      </c>
      <c r="E137" s="70" t="s">
        <v>771</v>
      </c>
      <c r="I137" s="132"/>
      <c r="L137" s="89"/>
      <c r="M137" s="89"/>
      <c r="N137" s="89"/>
      <c r="O137" s="89"/>
    </row>
    <row r="138" spans="1:70">
      <c r="A138" t="s">
        <v>16</v>
      </c>
      <c r="B138" s="223" t="str">
        <f t="shared" ref="B138:C146" si="176">B127</f>
        <v>CNC</v>
      </c>
      <c r="C138" s="223" t="str">
        <f t="shared" si="176"/>
        <v>Commercial - Cooling</v>
      </c>
      <c r="E138" s="125">
        <f>E$147/9</f>
        <v>0</v>
      </c>
      <c r="G138" s="299"/>
      <c r="I138" s="132"/>
      <c r="L138" s="304">
        <f t="shared" ref="L138:AX144" si="177">L127*(1-$E138)</f>
        <v>1</v>
      </c>
      <c r="M138" s="305">
        <f t="shared" si="177"/>
        <v>1</v>
      </c>
      <c r="N138" s="305">
        <f t="shared" si="177"/>
        <v>1</v>
      </c>
      <c r="O138" s="305">
        <f t="shared" si="177"/>
        <v>1</v>
      </c>
      <c r="P138" s="88">
        <f t="shared" si="177"/>
        <v>1</v>
      </c>
      <c r="Q138" s="88">
        <f t="shared" si="177"/>
        <v>1</v>
      </c>
      <c r="R138" s="88">
        <f t="shared" si="177"/>
        <v>1</v>
      </c>
      <c r="S138" s="88">
        <f t="shared" si="177"/>
        <v>1</v>
      </c>
      <c r="T138" s="88">
        <f t="shared" si="177"/>
        <v>1</v>
      </c>
      <c r="U138" s="88">
        <f t="shared" si="177"/>
        <v>1</v>
      </c>
      <c r="V138" s="88">
        <f t="shared" si="177"/>
        <v>1</v>
      </c>
      <c r="W138" s="88">
        <f t="shared" si="177"/>
        <v>1</v>
      </c>
      <c r="X138" s="88">
        <f t="shared" si="177"/>
        <v>1</v>
      </c>
      <c r="Y138" s="88">
        <f t="shared" si="177"/>
        <v>1</v>
      </c>
      <c r="Z138" s="88">
        <f t="shared" si="177"/>
        <v>1</v>
      </c>
      <c r="AA138" s="88">
        <f t="shared" si="177"/>
        <v>1</v>
      </c>
      <c r="AB138" s="88">
        <f t="shared" si="177"/>
        <v>1</v>
      </c>
      <c r="AC138" s="88">
        <f t="shared" si="177"/>
        <v>1</v>
      </c>
      <c r="AD138" s="88">
        <f t="shared" si="177"/>
        <v>1</v>
      </c>
      <c r="AE138" s="88">
        <f t="shared" si="177"/>
        <v>1</v>
      </c>
      <c r="AF138" s="88">
        <f t="shared" si="177"/>
        <v>1</v>
      </c>
      <c r="AG138" s="88">
        <f t="shared" si="177"/>
        <v>1</v>
      </c>
      <c r="AH138" s="88">
        <f t="shared" si="177"/>
        <v>1</v>
      </c>
      <c r="AI138" s="88">
        <f t="shared" si="177"/>
        <v>1</v>
      </c>
      <c r="AJ138" s="88">
        <f t="shared" si="177"/>
        <v>1</v>
      </c>
      <c r="AK138" s="88">
        <f t="shared" si="177"/>
        <v>1</v>
      </c>
      <c r="AL138" s="88">
        <f t="shared" si="177"/>
        <v>1</v>
      </c>
      <c r="AM138" s="88">
        <f t="shared" si="177"/>
        <v>1</v>
      </c>
      <c r="AN138" s="88">
        <f t="shared" si="177"/>
        <v>1</v>
      </c>
      <c r="AO138" s="88">
        <f t="shared" si="177"/>
        <v>1</v>
      </c>
      <c r="AP138" s="88">
        <f t="shared" si="177"/>
        <v>1</v>
      </c>
      <c r="AQ138" s="88">
        <f t="shared" si="177"/>
        <v>1</v>
      </c>
      <c r="AR138" s="88">
        <f t="shared" si="177"/>
        <v>1</v>
      </c>
      <c r="AS138" s="88">
        <f t="shared" si="177"/>
        <v>1</v>
      </c>
      <c r="AT138" s="88">
        <f t="shared" si="177"/>
        <v>1</v>
      </c>
      <c r="AU138" s="88">
        <f t="shared" si="177"/>
        <v>1</v>
      </c>
      <c r="AV138" s="88">
        <f t="shared" si="177"/>
        <v>1</v>
      </c>
      <c r="AW138" s="88">
        <f t="shared" si="177"/>
        <v>1</v>
      </c>
      <c r="AX138" s="88">
        <f t="shared" si="177"/>
        <v>1</v>
      </c>
      <c r="AY138" s="88">
        <f t="shared" ref="AY138:BR143" si="178">AY127*(1-$E138)</f>
        <v>1</v>
      </c>
      <c r="AZ138" s="88">
        <f t="shared" si="178"/>
        <v>1</v>
      </c>
      <c r="BA138" s="88">
        <f t="shared" si="178"/>
        <v>1</v>
      </c>
      <c r="BB138" s="88">
        <f t="shared" si="178"/>
        <v>1</v>
      </c>
      <c r="BC138" s="88">
        <f t="shared" si="178"/>
        <v>1</v>
      </c>
      <c r="BD138" s="88">
        <f t="shared" si="178"/>
        <v>1</v>
      </c>
      <c r="BE138" s="88">
        <f t="shared" si="178"/>
        <v>1</v>
      </c>
      <c r="BF138" s="88">
        <f t="shared" si="178"/>
        <v>1</v>
      </c>
      <c r="BG138" s="88">
        <f t="shared" si="178"/>
        <v>1</v>
      </c>
      <c r="BH138" s="88">
        <f t="shared" si="178"/>
        <v>1</v>
      </c>
      <c r="BI138" s="88">
        <f t="shared" si="178"/>
        <v>1</v>
      </c>
      <c r="BJ138" s="88">
        <f t="shared" si="178"/>
        <v>1</v>
      </c>
      <c r="BK138" s="88">
        <f t="shared" si="178"/>
        <v>1</v>
      </c>
      <c r="BL138" s="88">
        <f t="shared" si="178"/>
        <v>1</v>
      </c>
      <c r="BM138" s="88">
        <f t="shared" si="178"/>
        <v>1</v>
      </c>
      <c r="BN138" s="88">
        <f t="shared" si="178"/>
        <v>1</v>
      </c>
      <c r="BO138" s="88">
        <f t="shared" si="178"/>
        <v>1</v>
      </c>
      <c r="BP138" s="88">
        <f t="shared" si="178"/>
        <v>1</v>
      </c>
      <c r="BQ138" s="88">
        <f t="shared" si="178"/>
        <v>1</v>
      </c>
      <c r="BR138" s="88">
        <f t="shared" si="178"/>
        <v>1</v>
      </c>
    </row>
    <row r="139" spans="1:70">
      <c r="A139" t="s">
        <v>16</v>
      </c>
      <c r="B139" s="223" t="str">
        <f t="shared" si="176"/>
        <v>CNH</v>
      </c>
      <c r="C139" s="223" t="str">
        <f t="shared" si="176"/>
        <v>Commercial - Space Heating</v>
      </c>
      <c r="E139" s="125">
        <f t="shared" ref="E139:E146" si="179">E$147/9</f>
        <v>0</v>
      </c>
      <c r="G139" s="299" t="s">
        <v>775</v>
      </c>
      <c r="H139" s="124">
        <v>0.18</v>
      </c>
      <c r="I139" s="132"/>
      <c r="L139" s="304">
        <f t="shared" si="177"/>
        <v>1</v>
      </c>
      <c r="M139" s="305">
        <f t="shared" si="177"/>
        <v>1</v>
      </c>
      <c r="N139" s="305">
        <f t="shared" si="177"/>
        <v>1</v>
      </c>
      <c r="O139" s="305">
        <f t="shared" si="177"/>
        <v>1</v>
      </c>
      <c r="P139" s="88">
        <f t="shared" si="177"/>
        <v>1</v>
      </c>
      <c r="Q139" s="88">
        <f t="shared" si="177"/>
        <v>1</v>
      </c>
      <c r="R139" s="88">
        <f t="shared" si="177"/>
        <v>1</v>
      </c>
      <c r="S139" s="88">
        <f t="shared" si="177"/>
        <v>1</v>
      </c>
      <c r="T139" s="88">
        <f t="shared" si="177"/>
        <v>1</v>
      </c>
      <c r="U139" s="88">
        <f t="shared" si="177"/>
        <v>1</v>
      </c>
      <c r="V139" s="88">
        <f t="shared" si="177"/>
        <v>1</v>
      </c>
      <c r="W139" s="88">
        <f t="shared" si="177"/>
        <v>1</v>
      </c>
      <c r="X139" s="88">
        <f t="shared" si="177"/>
        <v>1</v>
      </c>
      <c r="Y139" s="88">
        <f t="shared" si="177"/>
        <v>1</v>
      </c>
      <c r="Z139" s="88">
        <f t="shared" si="177"/>
        <v>1</v>
      </c>
      <c r="AA139" s="88">
        <f t="shared" si="177"/>
        <v>1</v>
      </c>
      <c r="AB139" s="88">
        <f t="shared" si="177"/>
        <v>1</v>
      </c>
      <c r="AC139" s="88">
        <f t="shared" si="177"/>
        <v>1</v>
      </c>
      <c r="AD139" s="88">
        <f t="shared" si="177"/>
        <v>1</v>
      </c>
      <c r="AE139" s="88">
        <f t="shared" si="177"/>
        <v>1</v>
      </c>
      <c r="AF139" s="88">
        <f t="shared" si="177"/>
        <v>1</v>
      </c>
      <c r="AG139" s="88">
        <f t="shared" si="177"/>
        <v>1</v>
      </c>
      <c r="AH139" s="88">
        <f t="shared" si="177"/>
        <v>1</v>
      </c>
      <c r="AI139" s="88">
        <f t="shared" si="177"/>
        <v>1</v>
      </c>
      <c r="AJ139" s="88">
        <f t="shared" si="177"/>
        <v>1</v>
      </c>
      <c r="AK139" s="88">
        <f t="shared" si="177"/>
        <v>1</v>
      </c>
      <c r="AL139" s="88">
        <f t="shared" si="177"/>
        <v>1</v>
      </c>
      <c r="AM139" s="88">
        <f t="shared" si="177"/>
        <v>1</v>
      </c>
      <c r="AN139" s="88">
        <f t="shared" si="177"/>
        <v>1</v>
      </c>
      <c r="AO139" s="88">
        <f t="shared" si="177"/>
        <v>1</v>
      </c>
      <c r="AP139" s="88">
        <f t="shared" si="177"/>
        <v>1</v>
      </c>
      <c r="AQ139" s="88">
        <f t="shared" si="177"/>
        <v>1</v>
      </c>
      <c r="AR139" s="88">
        <f t="shared" si="177"/>
        <v>1</v>
      </c>
      <c r="AS139" s="88">
        <f t="shared" si="177"/>
        <v>1</v>
      </c>
      <c r="AT139" s="88">
        <f t="shared" si="177"/>
        <v>1</v>
      </c>
      <c r="AU139" s="88">
        <f t="shared" si="177"/>
        <v>1</v>
      </c>
      <c r="AV139" s="88">
        <f t="shared" si="177"/>
        <v>1</v>
      </c>
      <c r="AW139" s="88">
        <f t="shared" si="177"/>
        <v>1</v>
      </c>
      <c r="AX139" s="88">
        <f t="shared" si="177"/>
        <v>1</v>
      </c>
      <c r="AY139" s="88">
        <f t="shared" si="178"/>
        <v>1</v>
      </c>
      <c r="AZ139" s="88">
        <f t="shared" si="178"/>
        <v>1</v>
      </c>
      <c r="BA139" s="88">
        <f t="shared" si="178"/>
        <v>1</v>
      </c>
      <c r="BB139" s="88">
        <f t="shared" si="178"/>
        <v>1</v>
      </c>
      <c r="BC139" s="88">
        <f t="shared" si="178"/>
        <v>1</v>
      </c>
      <c r="BD139" s="88">
        <f t="shared" si="178"/>
        <v>1</v>
      </c>
      <c r="BE139" s="88">
        <f t="shared" si="178"/>
        <v>1</v>
      </c>
      <c r="BF139" s="88">
        <f t="shared" si="178"/>
        <v>1</v>
      </c>
      <c r="BG139" s="88">
        <f t="shared" si="178"/>
        <v>1</v>
      </c>
      <c r="BH139" s="88">
        <f t="shared" si="178"/>
        <v>1</v>
      </c>
      <c r="BI139" s="88">
        <f t="shared" si="178"/>
        <v>1</v>
      </c>
      <c r="BJ139" s="88">
        <f t="shared" si="178"/>
        <v>1</v>
      </c>
      <c r="BK139" s="88">
        <f t="shared" si="178"/>
        <v>1</v>
      </c>
      <c r="BL139" s="88">
        <f t="shared" si="178"/>
        <v>1</v>
      </c>
      <c r="BM139" s="88">
        <f t="shared" si="178"/>
        <v>1</v>
      </c>
      <c r="BN139" s="88">
        <f t="shared" si="178"/>
        <v>1</v>
      </c>
      <c r="BO139" s="88">
        <f t="shared" si="178"/>
        <v>1</v>
      </c>
      <c r="BP139" s="88">
        <f t="shared" si="178"/>
        <v>1</v>
      </c>
      <c r="BQ139" s="88">
        <f t="shared" si="178"/>
        <v>1</v>
      </c>
      <c r="BR139" s="88">
        <f t="shared" si="178"/>
        <v>1</v>
      </c>
    </row>
    <row r="140" spans="1:70">
      <c r="A140" t="s">
        <v>16</v>
      </c>
      <c r="B140" s="223" t="str">
        <f t="shared" si="176"/>
        <v>CNK</v>
      </c>
      <c r="C140" s="223" t="str">
        <f t="shared" si="176"/>
        <v>Commercial - Cooking</v>
      </c>
      <c r="E140" s="125">
        <f t="shared" si="179"/>
        <v>0</v>
      </c>
      <c r="G140" s="299" t="s">
        <v>772</v>
      </c>
      <c r="H140" s="197">
        <f>(1-(1/(H139+1)))</f>
        <v>0.15254237288135586</v>
      </c>
      <c r="I140" s="132"/>
      <c r="L140" s="304">
        <f t="shared" si="177"/>
        <v>1</v>
      </c>
      <c r="M140" s="305">
        <f t="shared" si="177"/>
        <v>1</v>
      </c>
      <c r="N140" s="305">
        <f t="shared" si="177"/>
        <v>1</v>
      </c>
      <c r="O140" s="305">
        <f t="shared" si="177"/>
        <v>1</v>
      </c>
      <c r="P140" s="88">
        <f t="shared" si="177"/>
        <v>1</v>
      </c>
      <c r="Q140" s="88">
        <f t="shared" si="177"/>
        <v>1</v>
      </c>
      <c r="R140" s="88">
        <f t="shared" si="177"/>
        <v>1</v>
      </c>
      <c r="S140" s="88">
        <f t="shared" si="177"/>
        <v>1</v>
      </c>
      <c r="T140" s="88">
        <f t="shared" si="177"/>
        <v>1</v>
      </c>
      <c r="U140" s="88">
        <f t="shared" si="177"/>
        <v>1</v>
      </c>
      <c r="V140" s="88">
        <f t="shared" si="177"/>
        <v>1</v>
      </c>
      <c r="W140" s="88">
        <f t="shared" si="177"/>
        <v>1</v>
      </c>
      <c r="X140" s="88">
        <f t="shared" si="177"/>
        <v>1</v>
      </c>
      <c r="Y140" s="88">
        <f t="shared" si="177"/>
        <v>1</v>
      </c>
      <c r="Z140" s="88">
        <f t="shared" si="177"/>
        <v>1</v>
      </c>
      <c r="AA140" s="88">
        <f t="shared" si="177"/>
        <v>1</v>
      </c>
      <c r="AB140" s="88">
        <f t="shared" si="177"/>
        <v>1</v>
      </c>
      <c r="AC140" s="88">
        <f t="shared" si="177"/>
        <v>1</v>
      </c>
      <c r="AD140" s="88">
        <f t="shared" si="177"/>
        <v>1</v>
      </c>
      <c r="AE140" s="88">
        <f t="shared" si="177"/>
        <v>1</v>
      </c>
      <c r="AF140" s="88">
        <f t="shared" si="177"/>
        <v>1</v>
      </c>
      <c r="AG140" s="88">
        <f t="shared" si="177"/>
        <v>1</v>
      </c>
      <c r="AH140" s="88">
        <f t="shared" si="177"/>
        <v>1</v>
      </c>
      <c r="AI140" s="88">
        <f t="shared" si="177"/>
        <v>1</v>
      </c>
      <c r="AJ140" s="88">
        <f t="shared" si="177"/>
        <v>1</v>
      </c>
      <c r="AK140" s="88">
        <f t="shared" si="177"/>
        <v>1</v>
      </c>
      <c r="AL140" s="88">
        <f t="shared" si="177"/>
        <v>1</v>
      </c>
      <c r="AM140" s="88">
        <f t="shared" si="177"/>
        <v>1</v>
      </c>
      <c r="AN140" s="88">
        <f t="shared" si="177"/>
        <v>1</v>
      </c>
      <c r="AO140" s="88">
        <f t="shared" si="177"/>
        <v>1</v>
      </c>
      <c r="AP140" s="88">
        <f t="shared" si="177"/>
        <v>1</v>
      </c>
      <c r="AQ140" s="88">
        <f t="shared" si="177"/>
        <v>1</v>
      </c>
      <c r="AR140" s="88">
        <f t="shared" si="177"/>
        <v>1</v>
      </c>
      <c r="AS140" s="88">
        <f t="shared" si="177"/>
        <v>1</v>
      </c>
      <c r="AT140" s="88">
        <f t="shared" si="177"/>
        <v>1</v>
      </c>
      <c r="AU140" s="88">
        <f t="shared" si="177"/>
        <v>1</v>
      </c>
      <c r="AV140" s="88">
        <f t="shared" si="177"/>
        <v>1</v>
      </c>
      <c r="AW140" s="88">
        <f t="shared" si="177"/>
        <v>1</v>
      </c>
      <c r="AX140" s="88">
        <f t="shared" si="177"/>
        <v>1</v>
      </c>
      <c r="AY140" s="88">
        <f t="shared" si="178"/>
        <v>1</v>
      </c>
      <c r="AZ140" s="88">
        <f t="shared" si="178"/>
        <v>1</v>
      </c>
      <c r="BA140" s="88">
        <f t="shared" si="178"/>
        <v>1</v>
      </c>
      <c r="BB140" s="88">
        <f t="shared" si="178"/>
        <v>1</v>
      </c>
      <c r="BC140" s="88">
        <f t="shared" si="178"/>
        <v>1</v>
      </c>
      <c r="BD140" s="88">
        <f t="shared" si="178"/>
        <v>1</v>
      </c>
      <c r="BE140" s="88">
        <f t="shared" si="178"/>
        <v>1</v>
      </c>
      <c r="BF140" s="88">
        <f t="shared" si="178"/>
        <v>1</v>
      </c>
      <c r="BG140" s="88">
        <f t="shared" si="178"/>
        <v>1</v>
      </c>
      <c r="BH140" s="88">
        <f t="shared" si="178"/>
        <v>1</v>
      </c>
      <c r="BI140" s="88">
        <f t="shared" si="178"/>
        <v>1</v>
      </c>
      <c r="BJ140" s="88">
        <f t="shared" si="178"/>
        <v>1</v>
      </c>
      <c r="BK140" s="88">
        <f t="shared" si="178"/>
        <v>1</v>
      </c>
      <c r="BL140" s="88">
        <f t="shared" si="178"/>
        <v>1</v>
      </c>
      <c r="BM140" s="88">
        <f t="shared" si="178"/>
        <v>1</v>
      </c>
      <c r="BN140" s="88">
        <f t="shared" si="178"/>
        <v>1</v>
      </c>
      <c r="BO140" s="88">
        <f t="shared" si="178"/>
        <v>1</v>
      </c>
      <c r="BP140" s="88">
        <f t="shared" si="178"/>
        <v>1</v>
      </c>
      <c r="BQ140" s="88">
        <f t="shared" si="178"/>
        <v>1</v>
      </c>
      <c r="BR140" s="88">
        <f t="shared" si="178"/>
        <v>1</v>
      </c>
    </row>
    <row r="141" spans="1:70">
      <c r="A141" t="s">
        <v>16</v>
      </c>
      <c r="B141" s="223" t="str">
        <f t="shared" si="176"/>
        <v>CNL</v>
      </c>
      <c r="C141" s="223" t="str">
        <f t="shared" si="176"/>
        <v>Commercial - Lighting</v>
      </c>
      <c r="E141" s="125">
        <f t="shared" si="179"/>
        <v>0</v>
      </c>
      <c r="G141" s="299"/>
      <c r="I141" s="132"/>
      <c r="L141" s="304">
        <f t="shared" si="177"/>
        <v>1</v>
      </c>
      <c r="M141" s="305">
        <f t="shared" si="177"/>
        <v>1</v>
      </c>
      <c r="N141" s="305">
        <f t="shared" si="177"/>
        <v>1</v>
      </c>
      <c r="O141" s="305">
        <f t="shared" si="177"/>
        <v>1</v>
      </c>
      <c r="P141" s="88">
        <f t="shared" si="177"/>
        <v>1</v>
      </c>
      <c r="Q141" s="88">
        <f t="shared" si="177"/>
        <v>1</v>
      </c>
      <c r="R141" s="88">
        <f t="shared" si="177"/>
        <v>1</v>
      </c>
      <c r="S141" s="88">
        <f t="shared" si="177"/>
        <v>1</v>
      </c>
      <c r="T141" s="88">
        <f t="shared" si="177"/>
        <v>1</v>
      </c>
      <c r="U141" s="88">
        <f t="shared" si="177"/>
        <v>1</v>
      </c>
      <c r="V141" s="88">
        <f t="shared" si="177"/>
        <v>1</v>
      </c>
      <c r="W141" s="88">
        <f t="shared" si="177"/>
        <v>1</v>
      </c>
      <c r="X141" s="88">
        <f t="shared" si="177"/>
        <v>1</v>
      </c>
      <c r="Y141" s="88">
        <f t="shared" si="177"/>
        <v>1</v>
      </c>
      <c r="Z141" s="88">
        <f t="shared" si="177"/>
        <v>1</v>
      </c>
      <c r="AA141" s="88">
        <f t="shared" si="177"/>
        <v>1</v>
      </c>
      <c r="AB141" s="88">
        <f t="shared" si="177"/>
        <v>1</v>
      </c>
      <c r="AC141" s="88">
        <f t="shared" si="177"/>
        <v>1</v>
      </c>
      <c r="AD141" s="88">
        <f t="shared" si="177"/>
        <v>1</v>
      </c>
      <c r="AE141" s="88">
        <f t="shared" si="177"/>
        <v>1</v>
      </c>
      <c r="AF141" s="88">
        <f t="shared" si="177"/>
        <v>1</v>
      </c>
      <c r="AG141" s="88">
        <f t="shared" si="177"/>
        <v>1</v>
      </c>
      <c r="AH141" s="88">
        <f t="shared" si="177"/>
        <v>1</v>
      </c>
      <c r="AI141" s="88">
        <f t="shared" si="177"/>
        <v>1</v>
      </c>
      <c r="AJ141" s="88">
        <f t="shared" si="177"/>
        <v>1</v>
      </c>
      <c r="AK141" s="88">
        <f t="shared" si="177"/>
        <v>1</v>
      </c>
      <c r="AL141" s="88">
        <f t="shared" si="177"/>
        <v>1</v>
      </c>
      <c r="AM141" s="88">
        <f t="shared" si="177"/>
        <v>1</v>
      </c>
      <c r="AN141" s="88">
        <f t="shared" si="177"/>
        <v>1</v>
      </c>
      <c r="AO141" s="88">
        <f t="shared" si="177"/>
        <v>1</v>
      </c>
      <c r="AP141" s="88">
        <f t="shared" si="177"/>
        <v>1</v>
      </c>
      <c r="AQ141" s="88">
        <f t="shared" si="177"/>
        <v>1</v>
      </c>
      <c r="AR141" s="88">
        <f t="shared" si="177"/>
        <v>1</v>
      </c>
      <c r="AS141" s="88">
        <f t="shared" si="177"/>
        <v>1</v>
      </c>
      <c r="AT141" s="88">
        <f t="shared" si="177"/>
        <v>1</v>
      </c>
      <c r="AU141" s="88">
        <f t="shared" si="177"/>
        <v>1</v>
      </c>
      <c r="AV141" s="88">
        <f t="shared" si="177"/>
        <v>1</v>
      </c>
      <c r="AW141" s="88">
        <f t="shared" si="177"/>
        <v>1</v>
      </c>
      <c r="AX141" s="88">
        <f t="shared" si="177"/>
        <v>1</v>
      </c>
      <c r="AY141" s="88">
        <f t="shared" si="178"/>
        <v>1</v>
      </c>
      <c r="AZ141" s="88">
        <f t="shared" si="178"/>
        <v>1</v>
      </c>
      <c r="BA141" s="88">
        <f t="shared" si="178"/>
        <v>1</v>
      </c>
      <c r="BB141" s="88">
        <f t="shared" si="178"/>
        <v>1</v>
      </c>
      <c r="BC141" s="88">
        <f t="shared" si="178"/>
        <v>1</v>
      </c>
      <c r="BD141" s="88">
        <f t="shared" si="178"/>
        <v>1</v>
      </c>
      <c r="BE141" s="88">
        <f t="shared" si="178"/>
        <v>1</v>
      </c>
      <c r="BF141" s="88">
        <f t="shared" si="178"/>
        <v>1</v>
      </c>
      <c r="BG141" s="88">
        <f t="shared" si="178"/>
        <v>1</v>
      </c>
      <c r="BH141" s="88">
        <f t="shared" si="178"/>
        <v>1</v>
      </c>
      <c r="BI141" s="88">
        <f t="shared" si="178"/>
        <v>1</v>
      </c>
      <c r="BJ141" s="88">
        <f t="shared" si="178"/>
        <v>1</v>
      </c>
      <c r="BK141" s="88">
        <f t="shared" si="178"/>
        <v>1</v>
      </c>
      <c r="BL141" s="88">
        <f t="shared" si="178"/>
        <v>1</v>
      </c>
      <c r="BM141" s="88">
        <f t="shared" si="178"/>
        <v>1</v>
      </c>
      <c r="BN141" s="88">
        <f t="shared" si="178"/>
        <v>1</v>
      </c>
      <c r="BO141" s="88">
        <f t="shared" si="178"/>
        <v>1</v>
      </c>
      <c r="BP141" s="88">
        <f t="shared" si="178"/>
        <v>1</v>
      </c>
      <c r="BQ141" s="88">
        <f t="shared" si="178"/>
        <v>1</v>
      </c>
      <c r="BR141" s="88">
        <f t="shared" si="178"/>
        <v>1</v>
      </c>
    </row>
    <row r="142" spans="1:70">
      <c r="A142" t="s">
        <v>16</v>
      </c>
      <c r="B142" s="223" t="str">
        <f t="shared" si="176"/>
        <v>CNR</v>
      </c>
      <c r="C142" s="223" t="str">
        <f t="shared" si="176"/>
        <v>Commercial - Refrigeration</v>
      </c>
      <c r="E142" s="125">
        <f t="shared" si="179"/>
        <v>0</v>
      </c>
      <c r="G142" s="299"/>
      <c r="I142" s="132"/>
      <c r="L142" s="304">
        <f t="shared" si="177"/>
        <v>1</v>
      </c>
      <c r="M142" s="305">
        <f t="shared" si="177"/>
        <v>1</v>
      </c>
      <c r="N142" s="305">
        <f t="shared" si="177"/>
        <v>1</v>
      </c>
      <c r="O142" s="305">
        <f t="shared" si="177"/>
        <v>1</v>
      </c>
      <c r="P142" s="88">
        <f t="shared" si="177"/>
        <v>1</v>
      </c>
      <c r="Q142" s="88">
        <f t="shared" si="177"/>
        <v>1</v>
      </c>
      <c r="R142" s="88">
        <f t="shared" si="177"/>
        <v>1</v>
      </c>
      <c r="S142" s="88">
        <f t="shared" si="177"/>
        <v>1</v>
      </c>
      <c r="T142" s="88">
        <f t="shared" si="177"/>
        <v>1</v>
      </c>
      <c r="U142" s="88">
        <f t="shared" si="177"/>
        <v>1</v>
      </c>
      <c r="V142" s="88">
        <f t="shared" si="177"/>
        <v>1</v>
      </c>
      <c r="W142" s="88">
        <f t="shared" si="177"/>
        <v>1</v>
      </c>
      <c r="X142" s="88">
        <f t="shared" si="177"/>
        <v>1</v>
      </c>
      <c r="Y142" s="88">
        <f t="shared" si="177"/>
        <v>1</v>
      </c>
      <c r="Z142" s="88">
        <f t="shared" si="177"/>
        <v>1</v>
      </c>
      <c r="AA142" s="88">
        <f t="shared" si="177"/>
        <v>1</v>
      </c>
      <c r="AB142" s="88">
        <f t="shared" si="177"/>
        <v>1</v>
      </c>
      <c r="AC142" s="88">
        <f t="shared" si="177"/>
        <v>1</v>
      </c>
      <c r="AD142" s="88">
        <f t="shared" si="177"/>
        <v>1</v>
      </c>
      <c r="AE142" s="88">
        <f t="shared" si="177"/>
        <v>1</v>
      </c>
      <c r="AF142" s="88">
        <f t="shared" si="177"/>
        <v>1</v>
      </c>
      <c r="AG142" s="88">
        <f t="shared" si="177"/>
        <v>1</v>
      </c>
      <c r="AH142" s="88">
        <f t="shared" si="177"/>
        <v>1</v>
      </c>
      <c r="AI142" s="88">
        <f t="shared" si="177"/>
        <v>1</v>
      </c>
      <c r="AJ142" s="88">
        <f t="shared" si="177"/>
        <v>1</v>
      </c>
      <c r="AK142" s="88">
        <f t="shared" si="177"/>
        <v>1</v>
      </c>
      <c r="AL142" s="88">
        <f t="shared" si="177"/>
        <v>1</v>
      </c>
      <c r="AM142" s="88">
        <f t="shared" si="177"/>
        <v>1</v>
      </c>
      <c r="AN142" s="88">
        <f t="shared" si="177"/>
        <v>1</v>
      </c>
      <c r="AO142" s="88">
        <f t="shared" si="177"/>
        <v>1</v>
      </c>
      <c r="AP142" s="88">
        <f t="shared" si="177"/>
        <v>1</v>
      </c>
      <c r="AQ142" s="88">
        <f t="shared" si="177"/>
        <v>1</v>
      </c>
      <c r="AR142" s="88">
        <f t="shared" si="177"/>
        <v>1</v>
      </c>
      <c r="AS142" s="88">
        <f t="shared" si="177"/>
        <v>1</v>
      </c>
      <c r="AT142" s="88">
        <f t="shared" si="177"/>
        <v>1</v>
      </c>
      <c r="AU142" s="88">
        <f t="shared" si="177"/>
        <v>1</v>
      </c>
      <c r="AV142" s="88">
        <f t="shared" si="177"/>
        <v>1</v>
      </c>
      <c r="AW142" s="88">
        <f t="shared" si="177"/>
        <v>1</v>
      </c>
      <c r="AX142" s="88">
        <f t="shared" si="177"/>
        <v>1</v>
      </c>
      <c r="AY142" s="88">
        <f t="shared" si="178"/>
        <v>1</v>
      </c>
      <c r="AZ142" s="88">
        <f t="shared" si="178"/>
        <v>1</v>
      </c>
      <c r="BA142" s="88">
        <f t="shared" si="178"/>
        <v>1</v>
      </c>
      <c r="BB142" s="88">
        <f t="shared" si="178"/>
        <v>1</v>
      </c>
      <c r="BC142" s="88">
        <f t="shared" si="178"/>
        <v>1</v>
      </c>
      <c r="BD142" s="88">
        <f t="shared" si="178"/>
        <v>1</v>
      </c>
      <c r="BE142" s="88">
        <f t="shared" si="178"/>
        <v>1</v>
      </c>
      <c r="BF142" s="88">
        <f t="shared" si="178"/>
        <v>1</v>
      </c>
      <c r="BG142" s="88">
        <f t="shared" si="178"/>
        <v>1</v>
      </c>
      <c r="BH142" s="88">
        <f t="shared" si="178"/>
        <v>1</v>
      </c>
      <c r="BI142" s="88">
        <f t="shared" si="178"/>
        <v>1</v>
      </c>
      <c r="BJ142" s="88">
        <f t="shared" si="178"/>
        <v>1</v>
      </c>
      <c r="BK142" s="88">
        <f t="shared" si="178"/>
        <v>1</v>
      </c>
      <c r="BL142" s="88">
        <f t="shared" si="178"/>
        <v>1</v>
      </c>
      <c r="BM142" s="88">
        <f t="shared" si="178"/>
        <v>1</v>
      </c>
      <c r="BN142" s="88">
        <f t="shared" si="178"/>
        <v>1</v>
      </c>
      <c r="BO142" s="88">
        <f t="shared" si="178"/>
        <v>1</v>
      </c>
      <c r="BP142" s="88">
        <f t="shared" si="178"/>
        <v>1</v>
      </c>
      <c r="BQ142" s="88">
        <f t="shared" si="178"/>
        <v>1</v>
      </c>
      <c r="BR142" s="88">
        <f t="shared" si="178"/>
        <v>1</v>
      </c>
    </row>
    <row r="143" spans="1:70">
      <c r="A143" t="s">
        <v>16</v>
      </c>
      <c r="B143" s="223" t="str">
        <f t="shared" si="176"/>
        <v>CNW</v>
      </c>
      <c r="C143" s="223" t="str">
        <f t="shared" si="176"/>
        <v>Commercial - Water Heating</v>
      </c>
      <c r="E143" s="125">
        <f t="shared" si="179"/>
        <v>0</v>
      </c>
      <c r="G143" s="299"/>
      <c r="I143" s="132"/>
      <c r="L143" s="304">
        <f t="shared" si="177"/>
        <v>1</v>
      </c>
      <c r="M143" s="305">
        <f t="shared" si="177"/>
        <v>1</v>
      </c>
      <c r="N143" s="305">
        <f t="shared" si="177"/>
        <v>1</v>
      </c>
      <c r="O143" s="305">
        <f t="shared" si="177"/>
        <v>1</v>
      </c>
      <c r="P143" s="88">
        <f t="shared" si="177"/>
        <v>1</v>
      </c>
      <c r="Q143" s="88">
        <f t="shared" si="177"/>
        <v>1</v>
      </c>
      <c r="R143" s="88">
        <f t="shared" si="177"/>
        <v>1</v>
      </c>
      <c r="S143" s="88">
        <f t="shared" si="177"/>
        <v>1</v>
      </c>
      <c r="T143" s="88">
        <f t="shared" si="177"/>
        <v>1</v>
      </c>
      <c r="U143" s="88">
        <f t="shared" si="177"/>
        <v>1</v>
      </c>
      <c r="V143" s="88">
        <f t="shared" si="177"/>
        <v>1</v>
      </c>
      <c r="W143" s="88">
        <f t="shared" si="177"/>
        <v>1</v>
      </c>
      <c r="X143" s="88">
        <f t="shared" si="177"/>
        <v>1</v>
      </c>
      <c r="Y143" s="88">
        <f t="shared" si="177"/>
        <v>1</v>
      </c>
      <c r="Z143" s="88">
        <f t="shared" si="177"/>
        <v>1</v>
      </c>
      <c r="AA143" s="88">
        <f t="shared" si="177"/>
        <v>1</v>
      </c>
      <c r="AB143" s="88">
        <f t="shared" si="177"/>
        <v>1</v>
      </c>
      <c r="AC143" s="88">
        <f t="shared" si="177"/>
        <v>1</v>
      </c>
      <c r="AD143" s="88">
        <f t="shared" si="177"/>
        <v>1</v>
      </c>
      <c r="AE143" s="88">
        <f t="shared" si="177"/>
        <v>1</v>
      </c>
      <c r="AF143" s="88">
        <f t="shared" si="177"/>
        <v>1</v>
      </c>
      <c r="AG143" s="88">
        <f t="shared" si="177"/>
        <v>1</v>
      </c>
      <c r="AH143" s="88">
        <f t="shared" si="177"/>
        <v>1</v>
      </c>
      <c r="AI143" s="88">
        <f t="shared" si="177"/>
        <v>1</v>
      </c>
      <c r="AJ143" s="88">
        <f t="shared" si="177"/>
        <v>1</v>
      </c>
      <c r="AK143" s="88">
        <f t="shared" si="177"/>
        <v>1</v>
      </c>
      <c r="AL143" s="88">
        <f t="shared" si="177"/>
        <v>1</v>
      </c>
      <c r="AM143" s="88">
        <f t="shared" si="177"/>
        <v>1</v>
      </c>
      <c r="AN143" s="88">
        <f t="shared" si="177"/>
        <v>1</v>
      </c>
      <c r="AO143" s="88">
        <f t="shared" si="177"/>
        <v>1</v>
      </c>
      <c r="AP143" s="88">
        <f t="shared" si="177"/>
        <v>1</v>
      </c>
      <c r="AQ143" s="88">
        <f t="shared" si="177"/>
        <v>1</v>
      </c>
      <c r="AR143" s="88">
        <f t="shared" si="177"/>
        <v>1</v>
      </c>
      <c r="AS143" s="88">
        <f t="shared" si="177"/>
        <v>1</v>
      </c>
      <c r="AT143" s="88">
        <f t="shared" si="177"/>
        <v>1</v>
      </c>
      <c r="AU143" s="88">
        <f t="shared" si="177"/>
        <v>1</v>
      </c>
      <c r="AV143" s="88">
        <f t="shared" si="177"/>
        <v>1</v>
      </c>
      <c r="AW143" s="88">
        <f t="shared" si="177"/>
        <v>1</v>
      </c>
      <c r="AX143" s="88">
        <f t="shared" si="177"/>
        <v>1</v>
      </c>
      <c r="AY143" s="88">
        <f t="shared" si="178"/>
        <v>1</v>
      </c>
      <c r="AZ143" s="88">
        <f t="shared" si="178"/>
        <v>1</v>
      </c>
      <c r="BA143" s="88">
        <f t="shared" si="178"/>
        <v>1</v>
      </c>
      <c r="BB143" s="88">
        <f t="shared" si="178"/>
        <v>1</v>
      </c>
      <c r="BC143" s="88">
        <f t="shared" si="178"/>
        <v>1</v>
      </c>
      <c r="BD143" s="88">
        <f t="shared" si="178"/>
        <v>1</v>
      </c>
      <c r="BE143" s="88">
        <f t="shared" si="178"/>
        <v>1</v>
      </c>
      <c r="BF143" s="88">
        <f t="shared" si="178"/>
        <v>1</v>
      </c>
      <c r="BG143" s="88">
        <f t="shared" si="178"/>
        <v>1</v>
      </c>
      <c r="BH143" s="88">
        <f t="shared" si="178"/>
        <v>1</v>
      </c>
      <c r="BI143" s="88">
        <f t="shared" si="178"/>
        <v>1</v>
      </c>
      <c r="BJ143" s="88">
        <f t="shared" si="178"/>
        <v>1</v>
      </c>
      <c r="BK143" s="88">
        <f t="shared" si="178"/>
        <v>1</v>
      </c>
      <c r="BL143" s="88">
        <f t="shared" si="178"/>
        <v>1</v>
      </c>
      <c r="BM143" s="88">
        <f t="shared" si="178"/>
        <v>1</v>
      </c>
      <c r="BN143" s="88">
        <f t="shared" si="178"/>
        <v>1</v>
      </c>
      <c r="BO143" s="88">
        <f t="shared" si="178"/>
        <v>1</v>
      </c>
      <c r="BP143" s="88">
        <f t="shared" si="178"/>
        <v>1</v>
      </c>
      <c r="BQ143" s="88">
        <f t="shared" si="178"/>
        <v>1</v>
      </c>
      <c r="BR143" s="88">
        <f t="shared" si="178"/>
        <v>1</v>
      </c>
    </row>
    <row r="144" spans="1:70">
      <c r="A144" t="s">
        <v>16</v>
      </c>
      <c r="B144" s="223" t="str">
        <f t="shared" si="176"/>
        <v>CNG</v>
      </c>
      <c r="C144" s="223" t="str">
        <f t="shared" si="176"/>
        <v>Commercial - Public lights</v>
      </c>
      <c r="E144" s="125">
        <f t="shared" si="179"/>
        <v>0</v>
      </c>
      <c r="G144" s="299"/>
      <c r="I144" s="132"/>
      <c r="L144" s="304">
        <f t="shared" si="177"/>
        <v>1</v>
      </c>
      <c r="M144" s="305">
        <f t="shared" si="177"/>
        <v>1</v>
      </c>
      <c r="N144" s="305">
        <f t="shared" si="177"/>
        <v>1</v>
      </c>
      <c r="O144" s="305">
        <f t="shared" si="177"/>
        <v>1</v>
      </c>
      <c r="P144" s="88">
        <f t="shared" si="177"/>
        <v>1</v>
      </c>
      <c r="Q144" s="88">
        <f t="shared" si="177"/>
        <v>1</v>
      </c>
      <c r="R144" s="88">
        <f t="shared" si="177"/>
        <v>1</v>
      </c>
      <c r="S144" s="88">
        <f t="shared" si="177"/>
        <v>1</v>
      </c>
      <c r="T144" s="88">
        <f t="shared" si="177"/>
        <v>1</v>
      </c>
      <c r="U144" s="88">
        <f t="shared" si="177"/>
        <v>1</v>
      </c>
      <c r="V144" s="88">
        <f t="shared" si="177"/>
        <v>1</v>
      </c>
      <c r="W144" s="88">
        <f t="shared" si="177"/>
        <v>1</v>
      </c>
      <c r="X144" s="88">
        <f t="shared" si="177"/>
        <v>1</v>
      </c>
      <c r="Y144" s="88">
        <f t="shared" si="177"/>
        <v>1</v>
      </c>
      <c r="Z144" s="88">
        <f t="shared" si="177"/>
        <v>1</v>
      </c>
      <c r="AA144" s="88">
        <f t="shared" si="177"/>
        <v>1</v>
      </c>
      <c r="AB144" s="88">
        <f t="shared" si="177"/>
        <v>1</v>
      </c>
      <c r="AC144" s="88">
        <f t="shared" si="177"/>
        <v>1</v>
      </c>
      <c r="AD144" s="88">
        <f t="shared" si="177"/>
        <v>1</v>
      </c>
      <c r="AE144" s="88">
        <f t="shared" si="177"/>
        <v>1</v>
      </c>
      <c r="AF144" s="88">
        <f t="shared" si="177"/>
        <v>1</v>
      </c>
      <c r="AG144" s="88">
        <f t="shared" ref="AG144:AX146" si="180">AG133*(1-$E144)</f>
        <v>1</v>
      </c>
      <c r="AH144" s="88">
        <f t="shared" si="180"/>
        <v>1</v>
      </c>
      <c r="AI144" s="88">
        <f t="shared" si="180"/>
        <v>1</v>
      </c>
      <c r="AJ144" s="88">
        <f t="shared" si="180"/>
        <v>1</v>
      </c>
      <c r="AK144" s="88">
        <f t="shared" si="180"/>
        <v>1</v>
      </c>
      <c r="AL144" s="88">
        <f t="shared" si="180"/>
        <v>1</v>
      </c>
      <c r="AM144" s="88">
        <f t="shared" si="180"/>
        <v>1</v>
      </c>
      <c r="AN144" s="88">
        <f t="shared" si="180"/>
        <v>1</v>
      </c>
      <c r="AO144" s="88">
        <f t="shared" si="180"/>
        <v>1</v>
      </c>
      <c r="AP144" s="88">
        <f t="shared" si="180"/>
        <v>1</v>
      </c>
      <c r="AQ144" s="88">
        <f t="shared" si="180"/>
        <v>1</v>
      </c>
      <c r="AR144" s="88">
        <f t="shared" si="180"/>
        <v>1</v>
      </c>
      <c r="AS144" s="88">
        <f t="shared" si="180"/>
        <v>1</v>
      </c>
      <c r="AT144" s="88">
        <f t="shared" si="180"/>
        <v>1</v>
      </c>
      <c r="AU144" s="88">
        <f t="shared" si="180"/>
        <v>1</v>
      </c>
      <c r="AV144" s="88">
        <f t="shared" si="180"/>
        <v>1</v>
      </c>
      <c r="AW144" s="88">
        <f t="shared" si="180"/>
        <v>1</v>
      </c>
      <c r="AX144" s="88">
        <f t="shared" si="180"/>
        <v>1</v>
      </c>
      <c r="AY144" s="88">
        <f t="shared" ref="AY144:BR144" si="181">AY133*(1-$E144)</f>
        <v>1</v>
      </c>
      <c r="AZ144" s="88">
        <f t="shared" si="181"/>
        <v>1</v>
      </c>
      <c r="BA144" s="88">
        <f t="shared" si="181"/>
        <v>1</v>
      </c>
      <c r="BB144" s="88">
        <f t="shared" si="181"/>
        <v>1</v>
      </c>
      <c r="BC144" s="88">
        <f t="shared" si="181"/>
        <v>1</v>
      </c>
      <c r="BD144" s="88">
        <f t="shared" si="181"/>
        <v>1</v>
      </c>
      <c r="BE144" s="88">
        <f t="shared" si="181"/>
        <v>1</v>
      </c>
      <c r="BF144" s="88">
        <f t="shared" si="181"/>
        <v>1</v>
      </c>
      <c r="BG144" s="88">
        <f t="shared" si="181"/>
        <v>1</v>
      </c>
      <c r="BH144" s="88">
        <f t="shared" si="181"/>
        <v>1</v>
      </c>
      <c r="BI144" s="88">
        <f t="shared" si="181"/>
        <v>1</v>
      </c>
      <c r="BJ144" s="88">
        <f t="shared" si="181"/>
        <v>1</v>
      </c>
      <c r="BK144" s="88">
        <f t="shared" si="181"/>
        <v>1</v>
      </c>
      <c r="BL144" s="88">
        <f t="shared" si="181"/>
        <v>1</v>
      </c>
      <c r="BM144" s="88">
        <f t="shared" si="181"/>
        <v>1</v>
      </c>
      <c r="BN144" s="88">
        <f t="shared" si="181"/>
        <v>1</v>
      </c>
      <c r="BO144" s="88">
        <f t="shared" si="181"/>
        <v>1</v>
      </c>
      <c r="BP144" s="88">
        <f t="shared" si="181"/>
        <v>1</v>
      </c>
      <c r="BQ144" s="88">
        <f t="shared" si="181"/>
        <v>1</v>
      </c>
      <c r="BR144" s="88">
        <f t="shared" si="181"/>
        <v>1</v>
      </c>
    </row>
    <row r="145" spans="1:70">
      <c r="A145" t="s">
        <v>16</v>
      </c>
      <c r="B145" s="223" t="str">
        <f t="shared" si="176"/>
        <v>CNT</v>
      </c>
      <c r="C145" s="223" t="str">
        <f t="shared" si="176"/>
        <v>Commercial - Public Water</v>
      </c>
      <c r="E145" s="125">
        <f t="shared" si="179"/>
        <v>0</v>
      </c>
      <c r="F145" s="70" t="s">
        <v>776</v>
      </c>
      <c r="H145" s="197">
        <f>IF(N57=1,70%,0)</f>
        <v>0</v>
      </c>
      <c r="I145" s="132"/>
      <c r="L145" s="304">
        <f t="shared" ref="L145:AX146" si="182">L134*(1-$E145)</f>
        <v>1</v>
      </c>
      <c r="M145" s="305">
        <f t="shared" si="182"/>
        <v>1</v>
      </c>
      <c r="N145" s="305">
        <f t="shared" si="182"/>
        <v>1</v>
      </c>
      <c r="O145" s="305">
        <f t="shared" si="182"/>
        <v>1</v>
      </c>
      <c r="P145" s="88">
        <f t="shared" si="182"/>
        <v>1</v>
      </c>
      <c r="Q145" s="88">
        <f t="shared" si="182"/>
        <v>1</v>
      </c>
      <c r="R145" s="88">
        <f t="shared" si="182"/>
        <v>1</v>
      </c>
      <c r="S145" s="88">
        <f t="shared" si="182"/>
        <v>1</v>
      </c>
      <c r="T145" s="88">
        <f t="shared" si="182"/>
        <v>1</v>
      </c>
      <c r="U145" s="88">
        <f t="shared" si="182"/>
        <v>1</v>
      </c>
      <c r="V145" s="88">
        <f t="shared" si="182"/>
        <v>1</v>
      </c>
      <c r="W145" s="88">
        <f t="shared" si="182"/>
        <v>1</v>
      </c>
      <c r="X145" s="88">
        <f t="shared" si="182"/>
        <v>1</v>
      </c>
      <c r="Y145" s="88">
        <f t="shared" si="182"/>
        <v>1</v>
      </c>
      <c r="Z145" s="88">
        <f t="shared" si="182"/>
        <v>1</v>
      </c>
      <c r="AA145" s="88">
        <f t="shared" si="182"/>
        <v>1</v>
      </c>
      <c r="AB145" s="88">
        <f t="shared" si="182"/>
        <v>1</v>
      </c>
      <c r="AC145" s="88">
        <f t="shared" si="182"/>
        <v>1</v>
      </c>
      <c r="AD145" s="88">
        <f t="shared" si="182"/>
        <v>1</v>
      </c>
      <c r="AE145" s="88">
        <f t="shared" si="182"/>
        <v>1</v>
      </c>
      <c r="AF145" s="88">
        <f t="shared" si="182"/>
        <v>1</v>
      </c>
      <c r="AG145" s="88">
        <f t="shared" si="182"/>
        <v>1</v>
      </c>
      <c r="AH145" s="88">
        <f t="shared" si="182"/>
        <v>1</v>
      </c>
      <c r="AI145" s="88">
        <f t="shared" si="182"/>
        <v>1</v>
      </c>
      <c r="AJ145" s="88">
        <f t="shared" si="182"/>
        <v>1</v>
      </c>
      <c r="AK145" s="88">
        <f t="shared" si="180"/>
        <v>1</v>
      </c>
      <c r="AL145" s="88">
        <f t="shared" si="180"/>
        <v>1</v>
      </c>
      <c r="AM145" s="88">
        <f t="shared" si="180"/>
        <v>1</v>
      </c>
      <c r="AN145" s="88">
        <f t="shared" si="180"/>
        <v>1</v>
      </c>
      <c r="AO145" s="88">
        <f t="shared" si="180"/>
        <v>1</v>
      </c>
      <c r="AP145" s="88">
        <f t="shared" si="180"/>
        <v>1</v>
      </c>
      <c r="AQ145" s="88">
        <f t="shared" si="180"/>
        <v>1</v>
      </c>
      <c r="AR145" s="88">
        <f t="shared" si="180"/>
        <v>1</v>
      </c>
      <c r="AS145" s="88">
        <f t="shared" si="180"/>
        <v>1</v>
      </c>
      <c r="AT145" s="88">
        <f t="shared" si="180"/>
        <v>1</v>
      </c>
      <c r="AU145" s="88">
        <f t="shared" si="182"/>
        <v>1</v>
      </c>
      <c r="AV145" s="88">
        <f t="shared" si="182"/>
        <v>1</v>
      </c>
      <c r="AW145" s="88">
        <f t="shared" si="182"/>
        <v>1</v>
      </c>
      <c r="AX145" s="88">
        <f t="shared" si="182"/>
        <v>1</v>
      </c>
      <c r="AY145" s="88">
        <f t="shared" ref="AY145:BR145" si="183">AY134*(1-$E145)</f>
        <v>1</v>
      </c>
      <c r="AZ145" s="88">
        <f t="shared" si="183"/>
        <v>1</v>
      </c>
      <c r="BA145" s="88">
        <f t="shared" si="183"/>
        <v>1</v>
      </c>
      <c r="BB145" s="88">
        <f t="shared" si="183"/>
        <v>1</v>
      </c>
      <c r="BC145" s="88">
        <f t="shared" si="183"/>
        <v>1</v>
      </c>
      <c r="BD145" s="88">
        <f t="shared" si="183"/>
        <v>1</v>
      </c>
      <c r="BE145" s="88">
        <f t="shared" si="183"/>
        <v>1</v>
      </c>
      <c r="BF145" s="88">
        <f t="shared" si="183"/>
        <v>1</v>
      </c>
      <c r="BG145" s="88">
        <f t="shared" si="183"/>
        <v>1</v>
      </c>
      <c r="BH145" s="88">
        <f t="shared" si="183"/>
        <v>1</v>
      </c>
      <c r="BI145" s="88">
        <f t="shared" si="183"/>
        <v>1</v>
      </c>
      <c r="BJ145" s="88">
        <f t="shared" si="183"/>
        <v>1</v>
      </c>
      <c r="BK145" s="88">
        <f t="shared" si="183"/>
        <v>1</v>
      </c>
      <c r="BL145" s="88">
        <f t="shared" si="183"/>
        <v>1</v>
      </c>
      <c r="BM145" s="88">
        <f t="shared" si="183"/>
        <v>1</v>
      </c>
      <c r="BN145" s="88">
        <f t="shared" si="183"/>
        <v>1</v>
      </c>
      <c r="BO145" s="88">
        <f t="shared" si="183"/>
        <v>1</v>
      </c>
      <c r="BP145" s="88">
        <f t="shared" si="183"/>
        <v>1</v>
      </c>
      <c r="BQ145" s="88">
        <f t="shared" si="183"/>
        <v>1</v>
      </c>
      <c r="BR145" s="88">
        <f t="shared" si="183"/>
        <v>1</v>
      </c>
    </row>
    <row r="146" spans="1:70">
      <c r="A146" t="s">
        <v>16</v>
      </c>
      <c r="B146" s="223" t="str">
        <f t="shared" si="176"/>
        <v>CNO</v>
      </c>
      <c r="C146" s="223" t="str">
        <f t="shared" si="176"/>
        <v>Commercial - Other</v>
      </c>
      <c r="E146" s="125">
        <f t="shared" si="179"/>
        <v>0</v>
      </c>
      <c r="F146" s="70" t="s">
        <v>777</v>
      </c>
      <c r="G146" s="301"/>
      <c r="H146" s="124">
        <f>H145-H134</f>
        <v>0</v>
      </c>
      <c r="I146" s="132"/>
      <c r="L146" s="304">
        <f t="shared" si="182"/>
        <v>1</v>
      </c>
      <c r="M146" s="305">
        <f t="shared" si="182"/>
        <v>1</v>
      </c>
      <c r="N146" s="305">
        <f t="shared" si="182"/>
        <v>1</v>
      </c>
      <c r="O146" s="305">
        <f t="shared" si="182"/>
        <v>1</v>
      </c>
      <c r="P146" s="88">
        <f t="shared" si="182"/>
        <v>1</v>
      </c>
      <c r="Q146" s="88">
        <f t="shared" si="182"/>
        <v>1</v>
      </c>
      <c r="R146" s="88">
        <f t="shared" si="182"/>
        <v>1</v>
      </c>
      <c r="S146" s="88">
        <f t="shared" si="182"/>
        <v>1</v>
      </c>
      <c r="T146" s="88">
        <f t="shared" si="182"/>
        <v>1</v>
      </c>
      <c r="U146" s="88">
        <f t="shared" si="182"/>
        <v>1</v>
      </c>
      <c r="V146" s="88">
        <f t="shared" si="182"/>
        <v>1</v>
      </c>
      <c r="W146" s="88">
        <f t="shared" si="182"/>
        <v>1</v>
      </c>
      <c r="X146" s="88">
        <f t="shared" si="182"/>
        <v>1</v>
      </c>
      <c r="Y146" s="88">
        <f t="shared" si="182"/>
        <v>1</v>
      </c>
      <c r="Z146" s="88">
        <f t="shared" si="182"/>
        <v>1</v>
      </c>
      <c r="AA146" s="88">
        <f t="shared" si="182"/>
        <v>1</v>
      </c>
      <c r="AB146" s="88">
        <f t="shared" si="182"/>
        <v>1</v>
      </c>
      <c r="AC146" s="88">
        <f t="shared" si="182"/>
        <v>1</v>
      </c>
      <c r="AD146" s="88">
        <f t="shared" si="182"/>
        <v>1</v>
      </c>
      <c r="AE146" s="88">
        <f t="shared" si="182"/>
        <v>1</v>
      </c>
      <c r="AF146" s="88">
        <f t="shared" si="182"/>
        <v>1</v>
      </c>
      <c r="AG146" s="88">
        <f t="shared" si="182"/>
        <v>1</v>
      </c>
      <c r="AH146" s="88">
        <f t="shared" si="182"/>
        <v>1</v>
      </c>
      <c r="AI146" s="88">
        <f t="shared" si="182"/>
        <v>1</v>
      </c>
      <c r="AJ146" s="88">
        <f t="shared" si="182"/>
        <v>1</v>
      </c>
      <c r="AK146" s="88">
        <f t="shared" si="180"/>
        <v>1</v>
      </c>
      <c r="AL146" s="88">
        <f t="shared" si="180"/>
        <v>1</v>
      </c>
      <c r="AM146" s="88">
        <f t="shared" si="180"/>
        <v>1</v>
      </c>
      <c r="AN146" s="88">
        <f t="shared" si="180"/>
        <v>1</v>
      </c>
      <c r="AO146" s="88">
        <f t="shared" si="180"/>
        <v>1</v>
      </c>
      <c r="AP146" s="88">
        <f t="shared" si="180"/>
        <v>1</v>
      </c>
      <c r="AQ146" s="88">
        <f t="shared" si="180"/>
        <v>1</v>
      </c>
      <c r="AR146" s="88">
        <f t="shared" si="180"/>
        <v>1</v>
      </c>
      <c r="AS146" s="88">
        <f t="shared" si="180"/>
        <v>1</v>
      </c>
      <c r="AT146" s="88">
        <f t="shared" si="180"/>
        <v>1</v>
      </c>
      <c r="AU146" s="88">
        <f t="shared" si="182"/>
        <v>1</v>
      </c>
      <c r="AV146" s="88">
        <f t="shared" si="182"/>
        <v>1</v>
      </c>
      <c r="AW146" s="88">
        <f t="shared" si="182"/>
        <v>1</v>
      </c>
      <c r="AX146" s="88">
        <f t="shared" si="182"/>
        <v>1</v>
      </c>
      <c r="AY146" s="88">
        <f t="shared" ref="AY146:BR146" si="184">AY135*(1-$E146)</f>
        <v>1</v>
      </c>
      <c r="AZ146" s="88">
        <f t="shared" si="184"/>
        <v>1</v>
      </c>
      <c r="BA146" s="88">
        <f t="shared" si="184"/>
        <v>1</v>
      </c>
      <c r="BB146" s="88">
        <f t="shared" si="184"/>
        <v>1</v>
      </c>
      <c r="BC146" s="88">
        <f t="shared" si="184"/>
        <v>1</v>
      </c>
      <c r="BD146" s="88">
        <f t="shared" si="184"/>
        <v>1</v>
      </c>
      <c r="BE146" s="88">
        <f t="shared" si="184"/>
        <v>1</v>
      </c>
      <c r="BF146" s="88">
        <f t="shared" si="184"/>
        <v>1</v>
      </c>
      <c r="BG146" s="88">
        <f t="shared" si="184"/>
        <v>1</v>
      </c>
      <c r="BH146" s="88">
        <f t="shared" si="184"/>
        <v>1</v>
      </c>
      <c r="BI146" s="88">
        <f t="shared" si="184"/>
        <v>1</v>
      </c>
      <c r="BJ146" s="88">
        <f t="shared" si="184"/>
        <v>1</v>
      </c>
      <c r="BK146" s="88">
        <f t="shared" si="184"/>
        <v>1</v>
      </c>
      <c r="BL146" s="88">
        <f t="shared" si="184"/>
        <v>1</v>
      </c>
      <c r="BM146" s="88">
        <f t="shared" si="184"/>
        <v>1</v>
      </c>
      <c r="BN146" s="88">
        <f t="shared" si="184"/>
        <v>1</v>
      </c>
      <c r="BO146" s="88">
        <f t="shared" si="184"/>
        <v>1</v>
      </c>
      <c r="BP146" s="88">
        <f t="shared" si="184"/>
        <v>1</v>
      </c>
      <c r="BQ146" s="88">
        <f t="shared" si="184"/>
        <v>1</v>
      </c>
      <c r="BR146" s="88">
        <f t="shared" si="184"/>
        <v>1</v>
      </c>
    </row>
    <row r="147" spans="1:70">
      <c r="A147" t="s">
        <v>16</v>
      </c>
      <c r="E147" s="302">
        <f>((1/(1-H145))-1)</f>
        <v>0</v>
      </c>
      <c r="F147" s="70" t="s">
        <v>780</v>
      </c>
      <c r="I147" s="132"/>
      <c r="M147" s="70"/>
    </row>
    <row r="148" spans="1:70" ht="19.5" thickBot="1">
      <c r="A148" t="s">
        <v>16</v>
      </c>
      <c r="B148" s="140" t="s">
        <v>464</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478</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26.607659490281232</v>
      </c>
      <c r="V151" s="137">
        <f t="shared" si="185"/>
        <v>26.832934928251607</v>
      </c>
      <c r="W151" s="137">
        <f t="shared" si="185"/>
        <v>26.856718639841979</v>
      </c>
      <c r="X151" s="137">
        <f t="shared" si="185"/>
        <v>26.975742602763237</v>
      </c>
      <c r="Y151" s="137">
        <f t="shared" si="185"/>
        <v>27.107249203156989</v>
      </c>
      <c r="Z151" s="137">
        <f t="shared" si="185"/>
        <v>27.275437177803102</v>
      </c>
      <c r="AA151" s="137">
        <f t="shared" si="185"/>
        <v>27.468844610295374</v>
      </c>
      <c r="AB151" s="137">
        <f t="shared" si="185"/>
        <v>27.687970833986896</v>
      </c>
      <c r="AC151" s="137">
        <f t="shared" si="185"/>
        <v>27.958317508865353</v>
      </c>
      <c r="AD151" s="137">
        <f t="shared" si="185"/>
        <v>28.283178766389447</v>
      </c>
      <c r="AE151" s="137">
        <f t="shared" si="185"/>
        <v>28.651424781663028</v>
      </c>
      <c r="AF151" s="137">
        <f t="shared" si="185"/>
        <v>29.033342653931815</v>
      </c>
      <c r="AG151" s="137">
        <f t="shared" si="185"/>
        <v>29.431933884621735</v>
      </c>
      <c r="AH151" s="137">
        <f t="shared" si="185"/>
        <v>29.880192149060061</v>
      </c>
      <c r="AI151" s="137">
        <f t="shared" si="185"/>
        <v>30.34638479180882</v>
      </c>
      <c r="AJ151" s="137">
        <f t="shared" si="185"/>
        <v>30.831131551643956</v>
      </c>
      <c r="AK151" s="137">
        <f t="shared" si="185"/>
        <v>31.336787377846122</v>
      </c>
      <c r="AL151" s="137">
        <f t="shared" si="185"/>
        <v>31.855582201130311</v>
      </c>
      <c r="AM151" s="137">
        <f t="shared" si="185"/>
        <v>32.371806696077002</v>
      </c>
      <c r="AN151" s="137">
        <f t="shared" si="185"/>
        <v>32.879799082808177</v>
      </c>
      <c r="AO151" s="137">
        <f t="shared" si="185"/>
        <v>33.422763476028486</v>
      </c>
      <c r="AP151" s="137">
        <f t="shared" si="185"/>
        <v>33.954867174589495</v>
      </c>
      <c r="AQ151" s="137">
        <f t="shared" si="185"/>
        <v>34.476696506484707</v>
      </c>
      <c r="AR151" s="137">
        <f t="shared" si="185"/>
        <v>34.988787556120165</v>
      </c>
      <c r="AS151" s="137">
        <f t="shared" si="185"/>
        <v>35.491631959477154</v>
      </c>
      <c r="AT151" s="137">
        <f t="shared" si="185"/>
        <v>36.087012212511738</v>
      </c>
      <c r="AU151" s="137">
        <f t="shared" si="185"/>
        <v>36.670301531413834</v>
      </c>
      <c r="AV151" s="137">
        <f t="shared" si="185"/>
        <v>37.242162273338359</v>
      </c>
      <c r="AW151" s="137">
        <f t="shared" si="185"/>
        <v>37.803199229276892</v>
      </c>
      <c r="AX151" s="137">
        <f t="shared" si="185"/>
        <v>38.353966355172687</v>
      </c>
      <c r="AY151" s="137">
        <f t="shared" ref="AY151:BR156" si="186">AY92*AY$34/1000</f>
        <v>38.864999579105728</v>
      </c>
      <c r="AZ151" s="137">
        <f t="shared" si="186"/>
        <v>39.367727493921223</v>
      </c>
      <c r="BA151" s="137">
        <f t="shared" si="186"/>
        <v>39.862516783923169</v>
      </c>
      <c r="BB151" s="137">
        <f t="shared" si="186"/>
        <v>40.34970827834222</v>
      </c>
      <c r="BC151" s="137">
        <f t="shared" si="186"/>
        <v>40.829619419343146</v>
      </c>
      <c r="BD151" s="137">
        <f t="shared" si="186"/>
        <v>41.302546436101132</v>
      </c>
      <c r="BE151" s="137">
        <f t="shared" si="186"/>
        <v>41.768766266548312</v>
      </c>
      <c r="BF151" s="137">
        <f t="shared" si="186"/>
        <v>42.228538261615888</v>
      </c>
      <c r="BG151" s="137">
        <f t="shared" si="186"/>
        <v>42.682105701264561</v>
      </c>
      <c r="BH151" s="137">
        <f t="shared" si="186"/>
        <v>43.129697147049974</v>
      </c>
      <c r="BI151" s="137">
        <f t="shared" si="186"/>
        <v>43.300958798654875</v>
      </c>
      <c r="BJ151" s="137">
        <f t="shared" si="186"/>
        <v>43.471373608470621</v>
      </c>
      <c r="BK151" s="137">
        <f t="shared" si="186"/>
        <v>43.640953181066585</v>
      </c>
      <c r="BL151" s="137">
        <f t="shared" si="186"/>
        <v>43.809708862124268</v>
      </c>
      <c r="BM151" s="137">
        <f t="shared" si="186"/>
        <v>43.977651746402273</v>
      </c>
      <c r="BN151" s="137">
        <f t="shared" si="186"/>
        <v>44.144792685390009</v>
      </c>
      <c r="BO151" s="137">
        <f t="shared" si="186"/>
        <v>44.311142294664812</v>
      </c>
      <c r="BP151" s="137">
        <f t="shared" si="186"/>
        <v>44.476710960966471</v>
      </c>
      <c r="BQ151" s="137">
        <f t="shared" si="186"/>
        <v>44.641508849002228</v>
      </c>
      <c r="BR151" s="137">
        <f t="shared" si="186"/>
        <v>44.805545907994578</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2.484981260305513</v>
      </c>
      <c r="V152" s="137">
        <f t="shared" si="185"/>
        <v>2.5060205118777144</v>
      </c>
      <c r="W152" s="137">
        <f t="shared" si="185"/>
        <v>2.5082417548857352</v>
      </c>
      <c r="X152" s="137">
        <f t="shared" si="185"/>
        <v>2.5193578140601489</v>
      </c>
      <c r="Y152" s="137">
        <f t="shared" si="185"/>
        <v>2.5316396698808132</v>
      </c>
      <c r="Z152" s="137">
        <f t="shared" si="185"/>
        <v>2.5473473259922792</v>
      </c>
      <c r="AA152" s="137">
        <f t="shared" si="185"/>
        <v>2.5654103144156939</v>
      </c>
      <c r="AB152" s="137">
        <f t="shared" si="185"/>
        <v>2.5858752696183052</v>
      </c>
      <c r="AC152" s="137">
        <f t="shared" si="185"/>
        <v>2.6111238797451843</v>
      </c>
      <c r="AD152" s="137">
        <f t="shared" si="185"/>
        <v>2.6414637951158517</v>
      </c>
      <c r="AE152" s="137">
        <f t="shared" si="185"/>
        <v>2.6758555629250895</v>
      </c>
      <c r="AF152" s="137">
        <f t="shared" si="185"/>
        <v>2.7115241927010509</v>
      </c>
      <c r="AG152" s="137">
        <f t="shared" si="185"/>
        <v>2.7487500050333371</v>
      </c>
      <c r="AH152" s="137">
        <f t="shared" si="185"/>
        <v>2.7906143932676035</v>
      </c>
      <c r="AI152" s="137">
        <f t="shared" si="185"/>
        <v>2.8341537350630039</v>
      </c>
      <c r="AJ152" s="137">
        <f t="shared" si="185"/>
        <v>2.8794259099652764</v>
      </c>
      <c r="AK152" s="137">
        <f t="shared" si="185"/>
        <v>2.9266508548250694</v>
      </c>
      <c r="AL152" s="137">
        <f t="shared" si="185"/>
        <v>2.9751028960230417</v>
      </c>
      <c r="AM152" s="137">
        <f t="shared" si="185"/>
        <v>3.0233148853760237</v>
      </c>
      <c r="AN152" s="137">
        <f t="shared" si="185"/>
        <v>3.0707580496974067</v>
      </c>
      <c r="AO152" s="137">
        <f t="shared" si="185"/>
        <v>3.1214673705476104</v>
      </c>
      <c r="AP152" s="137">
        <f t="shared" si="185"/>
        <v>3.1711623735953736</v>
      </c>
      <c r="AQ152" s="137">
        <f t="shared" si="185"/>
        <v>3.219897818038016</v>
      </c>
      <c r="AR152" s="137">
        <f t="shared" si="185"/>
        <v>3.2677237706506119</v>
      </c>
      <c r="AS152" s="137">
        <f t="shared" si="185"/>
        <v>3.3146861470162619</v>
      </c>
      <c r="AT152" s="137">
        <f t="shared" si="185"/>
        <v>3.3702907661330723</v>
      </c>
      <c r="AU152" s="137">
        <f t="shared" si="185"/>
        <v>3.4247661711320538</v>
      </c>
      <c r="AV152" s="137">
        <f t="shared" si="185"/>
        <v>3.4781742218366234</v>
      </c>
      <c r="AW152" s="137">
        <f t="shared" si="185"/>
        <v>3.530571401767288</v>
      </c>
      <c r="AX152" s="137">
        <f t="shared" si="185"/>
        <v>3.5820094467837342</v>
      </c>
      <c r="AY152" s="137">
        <f t="shared" si="186"/>
        <v>3.6297366053987559</v>
      </c>
      <c r="AZ152" s="137">
        <f t="shared" si="186"/>
        <v>3.676688102496998</v>
      </c>
      <c r="BA152" s="137">
        <f t="shared" si="186"/>
        <v>3.72289818399266</v>
      </c>
      <c r="BB152" s="137">
        <f t="shared" si="186"/>
        <v>3.7683986811052974</v>
      </c>
      <c r="BC152" s="137">
        <f t="shared" si="186"/>
        <v>3.8132192408555721</v>
      </c>
      <c r="BD152" s="137">
        <f t="shared" si="186"/>
        <v>3.8573875291097521</v>
      </c>
      <c r="BE152" s="137">
        <f t="shared" si="186"/>
        <v>3.9009294100582523</v>
      </c>
      <c r="BF152" s="137">
        <f t="shared" si="186"/>
        <v>3.9438691053807031</v>
      </c>
      <c r="BG152" s="137">
        <f t="shared" si="186"/>
        <v>3.986229335833269</v>
      </c>
      <c r="BH152" s="137">
        <f t="shared" si="186"/>
        <v>4.028031447569405</v>
      </c>
      <c r="BI152" s="137">
        <f t="shared" si="186"/>
        <v>4.0440261649928821</v>
      </c>
      <c r="BJ152" s="137">
        <f t="shared" si="186"/>
        <v>4.0599417929354802</v>
      </c>
      <c r="BK152" s="137">
        <f t="shared" si="186"/>
        <v>4.0757794151880313</v>
      </c>
      <c r="BL152" s="137">
        <f t="shared" si="186"/>
        <v>4.0915400913629352</v>
      </c>
      <c r="BM152" s="137">
        <f t="shared" si="186"/>
        <v>4.1072248576380366</v>
      </c>
      <c r="BN152" s="137">
        <f t="shared" si="186"/>
        <v>4.1228347274714228</v>
      </c>
      <c r="BO152" s="137">
        <f t="shared" si="186"/>
        <v>4.1383706922885466</v>
      </c>
      <c r="BP152" s="137">
        <f t="shared" si="186"/>
        <v>4.1538337221429273</v>
      </c>
      <c r="BQ152" s="137">
        <f t="shared" si="186"/>
        <v>4.1692247663516966</v>
      </c>
      <c r="BR152" s="137">
        <f t="shared" si="186"/>
        <v>4.1845447541071215</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1.8571693181377473</v>
      </c>
      <c r="V153" s="137">
        <f t="shared" si="185"/>
        <v>1.8728931600518188</v>
      </c>
      <c r="W153" s="137">
        <f t="shared" si="185"/>
        <v>1.874553222615879</v>
      </c>
      <c r="X153" s="137">
        <f t="shared" si="185"/>
        <v>1.8828608925235333</v>
      </c>
      <c r="Y153" s="137">
        <f t="shared" si="185"/>
        <v>1.8920398292681606</v>
      </c>
      <c r="Z153" s="137">
        <f t="shared" si="185"/>
        <v>1.9037790634652376</v>
      </c>
      <c r="AA153" s="137">
        <f t="shared" si="185"/>
        <v>1.9172785728698751</v>
      </c>
      <c r="AB153" s="137">
        <f t="shared" si="185"/>
        <v>1.9325732100997273</v>
      </c>
      <c r="AC153" s="137">
        <f t="shared" si="185"/>
        <v>1.9514429475912274</v>
      </c>
      <c r="AD153" s="137">
        <f t="shared" si="185"/>
        <v>1.9741177101101091</v>
      </c>
      <c r="AE153" s="137">
        <f t="shared" si="185"/>
        <v>1.9998206548333148</v>
      </c>
      <c r="AF153" s="137">
        <f t="shared" si="185"/>
        <v>2.0264778718908736</v>
      </c>
      <c r="AG153" s="137">
        <f t="shared" si="185"/>
        <v>2.0542988609705963</v>
      </c>
      <c r="AH153" s="137">
        <f t="shared" si="185"/>
        <v>2.0855865244203109</v>
      </c>
      <c r="AI153" s="137">
        <f t="shared" si="185"/>
        <v>2.1181259769328777</v>
      </c>
      <c r="AJ153" s="137">
        <f t="shared" si="185"/>
        <v>2.1519604752194081</v>
      </c>
      <c r="AK153" s="137">
        <f t="shared" si="185"/>
        <v>2.1872543907290858</v>
      </c>
      <c r="AL153" s="137">
        <f t="shared" si="185"/>
        <v>2.2234653858586655</v>
      </c>
      <c r="AM153" s="137">
        <f t="shared" si="185"/>
        <v>2.259496976447696</v>
      </c>
      <c r="AN153" s="137">
        <f t="shared" si="185"/>
        <v>2.294953979903009</v>
      </c>
      <c r="AO153" s="137">
        <f t="shared" si="185"/>
        <v>2.3328519698520451</v>
      </c>
      <c r="AP153" s="137">
        <f t="shared" si="185"/>
        <v>2.3699919018102125</v>
      </c>
      <c r="AQ153" s="137">
        <f t="shared" si="185"/>
        <v>2.4064147004729088</v>
      </c>
      <c r="AR153" s="137">
        <f t="shared" si="185"/>
        <v>2.4421577836186961</v>
      </c>
      <c r="AS153" s="137">
        <f t="shared" si="185"/>
        <v>2.4772554666017861</v>
      </c>
      <c r="AT153" s="137">
        <f t="shared" si="185"/>
        <v>2.5188119942988121</v>
      </c>
      <c r="AU153" s="137">
        <f t="shared" si="185"/>
        <v>2.5595245953849055</v>
      </c>
      <c r="AV153" s="137">
        <f t="shared" si="185"/>
        <v>2.59943950126145</v>
      </c>
      <c r="AW153" s="137">
        <f t="shared" si="185"/>
        <v>2.6385989253096653</v>
      </c>
      <c r="AX153" s="137">
        <f t="shared" si="185"/>
        <v>2.677041532710974</v>
      </c>
      <c r="AY153" s="137">
        <f t="shared" si="186"/>
        <v>2.712710781424267</v>
      </c>
      <c r="AZ153" s="137">
        <f t="shared" si="186"/>
        <v>2.7478003337055465</v>
      </c>
      <c r="BA153" s="137">
        <f t="shared" si="186"/>
        <v>2.7823357834947484</v>
      </c>
      <c r="BB153" s="137">
        <f t="shared" si="186"/>
        <v>2.8163409200917209</v>
      </c>
      <c r="BC153" s="137">
        <f t="shared" si="186"/>
        <v>2.8498379004189429</v>
      </c>
      <c r="BD153" s="137">
        <f t="shared" si="186"/>
        <v>2.8828474007683509</v>
      </c>
      <c r="BE153" s="137">
        <f t="shared" si="186"/>
        <v>2.9153887509359646</v>
      </c>
      <c r="BF153" s="137">
        <f t="shared" si="186"/>
        <v>2.9474800531750951</v>
      </c>
      <c r="BG153" s="137">
        <f t="shared" si="186"/>
        <v>2.9791382880126798</v>
      </c>
      <c r="BH153" s="137">
        <f t="shared" si="186"/>
        <v>3.0103794086560498</v>
      </c>
      <c r="BI153" s="137">
        <f t="shared" si="186"/>
        <v>3.0223331802702118</v>
      </c>
      <c r="BJ153" s="137">
        <f t="shared" si="186"/>
        <v>3.0342278437697083</v>
      </c>
      <c r="BK153" s="137">
        <f t="shared" si="186"/>
        <v>3.0460642091337187</v>
      </c>
      <c r="BL153" s="137">
        <f t="shared" si="186"/>
        <v>3.0578430682714881</v>
      </c>
      <c r="BM153" s="137">
        <f t="shared" si="186"/>
        <v>3.0695651955782739</v>
      </c>
      <c r="BN153" s="137">
        <f t="shared" si="186"/>
        <v>3.0812313484695539</v>
      </c>
      <c r="BO153" s="137">
        <f t="shared" si="186"/>
        <v>3.0928422678945493</v>
      </c>
      <c r="BP153" s="137">
        <f t="shared" si="186"/>
        <v>3.1043986788300075</v>
      </c>
      <c r="BQ153" s="137">
        <f t="shared" si="186"/>
        <v>3.1159012907551831</v>
      </c>
      <c r="BR153" s="137">
        <f t="shared" si="186"/>
        <v>3.1273507981088615</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23.154807524018118</v>
      </c>
      <c r="V154" s="137">
        <f t="shared" si="185"/>
        <v>23.350849171649628</v>
      </c>
      <c r="W154" s="137">
        <f t="shared" si="185"/>
        <v>23.371546492444903</v>
      </c>
      <c r="X154" s="137">
        <f t="shared" si="185"/>
        <v>23.475124823082901</v>
      </c>
      <c r="Y154" s="137">
        <f t="shared" si="185"/>
        <v>23.589565930590592</v>
      </c>
      <c r="Z154" s="137">
        <f t="shared" si="185"/>
        <v>23.735928303508345</v>
      </c>
      <c r="AA154" s="137">
        <f t="shared" si="185"/>
        <v>23.904237427980902</v>
      </c>
      <c r="AB154" s="137">
        <f t="shared" si="185"/>
        <v>24.094927839322619</v>
      </c>
      <c r="AC154" s="137">
        <f t="shared" si="185"/>
        <v>24.330191870112529</v>
      </c>
      <c r="AD154" s="137">
        <f t="shared" si="185"/>
        <v>24.612896175341948</v>
      </c>
      <c r="AE154" s="137">
        <f t="shared" si="185"/>
        <v>24.933355237450019</v>
      </c>
      <c r="AF154" s="137">
        <f t="shared" si="185"/>
        <v>25.26571197200596</v>
      </c>
      <c r="AG154" s="137">
        <f t="shared" si="185"/>
        <v>25.612578378303656</v>
      </c>
      <c r="AH154" s="137">
        <f t="shared" si="185"/>
        <v>26.002666572190499</v>
      </c>
      <c r="AI154" s="137">
        <f t="shared" si="185"/>
        <v>26.408361816295063</v>
      </c>
      <c r="AJ154" s="137">
        <f t="shared" si="185"/>
        <v>26.830203426451483</v>
      </c>
      <c r="AK154" s="137">
        <f t="shared" si="185"/>
        <v>27.270240752296925</v>
      </c>
      <c r="AL154" s="137">
        <f t="shared" si="185"/>
        <v>27.721712039427242</v>
      </c>
      <c r="AM154" s="137">
        <f t="shared" si="185"/>
        <v>28.170946547409432</v>
      </c>
      <c r="AN154" s="137">
        <f t="shared" si="185"/>
        <v>28.613017220432106</v>
      </c>
      <c r="AO154" s="137">
        <f t="shared" si="185"/>
        <v>29.085521614214048</v>
      </c>
      <c r="AP154" s="137">
        <f t="shared" si="185"/>
        <v>29.548574695883961</v>
      </c>
      <c r="AQ154" s="137">
        <f t="shared" si="185"/>
        <v>30.002686706180619</v>
      </c>
      <c r="AR154" s="137">
        <f t="shared" si="185"/>
        <v>30.448324162320358</v>
      </c>
      <c r="AS154" s="137">
        <f t="shared" si="185"/>
        <v>30.885914901126746</v>
      </c>
      <c r="AT154" s="137">
        <f t="shared" si="185"/>
        <v>31.404033195885152</v>
      </c>
      <c r="AU154" s="137">
        <f t="shared" si="185"/>
        <v>31.911629586124842</v>
      </c>
      <c r="AV154" s="137">
        <f t="shared" si="185"/>
        <v>32.409280475510329</v>
      </c>
      <c r="AW154" s="137">
        <f t="shared" si="185"/>
        <v>32.897512171851865</v>
      </c>
      <c r="AX154" s="137">
        <f t="shared" si="185"/>
        <v>33.376806744729713</v>
      </c>
      <c r="AY154" s="137">
        <f t="shared" si="186"/>
        <v>33.821523648254065</v>
      </c>
      <c r="AZ154" s="137">
        <f t="shared" si="186"/>
        <v>34.259013015131877</v>
      </c>
      <c r="BA154" s="137">
        <f t="shared" si="186"/>
        <v>34.689593945375876</v>
      </c>
      <c r="BB154" s="137">
        <f t="shared" si="186"/>
        <v>35.113563039114929</v>
      </c>
      <c r="BC154" s="137">
        <f t="shared" si="186"/>
        <v>35.531196544330484</v>
      </c>
      <c r="BD154" s="137">
        <f t="shared" si="186"/>
        <v>35.94275224880495</v>
      </c>
      <c r="BE154" s="137">
        <f t="shared" si="186"/>
        <v>36.348471152484848</v>
      </c>
      <c r="BF154" s="137">
        <f t="shared" si="186"/>
        <v>36.748578950565026</v>
      </c>
      <c r="BG154" s="137">
        <f t="shared" si="186"/>
        <v>37.14328735278518</v>
      </c>
      <c r="BH154" s="137">
        <f t="shared" si="186"/>
        <v>37.532795260474082</v>
      </c>
      <c r="BI154" s="137">
        <f t="shared" si="186"/>
        <v>37.681832442064788</v>
      </c>
      <c r="BJ154" s="137">
        <f t="shared" si="186"/>
        <v>37.830132675761291</v>
      </c>
      <c r="BK154" s="137">
        <f t="shared" si="186"/>
        <v>37.977706060218473</v>
      </c>
      <c r="BL154" s="137">
        <f t="shared" si="186"/>
        <v>38.124562468798956</v>
      </c>
      <c r="BM154" s="137">
        <f t="shared" si="186"/>
        <v>38.270711556504551</v>
      </c>
      <c r="BN154" s="137">
        <f t="shared" si="186"/>
        <v>38.41616276663666</v>
      </c>
      <c r="BO154" s="137">
        <f t="shared" si="186"/>
        <v>38.560925337198746</v>
      </c>
      <c r="BP154" s="137">
        <f t="shared" si="186"/>
        <v>38.705008307052729</v>
      </c>
      <c r="BQ154" s="137">
        <f t="shared" si="186"/>
        <v>38.848420521840985</v>
      </c>
      <c r="BR154" s="137">
        <f t="shared" si="186"/>
        <v>38.991170639684341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5.6327344636461483</v>
      </c>
      <c r="V155" s="137">
        <f t="shared" si="185"/>
        <v>5.6804243675150783</v>
      </c>
      <c r="W155" s="137">
        <f t="shared" si="185"/>
        <v>5.6854592835698865</v>
      </c>
      <c r="X155" s="137">
        <f t="shared" si="185"/>
        <v>5.7106561776518783</v>
      </c>
      <c r="Y155" s="137">
        <f t="shared" si="185"/>
        <v>5.738495595865472</v>
      </c>
      <c r="Z155" s="137">
        <f t="shared" si="185"/>
        <v>5.774100313428324</v>
      </c>
      <c r="AA155" s="137">
        <f t="shared" si="185"/>
        <v>5.815043888751906</v>
      </c>
      <c r="AB155" s="137">
        <f t="shared" si="185"/>
        <v>5.8614320286981005</v>
      </c>
      <c r="AC155" s="137">
        <f t="shared" si="185"/>
        <v>5.9186633320856172</v>
      </c>
      <c r="AD155" s="137">
        <f t="shared" si="185"/>
        <v>5.9874351532910026</v>
      </c>
      <c r="AE155" s="137">
        <f t="shared" si="185"/>
        <v>6.0653913531623029</v>
      </c>
      <c r="AF155" s="137">
        <f t="shared" si="185"/>
        <v>6.1462418301535831</v>
      </c>
      <c r="AG155" s="137">
        <f t="shared" si="185"/>
        <v>6.2306219900407891</v>
      </c>
      <c r="AH155" s="137">
        <f t="shared" si="185"/>
        <v>6.3255164611474344</v>
      </c>
      <c r="AI155" s="137">
        <f t="shared" si="185"/>
        <v>6.424207567987116</v>
      </c>
      <c r="AJ155" s="137">
        <f t="shared" si="185"/>
        <v>6.5268265067653095</v>
      </c>
      <c r="AK155" s="137">
        <f t="shared" si="185"/>
        <v>6.6338718107700725</v>
      </c>
      <c r="AL155" s="137">
        <f t="shared" si="185"/>
        <v>6.7436985875950484</v>
      </c>
      <c r="AM155" s="137">
        <f t="shared" si="185"/>
        <v>6.8529812362521643</v>
      </c>
      <c r="AN155" s="137">
        <f t="shared" si="185"/>
        <v>6.9605211807202476</v>
      </c>
      <c r="AO155" s="137">
        <f t="shared" si="185"/>
        <v>7.0754645582594069</v>
      </c>
      <c r="AP155" s="137">
        <f t="shared" si="185"/>
        <v>7.1881087704349627</v>
      </c>
      <c r="AQ155" s="137">
        <f t="shared" si="185"/>
        <v>7.2985779405241713</v>
      </c>
      <c r="AR155" s="137">
        <f t="shared" si="185"/>
        <v>7.4069855554389639</v>
      </c>
      <c r="AS155" s="137">
        <f t="shared" si="185"/>
        <v>7.5134356925385877</v>
      </c>
      <c r="AT155" s="137">
        <f t="shared" si="185"/>
        <v>7.6394752967159931</v>
      </c>
      <c r="AU155" s="137">
        <f t="shared" si="185"/>
        <v>7.7629552987829387</v>
      </c>
      <c r="AV155" s="137">
        <f t="shared" si="185"/>
        <v>7.8840159170842625</v>
      </c>
      <c r="AW155" s="137">
        <f t="shared" si="185"/>
        <v>8.0027851834396291</v>
      </c>
      <c r="AX155" s="137">
        <f t="shared" si="185"/>
        <v>8.1193803680934966</v>
      </c>
      <c r="AY155" s="137">
        <f t="shared" si="186"/>
        <v>8.2275640455630352</v>
      </c>
      <c r="AZ155" s="137">
        <f t="shared" si="186"/>
        <v>8.333989522507089</v>
      </c>
      <c r="BA155" s="137">
        <f t="shared" si="186"/>
        <v>8.4387344245175413</v>
      </c>
      <c r="BB155" s="137">
        <f t="shared" si="186"/>
        <v>8.5418709037712635</v>
      </c>
      <c r="BC155" s="137">
        <f t="shared" si="186"/>
        <v>8.6434661614973685</v>
      </c>
      <c r="BD155" s="137">
        <f t="shared" si="186"/>
        <v>8.7435829082204357</v>
      </c>
      <c r="BE155" s="137">
        <f t="shared" si="186"/>
        <v>8.8422797705864902</v>
      </c>
      <c r="BF155" s="137">
        <f t="shared" si="186"/>
        <v>8.9396116521442206</v>
      </c>
      <c r="BG155" s="137">
        <f t="shared" si="186"/>
        <v>9.0356300542825227</v>
      </c>
      <c r="BH155" s="137">
        <f t="shared" si="186"/>
        <v>9.1303833625631547</v>
      </c>
      <c r="BI155" s="137">
        <f t="shared" si="186"/>
        <v>9.166638765171875</v>
      </c>
      <c r="BJ155" s="137">
        <f t="shared" si="186"/>
        <v>9.2027148947809234</v>
      </c>
      <c r="BK155" s="137">
        <f t="shared" si="186"/>
        <v>9.2386142080309526</v>
      </c>
      <c r="BL155" s="137">
        <f t="shared" si="186"/>
        <v>9.2743391067570826</v>
      </c>
      <c r="BM155" s="137">
        <f t="shared" si="186"/>
        <v>9.3098919396750794</v>
      </c>
      <c r="BN155" s="137">
        <f t="shared" si="186"/>
        <v>9.3452750040015822</v>
      </c>
      <c r="BO155" s="137">
        <f t="shared" si="186"/>
        <v>9.3804905470116129</v>
      </c>
      <c r="BP155" s="137">
        <f t="shared" si="186"/>
        <v>9.4155407675361946</v>
      </c>
      <c r="BQ155" s="137">
        <f t="shared" si="186"/>
        <v>9.4504278174029519</v>
      </c>
      <c r="BR155" s="137">
        <f t="shared" si="186"/>
        <v>9.4851538028222588</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2.9821111002853269</v>
      </c>
      <c r="V156" s="137">
        <f t="shared" si="185"/>
        <v>3.0073593332025621</v>
      </c>
      <c r="W156" s="137">
        <f t="shared" si="185"/>
        <v>3.0100249442220335</v>
      </c>
      <c r="X156" s="137">
        <f t="shared" si="185"/>
        <v>3.0233648128097634</v>
      </c>
      <c r="Y156" s="137">
        <f t="shared" si="185"/>
        <v>3.0381037000440294</v>
      </c>
      <c r="Z156" s="137">
        <f t="shared" si="185"/>
        <v>3.0569537317918378</v>
      </c>
      <c r="AA156" s="137">
        <f t="shared" si="185"/>
        <v>3.078630288932219</v>
      </c>
      <c r="AB156" s="137">
        <f t="shared" si="185"/>
        <v>3.1031893353328535</v>
      </c>
      <c r="AC156" s="137">
        <f t="shared" si="185"/>
        <v>3.1334890248029006</v>
      </c>
      <c r="AD156" s="137">
        <f t="shared" si="185"/>
        <v>3.1698985542644866</v>
      </c>
      <c r="AE156" s="137">
        <f t="shared" si="185"/>
        <v>3.2111705244723248</v>
      </c>
      <c r="AF156" s="137">
        <f t="shared" si="185"/>
        <v>3.2539747976819284</v>
      </c>
      <c r="AG156" s="137">
        <f t="shared" si="185"/>
        <v>3.2986477736703268</v>
      </c>
      <c r="AH156" s="137">
        <f t="shared" si="185"/>
        <v>3.3488872901022182</v>
      </c>
      <c r="AI156" s="137">
        <f t="shared" si="185"/>
        <v>3.4011368408498228</v>
      </c>
      <c r="AJ156" s="137">
        <f t="shared" si="185"/>
        <v>3.4554658844795236</v>
      </c>
      <c r="AK156" s="137">
        <f t="shared" si="185"/>
        <v>3.5121383570354885</v>
      </c>
      <c r="AL156" s="137">
        <f t="shared" si="185"/>
        <v>3.5702834111636594</v>
      </c>
      <c r="AM156" s="137">
        <f t="shared" si="185"/>
        <v>3.6281403901731064</v>
      </c>
      <c r="AN156" s="137">
        <f t="shared" si="185"/>
        <v>3.6850747378140478</v>
      </c>
      <c r="AO156" s="137">
        <f t="shared" si="185"/>
        <v>3.7459286488720043</v>
      </c>
      <c r="AP156" s="137">
        <f t="shared" si="185"/>
        <v>3.805565324039216</v>
      </c>
      <c r="AQ156" s="137">
        <f t="shared" si="185"/>
        <v>3.8640504772962165</v>
      </c>
      <c r="AR156" s="137">
        <f t="shared" si="185"/>
        <v>3.9214441914645919</v>
      </c>
      <c r="AS156" s="137">
        <f t="shared" si="185"/>
        <v>3.9778015677123961</v>
      </c>
      <c r="AT156" s="137">
        <f t="shared" si="185"/>
        <v>4.0445300998523095</v>
      </c>
      <c r="AU156" s="137">
        <f t="shared" si="185"/>
        <v>4.1099035143464011</v>
      </c>
      <c r="AV156" s="137">
        <f t="shared" si="185"/>
        <v>4.173996046308238</v>
      </c>
      <c r="AW156" s="137">
        <f t="shared" si="185"/>
        <v>4.2368754789988783</v>
      </c>
      <c r="AX156" s="137">
        <f t="shared" si="185"/>
        <v>4.2986038982311685</v>
      </c>
      <c r="AY156" s="137">
        <f t="shared" si="186"/>
        <v>4.3558790542914743</v>
      </c>
      <c r="AZ156" s="137">
        <f t="shared" si="186"/>
        <v>4.4122233748335402</v>
      </c>
      <c r="BA156" s="137">
        <f t="shared" si="186"/>
        <v>4.4676779567954021</v>
      </c>
      <c r="BB156" s="137">
        <f t="shared" si="186"/>
        <v>4.5222809993517128</v>
      </c>
      <c r="BC156" s="137">
        <f t="shared" si="186"/>
        <v>4.5760680805210345</v>
      </c>
      <c r="BD156" s="137">
        <f t="shared" si="186"/>
        <v>4.6290724008301538</v>
      </c>
      <c r="BE156" s="137">
        <f t="shared" si="186"/>
        <v>4.6813249986979795</v>
      </c>
      <c r="BF156" s="137">
        <f t="shared" si="186"/>
        <v>4.7328549414421781</v>
      </c>
      <c r="BG156" s="137">
        <f t="shared" si="186"/>
        <v>4.7836894951915729</v>
      </c>
      <c r="BH156" s="137">
        <f t="shared" si="186"/>
        <v>4.8338542764778403</v>
      </c>
      <c r="BI156" s="137">
        <f t="shared" si="186"/>
        <v>4.8530487972319376</v>
      </c>
      <c r="BJ156" s="137">
        <f t="shared" si="186"/>
        <v>4.8721484063572786</v>
      </c>
      <c r="BK156" s="137">
        <f t="shared" si="186"/>
        <v>4.8911544044611253</v>
      </c>
      <c r="BL156" s="137">
        <f t="shared" si="186"/>
        <v>4.9100680631353182</v>
      </c>
      <c r="BM156" s="137">
        <f t="shared" si="186"/>
        <v>4.9288906258489735</v>
      </c>
      <c r="BN156" s="137">
        <f t="shared" si="186"/>
        <v>4.9476233088062802</v>
      </c>
      <c r="BO156" s="137">
        <f t="shared" si="186"/>
        <v>4.9662673017710768</v>
      </c>
      <c r="BP156" s="137">
        <f t="shared" si="186"/>
        <v>4.9848237688597354</v>
      </c>
      <c r="BQ156" s="137">
        <f t="shared" si="186"/>
        <v>5.0032938493038461</v>
      </c>
      <c r="BR156" s="137">
        <f t="shared" si="186"/>
        <v>5.0216786581840838</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9.811863814500283</v>
      </c>
      <c r="V157" s="137">
        <f t="shared" si="185"/>
        <v>9.894936582284485</v>
      </c>
      <c r="W157" s="137">
        <f t="shared" si="185"/>
        <v>9.9037070845984267</v>
      </c>
      <c r="X157" s="137">
        <f t="shared" si="185"/>
        <v>9.9475984653969558</v>
      </c>
      <c r="Y157" s="137">
        <f t="shared" si="185"/>
        <v>9.9960929545211368</v>
      </c>
      <c r="Z157" s="137">
        <f t="shared" si="185"/>
        <v>10.05811409933724</v>
      </c>
      <c r="AA157" s="137">
        <f t="shared" si="185"/>
        <v>10.12943519351388</v>
      </c>
      <c r="AB157" s="137">
        <f t="shared" si="185"/>
        <v>10.210240371655621</v>
      </c>
      <c r="AC157" s="137">
        <f t="shared" si="185"/>
        <v>10.309933648231837</v>
      </c>
      <c r="AD157" s="137">
        <f t="shared" si="185"/>
        <v>10.429729770043979</v>
      </c>
      <c r="AE157" s="137">
        <f t="shared" si="185"/>
        <v>10.56552449311673</v>
      </c>
      <c r="AF157" s="137">
        <f t="shared" si="185"/>
        <v>10.706360862147752</v>
      </c>
      <c r="AG157" s="137">
        <f t="shared" si="185"/>
        <v>10.85334571343135</v>
      </c>
      <c r="AH157" s="137">
        <f t="shared" si="185"/>
        <v>11.018645823574433</v>
      </c>
      <c r="AI157" s="137">
        <f t="shared" ref="M157:AX159" si="188">AI98*AI$34/1000</f>
        <v>11.190559430768765</v>
      </c>
      <c r="AJ157" s="137">
        <f t="shared" si="188"/>
        <v>11.369315070428087</v>
      </c>
      <c r="AK157" s="137">
        <f t="shared" si="188"/>
        <v>11.555781155711404</v>
      </c>
      <c r="AL157" s="137">
        <f t="shared" si="188"/>
        <v>11.747092389064774</v>
      </c>
      <c r="AM157" s="137">
        <f t="shared" si="188"/>
        <v>11.93745578588952</v>
      </c>
      <c r="AN157" s="137">
        <f t="shared" si="188"/>
        <v>12.124783503279689</v>
      </c>
      <c r="AO157" s="137">
        <f t="shared" si="188"/>
        <v>12.325007528408483</v>
      </c>
      <c r="AP157" s="137">
        <f t="shared" si="188"/>
        <v>12.521226554263786</v>
      </c>
      <c r="AQ157" s="137">
        <f t="shared" si="188"/>
        <v>12.713656795669936</v>
      </c>
      <c r="AR157" s="137">
        <f t="shared" si="188"/>
        <v>12.902495939581968</v>
      </c>
      <c r="AS157" s="137">
        <f t="shared" si="188"/>
        <v>13.087925282114883</v>
      </c>
      <c r="AT157" s="137">
        <f t="shared" si="188"/>
        <v>13.307478225610412</v>
      </c>
      <c r="AU157" s="137">
        <f t="shared" si="188"/>
        <v>13.522572505646972</v>
      </c>
      <c r="AV157" s="137">
        <f t="shared" si="188"/>
        <v>13.733452373629047</v>
      </c>
      <c r="AW157" s="137">
        <f t="shared" si="188"/>
        <v>13.940340852812323</v>
      </c>
      <c r="AX157" s="137">
        <f t="shared" si="188"/>
        <v>14.143442220475537</v>
      </c>
      <c r="AY157" s="137">
        <f t="shared" ref="AY157:BR157" si="189">AY98*AY$34/1000</f>
        <v>14.33189127965519</v>
      </c>
      <c r="AZ157" s="137">
        <f t="shared" si="189"/>
        <v>14.517277665771527</v>
      </c>
      <c r="BA157" s="137">
        <f t="shared" si="189"/>
        <v>14.699736597649609</v>
      </c>
      <c r="BB157" s="137">
        <f t="shared" si="189"/>
        <v>14.879393759774999</v>
      </c>
      <c r="BC157" s="137">
        <f t="shared" si="189"/>
        <v>15.056366212398364</v>
      </c>
      <c r="BD157" s="137">
        <f t="shared" si="189"/>
        <v>15.230763193249771</v>
      </c>
      <c r="BE157" s="137">
        <f t="shared" si="189"/>
        <v>15.402686826203585</v>
      </c>
      <c r="BF157" s="137">
        <f t="shared" si="189"/>
        <v>15.572232749736315</v>
      </c>
      <c r="BG157" s="137">
        <f t="shared" si="189"/>
        <v>15.739490675979315</v>
      </c>
      <c r="BH157" s="137">
        <f t="shared" si="189"/>
        <v>15.904544889492003</v>
      </c>
      <c r="BI157" s="137">
        <f t="shared" si="189"/>
        <v>15.967699486115109</v>
      </c>
      <c r="BJ157" s="137">
        <f t="shared" si="189"/>
        <v>16.030541800618447</v>
      </c>
      <c r="BK157" s="137">
        <f t="shared" si="189"/>
        <v>16.093076112313192</v>
      </c>
      <c r="BL157" s="137">
        <f t="shared" si="189"/>
        <v>16.155306605042774</v>
      </c>
      <c r="BM157" s="137">
        <f t="shared" si="189"/>
        <v>16.217237370120106</v>
      </c>
      <c r="BN157" s="137">
        <f t="shared" si="189"/>
        <v>16.278872409149912</v>
      </c>
      <c r="BO157" s="137">
        <f t="shared" si="189"/>
        <v>16.340215636741796</v>
      </c>
      <c r="BP157" s="137">
        <f t="shared" si="189"/>
        <v>16.401270883119022</v>
      </c>
      <c r="BQ157" s="137">
        <f t="shared" si="189"/>
        <v>16.462041896627923</v>
      </c>
      <c r="BR157" s="137">
        <f t="shared" si="189"/>
        <v>16.522532346152506</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3.3904849718932364</v>
      </c>
      <c r="V158" s="137">
        <f t="shared" si="188"/>
        <v>3.4191907281155833</v>
      </c>
      <c r="W158" s="137">
        <f t="shared" si="188"/>
        <v>3.4222213711059015</v>
      </c>
      <c r="X158" s="137">
        <f t="shared" si="188"/>
        <v>3.4373880173014117</v>
      </c>
      <c r="Y158" s="137">
        <f t="shared" si="188"/>
        <v>3.4541452654352671</v>
      </c>
      <c r="Z158" s="137">
        <f t="shared" si="188"/>
        <v>3.4755766431443478</v>
      </c>
      <c r="AA158" s="137">
        <f t="shared" si="188"/>
        <v>3.5002216140241433</v>
      </c>
      <c r="AB158" s="137">
        <f t="shared" si="188"/>
        <v>3.5281438057015131</v>
      </c>
      <c r="AC158" s="137">
        <f t="shared" si="188"/>
        <v>3.5625927709970706</v>
      </c>
      <c r="AD158" s="137">
        <f t="shared" si="188"/>
        <v>3.6039882651023714</v>
      </c>
      <c r="AE158" s="137">
        <f t="shared" si="188"/>
        <v>3.6509120684230161</v>
      </c>
      <c r="AF158" s="137">
        <f t="shared" si="188"/>
        <v>3.6995780101567388</v>
      </c>
      <c r="AG158" s="137">
        <f t="shared" si="188"/>
        <v>3.7503685570696019</v>
      </c>
      <c r="AH158" s="137">
        <f t="shared" si="188"/>
        <v>3.8074879331522751</v>
      </c>
      <c r="AI158" s="137">
        <f t="shared" si="188"/>
        <v>3.8668926000612229</v>
      </c>
      <c r="AJ158" s="137">
        <f t="shared" si="188"/>
        <v>3.9286615281022366</v>
      </c>
      <c r="AK158" s="137">
        <f t="shared" si="188"/>
        <v>3.9930947970380064</v>
      </c>
      <c r="AL158" s="137">
        <f t="shared" si="188"/>
        <v>4.0592023046330858</v>
      </c>
      <c r="AM158" s="137">
        <f t="shared" si="188"/>
        <v>4.1249822877570894</v>
      </c>
      <c r="AN158" s="137">
        <f t="shared" si="188"/>
        <v>4.1897132932661352</v>
      </c>
      <c r="AO158" s="137">
        <f t="shared" si="188"/>
        <v>4.258900611908687</v>
      </c>
      <c r="AP158" s="137">
        <f t="shared" si="188"/>
        <v>4.3267040049173389</v>
      </c>
      <c r="AQ158" s="137">
        <f t="shared" si="188"/>
        <v>4.3931981852239552</v>
      </c>
      <c r="AR158" s="137">
        <f t="shared" si="188"/>
        <v>4.4584514634637875</v>
      </c>
      <c r="AS158" s="137">
        <f t="shared" si="188"/>
        <v>4.5225264864249484</v>
      </c>
      <c r="AT158" s="137">
        <f t="shared" si="188"/>
        <v>4.5983929038079969</v>
      </c>
      <c r="AU158" s="137">
        <f t="shared" si="188"/>
        <v>4.6727186321091185</v>
      </c>
      <c r="AV158" s="137">
        <f t="shared" si="188"/>
        <v>4.7455880722873882</v>
      </c>
      <c r="AW158" s="137">
        <f t="shared" si="188"/>
        <v>4.8170782899249494</v>
      </c>
      <c r="AX158" s="137">
        <f t="shared" si="188"/>
        <v>4.8872598729403443</v>
      </c>
      <c r="AY158" s="137">
        <f t="shared" ref="AY158:BR158" si="191">AY99*AY$34/1000</f>
        <v>4.9523783575825586</v>
      </c>
      <c r="AZ158" s="137">
        <f t="shared" si="191"/>
        <v>5.0164385369739746</v>
      </c>
      <c r="BA158" s="137">
        <f t="shared" si="191"/>
        <v>5.0794871359166249</v>
      </c>
      <c r="BB158" s="137">
        <f t="shared" si="191"/>
        <v>5.1415675846259656</v>
      </c>
      <c r="BC158" s="137">
        <f t="shared" si="191"/>
        <v>5.2027203332171021</v>
      </c>
      <c r="BD158" s="137">
        <f t="shared" si="191"/>
        <v>5.2629831287367894</v>
      </c>
      <c r="BE158" s="137">
        <f t="shared" si="191"/>
        <v>5.3223912600422567</v>
      </c>
      <c r="BF158" s="137">
        <f t="shared" si="191"/>
        <v>5.3809777749645233</v>
      </c>
      <c r="BG158" s="137">
        <f t="shared" si="191"/>
        <v>5.4387736734888046</v>
      </c>
      <c r="BH158" s="137">
        <f t="shared" si="191"/>
        <v>5.4958080801053546</v>
      </c>
      <c r="BI158" s="137">
        <f t="shared" si="191"/>
        <v>5.5176311215585176</v>
      </c>
      <c r="BJ158" s="137">
        <f t="shared" si="191"/>
        <v>5.539346254070618</v>
      </c>
      <c r="BK158" s="137">
        <f t="shared" si="191"/>
        <v>5.5609549563556389</v>
      </c>
      <c r="BL158" s="137">
        <f t="shared" si="191"/>
        <v>5.5824586741387332</v>
      </c>
      <c r="BM158" s="137">
        <f t="shared" si="191"/>
        <v>5.6038588211711691</v>
      </c>
      <c r="BN158" s="137">
        <f t="shared" si="191"/>
        <v>5.6251567802055966</v>
      </c>
      <c r="BO158" s="137">
        <f t="shared" si="191"/>
        <v>5.6463539039335418</v>
      </c>
      <c r="BP158" s="137">
        <f t="shared" si="191"/>
        <v>5.667451515886869</v>
      </c>
      <c r="BQ158" s="137">
        <f t="shared" si="191"/>
        <v>5.6884509113049102</v>
      </c>
      <c r="BR158" s="137">
        <f t="shared" si="191"/>
        <v>5.7093533579688209</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4.1853102157768038</v>
      </c>
      <c r="V159" s="137">
        <f t="shared" si="188"/>
        <v>4.220745410377269</v>
      </c>
      <c r="W159" s="137">
        <f t="shared" si="188"/>
        <v>4.2244865215082426</v>
      </c>
      <c r="X159" s="137">
        <f t="shared" si="188"/>
        <v>4.2432086570691911</v>
      </c>
      <c r="Y159" s="137">
        <f t="shared" si="188"/>
        <v>4.2638942764965995</v>
      </c>
      <c r="Z159" s="137">
        <f t="shared" si="188"/>
        <v>4.2903497732198002</v>
      </c>
      <c r="AA159" s="137">
        <f t="shared" si="188"/>
        <v>4.3207722199334144</v>
      </c>
      <c r="AB159" s="137">
        <f t="shared" si="188"/>
        <v>4.3552401603734863</v>
      </c>
      <c r="AC159" s="137">
        <f t="shared" si="188"/>
        <v>4.3977649341358456</v>
      </c>
      <c r="AD159" s="137">
        <f t="shared" si="188"/>
        <v>4.4488646988604472</v>
      </c>
      <c r="AE159" s="137">
        <f t="shared" si="188"/>
        <v>4.5067887643050826</v>
      </c>
      <c r="AF159" s="137">
        <f t="shared" si="188"/>
        <v>4.5668633745118967</v>
      </c>
      <c r="AG159" s="137">
        <f t="shared" si="188"/>
        <v>4.6295606572373815</v>
      </c>
      <c r="AH159" s="137">
        <f t="shared" si="188"/>
        <v>4.7000704250786818</v>
      </c>
      <c r="AI159" s="137">
        <f t="shared" si="188"/>
        <v>4.7734012203306673</v>
      </c>
      <c r="AJ159" s="137">
        <f t="shared" si="188"/>
        <v>4.8496505261647167</v>
      </c>
      <c r="AK159" s="137">
        <f t="shared" si="188"/>
        <v>4.9291887694981442</v>
      </c>
      <c r="AL159" s="137">
        <f t="shared" si="188"/>
        <v>5.0107937402238312</v>
      </c>
      <c r="AM159" s="137">
        <f t="shared" si="188"/>
        <v>5.091994405510599</v>
      </c>
      <c r="AN159" s="137">
        <f t="shared" si="188"/>
        <v>5.17190018326228</v>
      </c>
      <c r="AO159" s="137">
        <f t="shared" si="188"/>
        <v>5.2573069595545752</v>
      </c>
      <c r="AP159" s="137">
        <f t="shared" si="188"/>
        <v>5.3410053790361331</v>
      </c>
      <c r="AQ159" s="137">
        <f t="shared" si="188"/>
        <v>5.4230876694559562</v>
      </c>
      <c r="AR159" s="137">
        <f t="shared" si="188"/>
        <v>5.5036381553876472</v>
      </c>
      <c r="AS159" s="137">
        <f t="shared" si="188"/>
        <v>5.582734169792257</v>
      </c>
      <c r="AT159" s="137">
        <f t="shared" si="188"/>
        <v>5.6763858138313559</v>
      </c>
      <c r="AU159" s="137">
        <f t="shared" si="188"/>
        <v>5.7681355878408338</v>
      </c>
      <c r="AV159" s="137">
        <f t="shared" si="188"/>
        <v>5.858087678743555</v>
      </c>
      <c r="AW159" s="137">
        <f t="shared" si="188"/>
        <v>5.946337218466339</v>
      </c>
      <c r="AX159" s="137">
        <f t="shared" si="188"/>
        <v>6.032971342725471</v>
      </c>
      <c r="AY159" s="137">
        <f t="shared" ref="AY159:BR159" si="192">AY100*AY$34/1000</f>
        <v>6.1133554356408792</v>
      </c>
      <c r="AZ159" s="137">
        <f t="shared" si="192"/>
        <v>6.1924331267246062</v>
      </c>
      <c r="BA159" s="137">
        <f t="shared" si="192"/>
        <v>6.2702620943892935</v>
      </c>
      <c r="BB159" s="137">
        <f t="shared" si="192"/>
        <v>6.3468959501170561</v>
      </c>
      <c r="BC159" s="137">
        <f t="shared" si="192"/>
        <v>6.4223846266701319</v>
      </c>
      <c r="BD159" s="137">
        <f t="shared" si="192"/>
        <v>6.4967747200670001</v>
      </c>
      <c r="BE159" s="137">
        <f t="shared" si="192"/>
        <v>6.5701097918676989</v>
      </c>
      <c r="BF159" s="137">
        <f t="shared" si="192"/>
        <v>6.6424306372463491</v>
      </c>
      <c r="BG159" s="137">
        <f t="shared" si="192"/>
        <v>6.7137755234584828</v>
      </c>
      <c r="BH159" s="137">
        <f t="shared" si="192"/>
        <v>6.7841804025957941</v>
      </c>
      <c r="BI159" s="137">
        <f t="shared" si="192"/>
        <v>6.8111193800843859</v>
      </c>
      <c r="BJ159" s="137">
        <f t="shared" si="192"/>
        <v>6.8379251517345381</v>
      </c>
      <c r="BK159" s="137">
        <f t="shared" si="192"/>
        <v>6.8645995429124698</v>
      </c>
      <c r="BL159" s="137">
        <f t="shared" si="192"/>
        <v>6.891144338262059</v>
      </c>
      <c r="BM159" s="137">
        <f t="shared" si="192"/>
        <v>6.9175612829577222</v>
      </c>
      <c r="BN159" s="137">
        <f t="shared" si="192"/>
        <v>6.9438520839083049</v>
      </c>
      <c r="BO159" s="137">
        <f t="shared" si="192"/>
        <v>6.9700184109143537</v>
      </c>
      <c r="BP159" s="137">
        <f t="shared" si="192"/>
        <v>6.9960618977809093</v>
      </c>
      <c r="BQ159" s="137">
        <f t="shared" si="192"/>
        <v>7.0219841433879102</v>
      </c>
      <c r="BR159" s="137">
        <f t="shared" si="192"/>
        <v>7.0477867127201517</v>
      </c>
    </row>
    <row r="160" spans="1:70">
      <c r="A160" t="s">
        <v>16</v>
      </c>
      <c r="B160" s="139"/>
      <c r="C160" s="139"/>
      <c r="D160" s="139"/>
      <c r="E160" s="139"/>
      <c r="F160" s="139"/>
      <c r="G160" s="139"/>
      <c r="H160" s="139"/>
      <c r="I160" s="138"/>
      <c r="J160" s="139"/>
      <c r="K160" s="139"/>
      <c r="M160" s="70"/>
    </row>
    <row r="161" spans="1:70" ht="15.75" thickBot="1">
      <c r="A161" t="s">
        <v>16</v>
      </c>
      <c r="B161" s="68" t="s">
        <v>463</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98.620968449601023</v>
      </c>
      <c r="V162" s="137">
        <f t="shared" si="195"/>
        <v>97.593666694917658</v>
      </c>
      <c r="W162" s="137">
        <f t="shared" si="195"/>
        <v>96.566364940234322</v>
      </c>
      <c r="X162" s="137">
        <f t="shared" si="195"/>
        <v>95.539063185550987</v>
      </c>
      <c r="Y162" s="137">
        <f t="shared" si="195"/>
        <v>94.511761430867622</v>
      </c>
      <c r="Z162" s="137">
        <f t="shared" si="195"/>
        <v>93.484459676184301</v>
      </c>
      <c r="AA162" s="137">
        <f t="shared" si="195"/>
        <v>92.457157921500936</v>
      </c>
      <c r="AB162" s="137">
        <f t="shared" si="195"/>
        <v>91.429856166817601</v>
      </c>
      <c r="AC162" s="137">
        <f t="shared" si="195"/>
        <v>90.402554412134251</v>
      </c>
      <c r="AD162" s="137">
        <f t="shared" si="195"/>
        <v>89.375252657450915</v>
      </c>
      <c r="AE162" s="137">
        <f t="shared" si="195"/>
        <v>88.347950902767579</v>
      </c>
      <c r="AF162" s="137">
        <f t="shared" si="195"/>
        <v>87.320649148084229</v>
      </c>
      <c r="AG162" s="137">
        <f t="shared" si="195"/>
        <v>86.293347393400879</v>
      </c>
      <c r="AH162" s="137">
        <f t="shared" si="195"/>
        <v>85.266045638717529</v>
      </c>
      <c r="AI162" s="137">
        <f t="shared" si="195"/>
        <v>84.238743884034193</v>
      </c>
      <c r="AJ162" s="137">
        <f t="shared" si="195"/>
        <v>83.211442129350843</v>
      </c>
      <c r="AK162" s="137">
        <f t="shared" si="195"/>
        <v>82.184140374667507</v>
      </c>
      <c r="AL162" s="137">
        <f t="shared" si="195"/>
        <v>81.156838619984143</v>
      </c>
      <c r="AM162" s="137">
        <f t="shared" si="195"/>
        <v>80.129536865300807</v>
      </c>
      <c r="AN162" s="137">
        <f t="shared" si="195"/>
        <v>79.102235110617457</v>
      </c>
      <c r="AO162" s="137">
        <f t="shared" si="195"/>
        <v>78.074933355934121</v>
      </c>
      <c r="AP162" s="137">
        <f t="shared" si="195"/>
        <v>77.047631601250771</v>
      </c>
      <c r="AQ162" s="137">
        <f t="shared" si="195"/>
        <v>76.020329846567435</v>
      </c>
      <c r="AR162" s="137">
        <f t="shared" si="195"/>
        <v>74.993028091884071</v>
      </c>
      <c r="AS162" s="137">
        <f t="shared" si="195"/>
        <v>73.965726337200735</v>
      </c>
      <c r="AT162" s="137">
        <f t="shared" si="195"/>
        <v>72.938424582517399</v>
      </c>
      <c r="AU162" s="137">
        <f t="shared" si="195"/>
        <v>71.911122827834049</v>
      </c>
      <c r="AV162" s="137">
        <f t="shared" si="195"/>
        <v>70.883821073150713</v>
      </c>
      <c r="AW162" s="137">
        <f t="shared" si="195"/>
        <v>69.856519318467349</v>
      </c>
      <c r="AX162" s="137">
        <f t="shared" si="195"/>
        <v>68.829217563784013</v>
      </c>
      <c r="AY162" s="137">
        <f t="shared" ref="AY162:BR167" si="196">AY$35*AY70/1000</f>
        <v>67.801915809100663</v>
      </c>
      <c r="AZ162" s="137">
        <f t="shared" si="196"/>
        <v>66.774614054417327</v>
      </c>
      <c r="BA162" s="137">
        <f t="shared" si="196"/>
        <v>65.747312299733977</v>
      </c>
      <c r="BB162" s="137">
        <f t="shared" si="196"/>
        <v>64.720010545050641</v>
      </c>
      <c r="BC162" s="137">
        <f t="shared" si="196"/>
        <v>63.692708790367284</v>
      </c>
      <c r="BD162" s="137">
        <f t="shared" si="196"/>
        <v>62.665407035683948</v>
      </c>
      <c r="BE162" s="137">
        <f t="shared" si="196"/>
        <v>61.638105281000605</v>
      </c>
      <c r="BF162" s="137">
        <f t="shared" si="196"/>
        <v>60.610803526317255</v>
      </c>
      <c r="BG162" s="137">
        <f t="shared" si="196"/>
        <v>59.583501771633912</v>
      </c>
      <c r="BH162" s="137">
        <f t="shared" si="196"/>
        <v>58.556200016950562</v>
      </c>
      <c r="BI162" s="137">
        <f t="shared" si="196"/>
        <v>57.528898262267219</v>
      </c>
      <c r="BJ162" s="137">
        <f t="shared" si="196"/>
        <v>56.501596507583884</v>
      </c>
      <c r="BK162" s="137">
        <f t="shared" si="196"/>
        <v>55.474294752900533</v>
      </c>
      <c r="BL162" s="137">
        <f t="shared" si="196"/>
        <v>54.446992998217191</v>
      </c>
      <c r="BM162" s="137">
        <f t="shared" si="196"/>
        <v>53.41969124353384</v>
      </c>
      <c r="BN162" s="137">
        <f t="shared" si="196"/>
        <v>52.392389488850498</v>
      </c>
      <c r="BO162" s="137">
        <f t="shared" si="196"/>
        <v>51.365087734167162</v>
      </c>
      <c r="BP162" s="137">
        <f t="shared" si="196"/>
        <v>50.337785979483805</v>
      </c>
      <c r="BQ162" s="137">
        <f t="shared" si="196"/>
        <v>49.310484224800462</v>
      </c>
      <c r="BR162" s="137">
        <f t="shared" si="196"/>
        <v>48.283182470117112</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9.2105530198909431</v>
      </c>
      <c r="V163" s="137">
        <f t="shared" si="195"/>
        <v>9.1146097592670792</v>
      </c>
      <c r="W163" s="137">
        <f t="shared" si="195"/>
        <v>9.018666498643217</v>
      </c>
      <c r="X163" s="137">
        <f t="shared" si="195"/>
        <v>8.9227232380193531</v>
      </c>
      <c r="Y163" s="137">
        <f t="shared" si="195"/>
        <v>8.8267799773954874</v>
      </c>
      <c r="Z163" s="137">
        <f t="shared" si="195"/>
        <v>8.7308367167716234</v>
      </c>
      <c r="AA163" s="137">
        <f t="shared" si="195"/>
        <v>8.6348934561477577</v>
      </c>
      <c r="AB163" s="137">
        <f t="shared" si="195"/>
        <v>8.5389501955238956</v>
      </c>
      <c r="AC163" s="137">
        <f t="shared" si="195"/>
        <v>8.4430069349000316</v>
      </c>
      <c r="AD163" s="137">
        <f t="shared" si="195"/>
        <v>8.3470636742761677</v>
      </c>
      <c r="AE163" s="137">
        <f t="shared" si="195"/>
        <v>8.2511204136523055</v>
      </c>
      <c r="AF163" s="137">
        <f t="shared" si="195"/>
        <v>8.155177153028438</v>
      </c>
      <c r="AG163" s="137">
        <f t="shared" si="195"/>
        <v>8.0592338924045759</v>
      </c>
      <c r="AH163" s="137">
        <f t="shared" si="195"/>
        <v>7.9632906317807102</v>
      </c>
      <c r="AI163" s="137">
        <f t="shared" si="195"/>
        <v>7.867347371156848</v>
      </c>
      <c r="AJ163" s="137">
        <f t="shared" si="195"/>
        <v>7.7714041105329832</v>
      </c>
      <c r="AK163" s="137">
        <f t="shared" si="195"/>
        <v>7.6754608499091193</v>
      </c>
      <c r="AL163" s="137">
        <f t="shared" si="195"/>
        <v>7.5795175892852544</v>
      </c>
      <c r="AM163" s="137">
        <f t="shared" si="195"/>
        <v>7.4835743286613905</v>
      </c>
      <c r="AN163" s="137">
        <f t="shared" si="195"/>
        <v>7.3876310680375266</v>
      </c>
      <c r="AO163" s="137">
        <f t="shared" si="195"/>
        <v>7.2916878074136617</v>
      </c>
      <c r="AP163" s="137">
        <f t="shared" si="195"/>
        <v>7.1957445467897978</v>
      </c>
      <c r="AQ163" s="137">
        <f t="shared" si="195"/>
        <v>7.0998012861659339</v>
      </c>
      <c r="AR163" s="137">
        <f t="shared" si="195"/>
        <v>7.003858025542069</v>
      </c>
      <c r="AS163" s="137">
        <f t="shared" si="195"/>
        <v>6.9079147649182051</v>
      </c>
      <c r="AT163" s="137">
        <f t="shared" si="195"/>
        <v>6.8119715042943429</v>
      </c>
      <c r="AU163" s="137">
        <f t="shared" si="195"/>
        <v>6.7160282436704772</v>
      </c>
      <c r="AV163" s="137">
        <f t="shared" si="195"/>
        <v>6.6200849830466142</v>
      </c>
      <c r="AW163" s="137">
        <f t="shared" si="195"/>
        <v>6.5241417224227494</v>
      </c>
      <c r="AX163" s="137">
        <f t="shared" si="195"/>
        <v>6.4281984617988854</v>
      </c>
      <c r="AY163" s="137">
        <f t="shared" si="196"/>
        <v>6.3322552011750215</v>
      </c>
      <c r="AZ163" s="137">
        <f t="shared" si="196"/>
        <v>6.2363119405511567</v>
      </c>
      <c r="BA163" s="137">
        <f t="shared" si="196"/>
        <v>6.1403686799272927</v>
      </c>
      <c r="BB163" s="137">
        <f t="shared" si="196"/>
        <v>6.0444254193034306</v>
      </c>
      <c r="BC163" s="137">
        <f t="shared" si="196"/>
        <v>5.948482158679564</v>
      </c>
      <c r="BD163" s="137">
        <f t="shared" si="196"/>
        <v>5.8525388980557018</v>
      </c>
      <c r="BE163" s="137">
        <f t="shared" si="196"/>
        <v>5.7565956374318379</v>
      </c>
      <c r="BF163" s="137">
        <f t="shared" si="196"/>
        <v>5.6606523768079731</v>
      </c>
      <c r="BG163" s="137">
        <f t="shared" si="196"/>
        <v>5.5647091161841091</v>
      </c>
      <c r="BH163" s="137">
        <f t="shared" si="196"/>
        <v>5.4687658555602434</v>
      </c>
      <c r="BI163" s="137">
        <f t="shared" si="196"/>
        <v>5.3728225949363804</v>
      </c>
      <c r="BJ163" s="137">
        <f t="shared" si="196"/>
        <v>5.2768793343125173</v>
      </c>
      <c r="BK163" s="137">
        <f t="shared" si="196"/>
        <v>5.1809360736886516</v>
      </c>
      <c r="BL163" s="137">
        <f t="shared" si="196"/>
        <v>5.0849928130647886</v>
      </c>
      <c r="BM163" s="137">
        <f t="shared" si="196"/>
        <v>4.9890495524409237</v>
      </c>
      <c r="BN163" s="137">
        <f t="shared" si="196"/>
        <v>4.8931062918170598</v>
      </c>
      <c r="BO163" s="137">
        <f t="shared" si="196"/>
        <v>4.7971630311931968</v>
      </c>
      <c r="BP163" s="137">
        <f t="shared" si="196"/>
        <v>4.7012197705693319</v>
      </c>
      <c r="BQ163" s="137">
        <f t="shared" si="196"/>
        <v>4.605276509945468</v>
      </c>
      <c r="BR163" s="137">
        <f t="shared" si="196"/>
        <v>4.5093332493216032</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6.883575640936388</v>
      </c>
      <c r="V164" s="137">
        <f t="shared" si="195"/>
        <v>6.811871728009967</v>
      </c>
      <c r="W164" s="137">
        <f t="shared" si="195"/>
        <v>6.7401678150835469</v>
      </c>
      <c r="X164" s="137">
        <f t="shared" si="195"/>
        <v>6.6684639021571268</v>
      </c>
      <c r="Y164" s="137">
        <f t="shared" si="195"/>
        <v>6.5967599892307041</v>
      </c>
      <c r="Z164" s="137">
        <f t="shared" si="195"/>
        <v>6.525056076304284</v>
      </c>
      <c r="AA164" s="137">
        <f t="shared" si="195"/>
        <v>6.453352163377863</v>
      </c>
      <c r="AB164" s="137">
        <f t="shared" si="195"/>
        <v>6.381648250451442</v>
      </c>
      <c r="AC164" s="137">
        <f t="shared" si="195"/>
        <v>6.3099443375250219</v>
      </c>
      <c r="AD164" s="137">
        <f t="shared" si="195"/>
        <v>6.238240424598601</v>
      </c>
      <c r="AE164" s="137">
        <f t="shared" si="195"/>
        <v>6.1665365116721818</v>
      </c>
      <c r="AF164" s="137">
        <f t="shared" si="195"/>
        <v>6.094832598745759</v>
      </c>
      <c r="AG164" s="137">
        <f t="shared" si="195"/>
        <v>6.0231286858193389</v>
      </c>
      <c r="AH164" s="137">
        <f t="shared" si="195"/>
        <v>5.9514247728929179</v>
      </c>
      <c r="AI164" s="137">
        <f t="shared" si="195"/>
        <v>5.879720859966497</v>
      </c>
      <c r="AJ164" s="137">
        <f t="shared" si="195"/>
        <v>5.8080169470400769</v>
      </c>
      <c r="AK164" s="137">
        <f t="shared" si="195"/>
        <v>5.7363130341136559</v>
      </c>
      <c r="AL164" s="137">
        <f t="shared" si="195"/>
        <v>5.6646091211872349</v>
      </c>
      <c r="AM164" s="137">
        <f t="shared" si="195"/>
        <v>5.5929052082608139</v>
      </c>
      <c r="AN164" s="137">
        <f t="shared" si="195"/>
        <v>5.5212012953343939</v>
      </c>
      <c r="AO164" s="137">
        <f t="shared" si="195"/>
        <v>5.4494973824079729</v>
      </c>
      <c r="AP164" s="137">
        <f t="shared" si="195"/>
        <v>5.377793469481551</v>
      </c>
      <c r="AQ164" s="137">
        <f t="shared" si="195"/>
        <v>5.3060895565551309</v>
      </c>
      <c r="AR164" s="137">
        <f t="shared" si="195"/>
        <v>5.2343856436287099</v>
      </c>
      <c r="AS164" s="137">
        <f t="shared" si="195"/>
        <v>5.162681730702289</v>
      </c>
      <c r="AT164" s="137">
        <f t="shared" si="195"/>
        <v>5.0909778177758689</v>
      </c>
      <c r="AU164" s="137">
        <f t="shared" si="195"/>
        <v>5.0192739048494479</v>
      </c>
      <c r="AV164" s="137">
        <f t="shared" si="195"/>
        <v>4.9475699919230269</v>
      </c>
      <c r="AW164" s="137">
        <f t="shared" si="195"/>
        <v>4.875866078996606</v>
      </c>
      <c r="AX164" s="137">
        <f t="shared" si="195"/>
        <v>4.8041621660701859</v>
      </c>
      <c r="AY164" s="137">
        <f t="shared" si="196"/>
        <v>4.7324582531437649</v>
      </c>
      <c r="AZ164" s="137">
        <f t="shared" si="196"/>
        <v>4.6607543402173439</v>
      </c>
      <c r="BA164" s="137">
        <f t="shared" si="196"/>
        <v>4.5890504272909229</v>
      </c>
      <c r="BB164" s="137">
        <f t="shared" si="196"/>
        <v>4.5173465143645037</v>
      </c>
      <c r="BC164" s="137">
        <f t="shared" si="196"/>
        <v>4.445642601438081</v>
      </c>
      <c r="BD164" s="137">
        <f t="shared" si="196"/>
        <v>4.3739386885116609</v>
      </c>
      <c r="BE164" s="137">
        <f t="shared" si="196"/>
        <v>4.3022347755852408</v>
      </c>
      <c r="BF164" s="137">
        <f t="shared" si="196"/>
        <v>4.2305308626588189</v>
      </c>
      <c r="BG164" s="137">
        <f t="shared" si="196"/>
        <v>4.1588269497323989</v>
      </c>
      <c r="BH164" s="137">
        <f t="shared" si="196"/>
        <v>4.087123036805977</v>
      </c>
      <c r="BI164" s="137">
        <f t="shared" si="196"/>
        <v>4.0154191238795569</v>
      </c>
      <c r="BJ164" s="137">
        <f t="shared" si="196"/>
        <v>3.9437152109531368</v>
      </c>
      <c r="BK164" s="137">
        <f t="shared" si="196"/>
        <v>3.8720112980267154</v>
      </c>
      <c r="BL164" s="137">
        <f t="shared" si="196"/>
        <v>3.8003073851002949</v>
      </c>
      <c r="BM164" s="137">
        <f t="shared" si="196"/>
        <v>3.7286034721738739</v>
      </c>
      <c r="BN164" s="137">
        <f t="shared" si="196"/>
        <v>3.6568995592474529</v>
      </c>
      <c r="BO164" s="137">
        <f t="shared" si="196"/>
        <v>3.5851956463210333</v>
      </c>
      <c r="BP164" s="137">
        <f t="shared" si="196"/>
        <v>3.5134917333946114</v>
      </c>
      <c r="BQ164" s="137">
        <f t="shared" si="196"/>
        <v>3.4417878204681909</v>
      </c>
      <c r="BR164" s="137">
        <f t="shared" si="196"/>
        <v>3.3700839075417699</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85.823014351069432</v>
      </c>
      <c r="V165" s="137">
        <f t="shared" si="195"/>
        <v>84.929024618245791</v>
      </c>
      <c r="W165" s="137">
        <f t="shared" si="195"/>
        <v>84.035034885422149</v>
      </c>
      <c r="X165" s="137">
        <f t="shared" si="195"/>
        <v>83.141045152598508</v>
      </c>
      <c r="Y165" s="137">
        <f t="shared" si="195"/>
        <v>82.247055419774853</v>
      </c>
      <c r="Z165" s="137">
        <f t="shared" si="195"/>
        <v>81.353065686951226</v>
      </c>
      <c r="AA165" s="137">
        <f t="shared" si="195"/>
        <v>80.45907595412757</v>
      </c>
      <c r="AB165" s="137">
        <f t="shared" si="195"/>
        <v>79.565086221303957</v>
      </c>
      <c r="AC165" s="137">
        <f t="shared" si="195"/>
        <v>78.671096488480316</v>
      </c>
      <c r="AD165" s="137">
        <f t="shared" si="195"/>
        <v>77.777106755656675</v>
      </c>
      <c r="AE165" s="137">
        <f t="shared" si="195"/>
        <v>76.883117022833034</v>
      </c>
      <c r="AF165" s="137">
        <f t="shared" si="195"/>
        <v>75.989127290009378</v>
      </c>
      <c r="AG165" s="137">
        <f t="shared" si="195"/>
        <v>75.095137557185751</v>
      </c>
      <c r="AH165" s="137">
        <f t="shared" si="195"/>
        <v>74.201147824362096</v>
      </c>
      <c r="AI165" s="137">
        <f t="shared" si="195"/>
        <v>73.307158091538469</v>
      </c>
      <c r="AJ165" s="137">
        <f t="shared" si="195"/>
        <v>72.413168358714827</v>
      </c>
      <c r="AK165" s="137">
        <f t="shared" si="195"/>
        <v>71.519178625891186</v>
      </c>
      <c r="AL165" s="137">
        <f t="shared" si="195"/>
        <v>70.625188893067545</v>
      </c>
      <c r="AM165" s="137">
        <f t="shared" si="195"/>
        <v>69.731199160243889</v>
      </c>
      <c r="AN165" s="137">
        <f t="shared" si="195"/>
        <v>68.837209427420248</v>
      </c>
      <c r="AO165" s="137">
        <f t="shared" si="195"/>
        <v>67.943219694596607</v>
      </c>
      <c r="AP165" s="137">
        <f t="shared" si="195"/>
        <v>67.04922996177298</v>
      </c>
      <c r="AQ165" s="137">
        <f t="shared" si="195"/>
        <v>66.155240228949339</v>
      </c>
      <c r="AR165" s="137">
        <f t="shared" si="195"/>
        <v>65.261250496125697</v>
      </c>
      <c r="AS165" s="137">
        <f t="shared" si="195"/>
        <v>64.367260763302056</v>
      </c>
      <c r="AT165" s="137">
        <f t="shared" si="195"/>
        <v>63.473271030478422</v>
      </c>
      <c r="AU165" s="137">
        <f t="shared" si="195"/>
        <v>62.579281297654767</v>
      </c>
      <c r="AV165" s="137">
        <f t="shared" si="195"/>
        <v>61.68529156483114</v>
      </c>
      <c r="AW165" s="137">
        <f t="shared" si="195"/>
        <v>60.791301832007491</v>
      </c>
      <c r="AX165" s="137">
        <f t="shared" si="195"/>
        <v>59.89731209918385</v>
      </c>
      <c r="AY165" s="137">
        <f t="shared" si="196"/>
        <v>59.003322366360209</v>
      </c>
      <c r="AZ165" s="137">
        <f t="shared" si="196"/>
        <v>58.109332633536567</v>
      </c>
      <c r="BA165" s="137">
        <f t="shared" si="196"/>
        <v>57.215342900712926</v>
      </c>
      <c r="BB165" s="137">
        <f t="shared" si="196"/>
        <v>56.321353167889299</v>
      </c>
      <c r="BC165" s="137">
        <f t="shared" si="196"/>
        <v>55.427363435065644</v>
      </c>
      <c r="BD165" s="137">
        <f t="shared" si="196"/>
        <v>54.53337370224201</v>
      </c>
      <c r="BE165" s="137">
        <f t="shared" si="196"/>
        <v>53.639383969418368</v>
      </c>
      <c r="BF165" s="137">
        <f t="shared" si="196"/>
        <v>52.745394236594727</v>
      </c>
      <c r="BG165" s="137">
        <f t="shared" si="196"/>
        <v>51.851404503771093</v>
      </c>
      <c r="BH165" s="137">
        <f t="shared" si="196"/>
        <v>50.957414770947445</v>
      </c>
      <c r="BI165" s="137">
        <f t="shared" si="196"/>
        <v>50.063425038123803</v>
      </c>
      <c r="BJ165" s="137">
        <f t="shared" si="196"/>
        <v>49.169435305300169</v>
      </c>
      <c r="BK165" s="137">
        <f t="shared" si="196"/>
        <v>48.275445572476521</v>
      </c>
      <c r="BL165" s="137">
        <f t="shared" si="196"/>
        <v>47.38145583965288</v>
      </c>
      <c r="BM165" s="137">
        <f t="shared" si="196"/>
        <v>46.487466106829231</v>
      </c>
      <c r="BN165" s="137">
        <f t="shared" si="196"/>
        <v>45.59347637400559</v>
      </c>
      <c r="BO165" s="137">
        <f t="shared" si="196"/>
        <v>44.69948664118197</v>
      </c>
      <c r="BP165" s="137">
        <f t="shared" si="196"/>
        <v>43.805496908358322</v>
      </c>
      <c r="BQ165" s="137">
        <f t="shared" si="196"/>
        <v>42.91150717553468</v>
      </c>
      <c r="BR165" s="137">
        <f t="shared" si="196"/>
        <v>42.017517442711032</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20.87766223959429</v>
      </c>
      <c r="V166" s="137">
        <f t="shared" si="195"/>
        <v>20.66018659126518</v>
      </c>
      <c r="W166" s="137">
        <f t="shared" si="195"/>
        <v>20.442710942936074</v>
      </c>
      <c r="X166" s="137">
        <f t="shared" si="195"/>
        <v>20.225235294606968</v>
      </c>
      <c r="Y166" s="137">
        <f t="shared" si="195"/>
        <v>20.007759646277862</v>
      </c>
      <c r="Z166" s="137">
        <f t="shared" si="195"/>
        <v>19.790283997948755</v>
      </c>
      <c r="AA166" s="137">
        <f t="shared" si="195"/>
        <v>19.572808349619645</v>
      </c>
      <c r="AB166" s="137">
        <f t="shared" si="195"/>
        <v>19.355332701290539</v>
      </c>
      <c r="AC166" s="137">
        <f t="shared" si="195"/>
        <v>19.137857052961429</v>
      </c>
      <c r="AD166" s="137">
        <f t="shared" si="195"/>
        <v>18.920381404632323</v>
      </c>
      <c r="AE166" s="137">
        <f t="shared" si="195"/>
        <v>18.702905756303217</v>
      </c>
      <c r="AF166" s="137">
        <f t="shared" si="195"/>
        <v>18.485430107974111</v>
      </c>
      <c r="AG166" s="137">
        <f t="shared" si="195"/>
        <v>18.267954459645004</v>
      </c>
      <c r="AH166" s="137">
        <f t="shared" si="195"/>
        <v>18.050478811315894</v>
      </c>
      <c r="AI166" s="137">
        <f t="shared" si="195"/>
        <v>17.833003162986788</v>
      </c>
      <c r="AJ166" s="137">
        <f t="shared" si="195"/>
        <v>17.615527514657678</v>
      </c>
      <c r="AK166" s="137">
        <f t="shared" si="195"/>
        <v>17.398051866328572</v>
      </c>
      <c r="AL166" s="137">
        <f t="shared" si="195"/>
        <v>17.180576217999462</v>
      </c>
      <c r="AM166" s="137">
        <f t="shared" si="195"/>
        <v>16.963100569670356</v>
      </c>
      <c r="AN166" s="137">
        <f t="shared" si="195"/>
        <v>16.74562492134125</v>
      </c>
      <c r="AO166" s="137">
        <f t="shared" si="195"/>
        <v>16.528149273012144</v>
      </c>
      <c r="AP166" s="137">
        <f t="shared" si="195"/>
        <v>16.310673624683034</v>
      </c>
      <c r="AQ166" s="137">
        <f t="shared" si="195"/>
        <v>16.093197976353927</v>
      </c>
      <c r="AR166" s="137">
        <f t="shared" si="195"/>
        <v>15.875722328024818</v>
      </c>
      <c r="AS166" s="137">
        <f t="shared" si="195"/>
        <v>15.658246679695711</v>
      </c>
      <c r="AT166" s="137">
        <f t="shared" si="195"/>
        <v>15.440771031366607</v>
      </c>
      <c r="AU166" s="137">
        <f t="shared" si="195"/>
        <v>15.223295383037495</v>
      </c>
      <c r="AV166" s="137">
        <f t="shared" si="195"/>
        <v>15.005819734708391</v>
      </c>
      <c r="AW166" s="137">
        <f t="shared" si="195"/>
        <v>14.788344086379285</v>
      </c>
      <c r="AX166" s="137">
        <f t="shared" si="195"/>
        <v>14.570868438050177</v>
      </c>
      <c r="AY166" s="137">
        <f t="shared" si="196"/>
        <v>14.353392789721068</v>
      </c>
      <c r="AZ166" s="137">
        <f t="shared" si="196"/>
        <v>14.13591714139196</v>
      </c>
      <c r="BA166" s="137">
        <f t="shared" si="196"/>
        <v>13.918441493062854</v>
      </c>
      <c r="BB166" s="137">
        <f t="shared" si="196"/>
        <v>13.700965844733748</v>
      </c>
      <c r="BC166" s="137">
        <f t="shared" si="196"/>
        <v>13.483490196404638</v>
      </c>
      <c r="BD166" s="137">
        <f t="shared" si="196"/>
        <v>13.266014548075534</v>
      </c>
      <c r="BE166" s="137">
        <f t="shared" si="196"/>
        <v>13.048538899746426</v>
      </c>
      <c r="BF166" s="137">
        <f t="shared" si="196"/>
        <v>12.831063251417318</v>
      </c>
      <c r="BG166" s="137">
        <f t="shared" si="196"/>
        <v>12.613587603088209</v>
      </c>
      <c r="BH166" s="137">
        <f t="shared" si="196"/>
        <v>12.396111954759101</v>
      </c>
      <c r="BI166" s="137">
        <f t="shared" si="196"/>
        <v>12.178636306429995</v>
      </c>
      <c r="BJ166" s="137">
        <f t="shared" si="196"/>
        <v>11.961160658100889</v>
      </c>
      <c r="BK166" s="137">
        <f t="shared" si="196"/>
        <v>11.743685009771779</v>
      </c>
      <c r="BL166" s="137">
        <f t="shared" si="196"/>
        <v>11.526209361442675</v>
      </c>
      <c r="BM166" s="137">
        <f t="shared" si="196"/>
        <v>11.308733713113565</v>
      </c>
      <c r="BN166" s="137">
        <f t="shared" si="196"/>
        <v>11.091258064784457</v>
      </c>
      <c r="BO166" s="137">
        <f t="shared" si="196"/>
        <v>10.87378241645535</v>
      </c>
      <c r="BP166" s="137">
        <f t="shared" si="196"/>
        <v>10.656306768126242</v>
      </c>
      <c r="BQ166" s="137">
        <f t="shared" si="196"/>
        <v>10.438831119797136</v>
      </c>
      <c r="BR166" s="137">
        <f t="shared" si="196"/>
        <v>10.221355471468026</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11.053158765875942</v>
      </c>
      <c r="V167" s="137">
        <f t="shared" si="195"/>
        <v>10.938021695398067</v>
      </c>
      <c r="W167" s="137">
        <f t="shared" si="195"/>
        <v>10.822884624920194</v>
      </c>
      <c r="X167" s="137">
        <f t="shared" si="195"/>
        <v>10.707747554442319</v>
      </c>
      <c r="Y167" s="137">
        <f t="shared" si="195"/>
        <v>10.592610483964442</v>
      </c>
      <c r="Z167" s="137">
        <f t="shared" si="195"/>
        <v>10.477473413486571</v>
      </c>
      <c r="AA167" s="137">
        <f t="shared" si="195"/>
        <v>10.362336343008694</v>
      </c>
      <c r="AB167" s="137">
        <f t="shared" si="195"/>
        <v>10.247199272530821</v>
      </c>
      <c r="AC167" s="137">
        <f t="shared" si="195"/>
        <v>10.132062202052946</v>
      </c>
      <c r="AD167" s="137">
        <f t="shared" si="195"/>
        <v>10.016925131575071</v>
      </c>
      <c r="AE167" s="137">
        <f t="shared" si="195"/>
        <v>9.9017880610971982</v>
      </c>
      <c r="AF167" s="137">
        <f t="shared" si="195"/>
        <v>9.7866509906193215</v>
      </c>
      <c r="AG167" s="137">
        <f t="shared" si="195"/>
        <v>9.6715139201414502</v>
      </c>
      <c r="AH167" s="137">
        <f t="shared" si="195"/>
        <v>9.5563768496635735</v>
      </c>
      <c r="AI167" s="137">
        <f t="shared" si="195"/>
        <v>9.4412397791857003</v>
      </c>
      <c r="AJ167" s="137">
        <f t="shared" si="195"/>
        <v>9.3261027087078254</v>
      </c>
      <c r="AK167" s="137">
        <f t="shared" si="195"/>
        <v>9.2109656382299505</v>
      </c>
      <c r="AL167" s="137">
        <f t="shared" si="195"/>
        <v>9.0958285677520756</v>
      </c>
      <c r="AM167" s="137">
        <f t="shared" si="195"/>
        <v>8.9806914972742007</v>
      </c>
      <c r="AN167" s="137">
        <f t="shared" si="195"/>
        <v>8.8655544267963275</v>
      </c>
      <c r="AO167" s="137">
        <f t="shared" si="195"/>
        <v>8.7504173563184526</v>
      </c>
      <c r="AP167" s="137">
        <f t="shared" si="195"/>
        <v>8.6352802858405777</v>
      </c>
      <c r="AQ167" s="137">
        <f t="shared" si="195"/>
        <v>8.5201432153627028</v>
      </c>
      <c r="AR167" s="137">
        <f t="shared" si="195"/>
        <v>8.4050061448848279</v>
      </c>
      <c r="AS167" s="137">
        <f t="shared" si="195"/>
        <v>8.289869074406953</v>
      </c>
      <c r="AT167" s="137">
        <f t="shared" si="195"/>
        <v>8.1747320039290798</v>
      </c>
      <c r="AU167" s="137">
        <f t="shared" si="195"/>
        <v>8.0595949334512049</v>
      </c>
      <c r="AV167" s="137">
        <f t="shared" si="195"/>
        <v>7.9444578629733309</v>
      </c>
      <c r="AW167" s="137">
        <f t="shared" si="195"/>
        <v>7.829320792495456</v>
      </c>
      <c r="AX167" s="137">
        <f t="shared" si="195"/>
        <v>7.7141837220175811</v>
      </c>
      <c r="AY167" s="137">
        <f t="shared" si="196"/>
        <v>7.5990466515397062</v>
      </c>
      <c r="AZ167" s="137">
        <f t="shared" si="196"/>
        <v>7.4839095810618321</v>
      </c>
      <c r="BA167" s="137">
        <f t="shared" si="196"/>
        <v>7.3687725105839572</v>
      </c>
      <c r="BB167" s="137">
        <f t="shared" si="196"/>
        <v>7.2536354401060841</v>
      </c>
      <c r="BC167" s="137">
        <f t="shared" si="196"/>
        <v>7.1384983696282092</v>
      </c>
      <c r="BD167" s="137">
        <f t="shared" si="196"/>
        <v>7.0233612991503351</v>
      </c>
      <c r="BE167" s="137">
        <f t="shared" si="196"/>
        <v>6.9082242286724602</v>
      </c>
      <c r="BF167" s="137">
        <f t="shared" si="196"/>
        <v>6.7930871581945862</v>
      </c>
      <c r="BG167" s="137">
        <f t="shared" si="196"/>
        <v>6.6779500877167113</v>
      </c>
      <c r="BH167" s="137">
        <f t="shared" si="196"/>
        <v>6.5628130172388355</v>
      </c>
      <c r="BI167" s="137">
        <f t="shared" si="196"/>
        <v>6.4476759467609615</v>
      </c>
      <c r="BJ167" s="137">
        <f t="shared" si="196"/>
        <v>6.3325388762830883</v>
      </c>
      <c r="BK167" s="137">
        <f t="shared" si="196"/>
        <v>6.2174018058052125</v>
      </c>
      <c r="BL167" s="137">
        <f t="shared" si="196"/>
        <v>6.1022647353273385</v>
      </c>
      <c r="BM167" s="137">
        <f t="shared" si="196"/>
        <v>5.9871276648494636</v>
      </c>
      <c r="BN167" s="137">
        <f t="shared" si="196"/>
        <v>5.8719905943715887</v>
      </c>
      <c r="BO167" s="137">
        <f t="shared" si="196"/>
        <v>5.7568535238937155</v>
      </c>
      <c r="BP167" s="137">
        <f t="shared" si="196"/>
        <v>5.6417164534158397</v>
      </c>
      <c r="BQ167" s="137">
        <f t="shared" si="196"/>
        <v>5.5265793829379666</v>
      </c>
      <c r="BR167" s="137">
        <f t="shared" si="196"/>
        <v>5.4114423124600908</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15.512801751416065</v>
      </c>
      <c r="V170" s="137">
        <f t="shared" si="199"/>
        <v>15.35121006650548</v>
      </c>
      <c r="W170" s="137">
        <f t="shared" si="199"/>
        <v>15.189618381594899</v>
      </c>
      <c r="X170" s="137">
        <f t="shared" si="199"/>
        <v>15.028026696684314</v>
      </c>
      <c r="Y170" s="137">
        <f t="shared" si="199"/>
        <v>14.866435011773726</v>
      </c>
      <c r="Z170" s="137">
        <f t="shared" si="199"/>
        <v>14.704843326863145</v>
      </c>
      <c r="AA170" s="137">
        <f t="shared" si="199"/>
        <v>14.543251641952558</v>
      </c>
      <c r="AB170" s="137">
        <f t="shared" si="199"/>
        <v>14.381659957041977</v>
      </c>
      <c r="AC170" s="137">
        <f t="shared" si="199"/>
        <v>14.220068272131391</v>
      </c>
      <c r="AD170" s="137">
        <f t="shared" si="199"/>
        <v>14.058476587220808</v>
      </c>
      <c r="AE170" s="137">
        <f t="shared" si="199"/>
        <v>13.896884902310225</v>
      </c>
      <c r="AF170" s="137">
        <f t="shared" si="199"/>
        <v>13.73529321739964</v>
      </c>
      <c r="AG170" s="137">
        <f t="shared" si="199"/>
        <v>13.573701532489057</v>
      </c>
      <c r="AH170" s="137">
        <f t="shared" si="199"/>
        <v>13.412109847578471</v>
      </c>
      <c r="AI170" s="137">
        <f t="shared" si="199"/>
        <v>13.250518162667888</v>
      </c>
      <c r="AJ170" s="137">
        <f t="shared" si="199"/>
        <v>13.088926477757305</v>
      </c>
      <c r="AK170" s="137">
        <f t="shared" si="199"/>
        <v>12.92733479284672</v>
      </c>
      <c r="AL170" s="137">
        <f t="shared" si="199"/>
        <v>12.765743107936135</v>
      </c>
      <c r="AM170" s="137">
        <f t="shared" si="199"/>
        <v>12.60415142302555</v>
      </c>
      <c r="AN170" s="137">
        <f t="shared" si="199"/>
        <v>12.442559738114966</v>
      </c>
      <c r="AO170" s="137">
        <f t="shared" si="199"/>
        <v>12.280968053204383</v>
      </c>
      <c r="AP170" s="137">
        <f t="shared" si="199"/>
        <v>12.119376368293796</v>
      </c>
      <c r="AQ170" s="137">
        <f t="shared" si="199"/>
        <v>11.957784683383213</v>
      </c>
      <c r="AR170" s="137">
        <f t="shared" si="199"/>
        <v>11.796192998472629</v>
      </c>
      <c r="AS170" s="137">
        <f t="shared" si="199"/>
        <v>11.634601313562046</v>
      </c>
      <c r="AT170" s="137">
        <f t="shared" si="199"/>
        <v>11.473009628651461</v>
      </c>
      <c r="AU170" s="137">
        <f t="shared" si="199"/>
        <v>11.311417943740876</v>
      </c>
      <c r="AV170" s="137">
        <f t="shared" si="199"/>
        <v>11.149826258830293</v>
      </c>
      <c r="AW170" s="137">
        <f t="shared" si="199"/>
        <v>10.98823457391971</v>
      </c>
      <c r="AX170" s="137">
        <f t="shared" si="199"/>
        <v>10.826642889009126</v>
      </c>
      <c r="AY170" s="137">
        <f t="shared" ref="AY170:BR170" si="201">AY$35*AY78/1000</f>
        <v>10.665051204098541</v>
      </c>
      <c r="AZ170" s="137">
        <f t="shared" si="201"/>
        <v>10.503459519187956</v>
      </c>
      <c r="BA170" s="137">
        <f t="shared" si="201"/>
        <v>10.341867834277371</v>
      </c>
      <c r="BB170" s="137">
        <f t="shared" si="201"/>
        <v>10.18027614936679</v>
      </c>
      <c r="BC170" s="137">
        <f t="shared" si="201"/>
        <v>10.018684464456202</v>
      </c>
      <c r="BD170" s="137">
        <f t="shared" si="201"/>
        <v>9.8570927795456207</v>
      </c>
      <c r="BE170" s="137">
        <f t="shared" si="201"/>
        <v>9.695501094635036</v>
      </c>
      <c r="BF170" s="137">
        <f t="shared" si="201"/>
        <v>9.533909409724453</v>
      </c>
      <c r="BG170" s="137">
        <f t="shared" si="201"/>
        <v>9.3723177248138665</v>
      </c>
      <c r="BH170" s="137">
        <f t="shared" si="201"/>
        <v>9.2107260399032818</v>
      </c>
      <c r="BI170" s="137">
        <f t="shared" si="201"/>
        <v>9.0491343549926988</v>
      </c>
      <c r="BJ170" s="137">
        <f t="shared" si="201"/>
        <v>8.8875426700821158</v>
      </c>
      <c r="BK170" s="137">
        <f t="shared" si="201"/>
        <v>8.7259509851715293</v>
      </c>
      <c r="BL170" s="137">
        <f t="shared" si="201"/>
        <v>8.5643593002609464</v>
      </c>
      <c r="BM170" s="137">
        <f t="shared" si="201"/>
        <v>8.4027676153503617</v>
      </c>
      <c r="BN170" s="137">
        <f t="shared" si="201"/>
        <v>8.2411759304397769</v>
      </c>
      <c r="BO170" s="137">
        <f t="shared" si="201"/>
        <v>8.0795842455291957</v>
      </c>
      <c r="BP170" s="137">
        <f t="shared" si="201"/>
        <v>7.9179925606186101</v>
      </c>
      <c r="BQ170" s="137">
        <f t="shared" si="201"/>
        <v>7.7564008757080263</v>
      </c>
      <c r="BR170" s="137">
        <f t="shared" si="201"/>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467</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468</v>
      </c>
      <c r="C185" s="68"/>
      <c r="D185" s="68"/>
      <c r="E185" s="68"/>
      <c r="F185" s="68"/>
      <c r="G185" s="68"/>
      <c r="H185" s="68"/>
      <c r="I185" s="135" t="s">
        <v>217</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1.7663141176431716</v>
      </c>
      <c r="S186" s="137">
        <f t="shared" si="210"/>
        <v>3.4029475996970713</v>
      </c>
      <c r="T186" s="137">
        <f t="shared" si="210"/>
        <v>4.4302493543804173</v>
      </c>
      <c r="U186" s="137">
        <f t="shared" si="210"/>
        <v>7.8096695115239028</v>
      </c>
      <c r="V186" s="137">
        <f t="shared" si="210"/>
        <v>9.7380730180887642</v>
      </c>
      <c r="W186" s="137">
        <f t="shared" si="210"/>
        <v>10.860509619133577</v>
      </c>
      <c r="X186" s="137">
        <f>INDEX(X$49:X$52,MATCH($I$185,$B$49:$B$52,0),1)*INDEX(X$81:X$89,MATCH($B186,$B$81:$B$89,0))*INDEX(X$116:X$124,MATCH($B186,$B$116:$B$124,0))/1000</f>
        <v>12.36390722550196</v>
      </c>
      <c r="Y186" s="137">
        <f t="shared" si="210"/>
        <v>13.917235381760324</v>
      </c>
      <c r="Z186" s="137">
        <f t="shared" si="210"/>
        <v>15.617289035028104</v>
      </c>
      <c r="AA186" s="137">
        <f t="shared" si="210"/>
        <v>17.418220519680553</v>
      </c>
      <c r="AB186" s="137">
        <f t="shared" ref="AB186:AQ194" si="211">INDEX(AB$49:AB$52,MATCH($I$185,$B$49:$B$52,0),1)*INDEX(AB$81:AB$89,MATCH($B186,$B$81:$B$89,0))*INDEX(AB$116:AB$124,MATCH($B186,$B$116:$B$124,0))/1000</f>
        <v>19.32202716912996</v>
      </c>
      <c r="AC186" s="137">
        <f t="shared" si="211"/>
        <v>21.430715623327153</v>
      </c>
      <c r="AD186" s="137">
        <f t="shared" si="211"/>
        <v>23.757462408106875</v>
      </c>
      <c r="AE186" s="137">
        <f t="shared" si="211"/>
        <v>23.757462408106875</v>
      </c>
      <c r="AF186" s="137">
        <f t="shared" si="211"/>
        <v>23.757462408106875</v>
      </c>
      <c r="AG186" s="137">
        <f t="shared" si="211"/>
        <v>23.757462408106875</v>
      </c>
      <c r="AH186" s="137">
        <f t="shared" si="211"/>
        <v>23.757462408106875</v>
      </c>
      <c r="AI186" s="137">
        <f t="shared" si="211"/>
        <v>23.757462408106875</v>
      </c>
      <c r="AJ186" s="137">
        <f t="shared" si="211"/>
        <v>23.757462408106875</v>
      </c>
      <c r="AK186" s="137">
        <f t="shared" si="211"/>
        <v>23.757462408106875</v>
      </c>
      <c r="AL186" s="137">
        <f t="shared" si="211"/>
        <v>23.757462408106875</v>
      </c>
      <c r="AM186" s="137">
        <f t="shared" si="211"/>
        <v>23.757462408106875</v>
      </c>
      <c r="AN186" s="137">
        <f t="shared" si="211"/>
        <v>23.757462408106875</v>
      </c>
      <c r="AO186" s="137">
        <f t="shared" si="211"/>
        <v>23.757462408106875</v>
      </c>
      <c r="AP186" s="137">
        <f t="shared" si="211"/>
        <v>23.757462408106875</v>
      </c>
      <c r="AQ186" s="137">
        <f t="shared" si="211"/>
        <v>23.757462408106875</v>
      </c>
      <c r="AR186" s="137">
        <f t="shared" ref="AP186:BE194" si="212">INDEX(AR$49:AR$52,MATCH($I$185,$B$49:$B$52,0),1)*INDEX(AR$81:AR$89,MATCH($B186,$B$81:$B$89,0))*INDEX(AR$116:AR$124,MATCH($B186,$B$116:$B$124,0))/1000</f>
        <v>23.757462408106875</v>
      </c>
      <c r="AS186" s="137">
        <f t="shared" si="212"/>
        <v>23.757462408106875</v>
      </c>
      <c r="AT186" s="137">
        <f t="shared" si="212"/>
        <v>23.757462408106875</v>
      </c>
      <c r="AU186" s="137">
        <f t="shared" si="212"/>
        <v>23.757462408106875</v>
      </c>
      <c r="AV186" s="137">
        <f t="shared" si="212"/>
        <v>23.757462408106875</v>
      </c>
      <c r="AW186" s="137">
        <f t="shared" si="212"/>
        <v>23.757462408106875</v>
      </c>
      <c r="AX186" s="137">
        <f t="shared" si="212"/>
        <v>23.757462408106875</v>
      </c>
      <c r="AY186" s="137">
        <f t="shared" si="212"/>
        <v>23.757462408106875</v>
      </c>
      <c r="AZ186" s="137">
        <f t="shared" si="212"/>
        <v>23.757462408106875</v>
      </c>
      <c r="BA186" s="137">
        <f t="shared" si="212"/>
        <v>23.757462408106875</v>
      </c>
      <c r="BB186" s="137">
        <f t="shared" si="212"/>
        <v>23.757462408106875</v>
      </c>
      <c r="BC186" s="137">
        <f t="shared" si="212"/>
        <v>23.757462408106875</v>
      </c>
      <c r="BD186" s="137">
        <f t="shared" si="212"/>
        <v>23.757462408106875</v>
      </c>
      <c r="BE186" s="137">
        <f t="shared" si="212"/>
        <v>23.757462408106875</v>
      </c>
      <c r="BF186" s="137">
        <f t="shared" ref="AY186:BR192" si="213">INDEX(BF$49:BF$52,MATCH($I$185,$B$49:$B$52,0),1)*INDEX(BF$81:BF$89,MATCH($B186,$B$81:$B$89,0))*INDEX(BF$116:BF$124,MATCH($B186,$B$116:$B$124,0))/1000</f>
        <v>23.757462408106875</v>
      </c>
      <c r="BG186" s="137">
        <f t="shared" si="213"/>
        <v>23.757462408106875</v>
      </c>
      <c r="BH186" s="137">
        <f t="shared" si="213"/>
        <v>23.757462408106875</v>
      </c>
      <c r="BI186" s="137">
        <f t="shared" si="213"/>
        <v>23.757462408106875</v>
      </c>
      <c r="BJ186" s="137">
        <f t="shared" si="213"/>
        <v>23.757462408106875</v>
      </c>
      <c r="BK186" s="137">
        <f t="shared" si="213"/>
        <v>23.757462408106875</v>
      </c>
      <c r="BL186" s="137">
        <f t="shared" si="213"/>
        <v>23.757462408106875</v>
      </c>
      <c r="BM186" s="137">
        <f t="shared" si="213"/>
        <v>23.757462408106875</v>
      </c>
      <c r="BN186" s="137">
        <f t="shared" si="213"/>
        <v>23.757462408106875</v>
      </c>
      <c r="BO186" s="137">
        <f t="shared" si="213"/>
        <v>23.757462408106875</v>
      </c>
      <c r="BP186" s="137">
        <f t="shared" si="213"/>
        <v>23.757462408106875</v>
      </c>
      <c r="BQ186" s="137">
        <f t="shared" si="213"/>
        <v>23.757462408106875</v>
      </c>
      <c r="BR186" s="137">
        <f t="shared" si="213"/>
        <v>23.757462408106875</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0.16496217879515399</v>
      </c>
      <c r="S187" s="137">
        <f t="shared" si="210"/>
        <v>0.31781303493220059</v>
      </c>
      <c r="T187" s="137">
        <f t="shared" si="210"/>
        <v>0.4137562955560648</v>
      </c>
      <c r="U187" s="137">
        <f t="shared" si="210"/>
        <v>0.7293720213311059</v>
      </c>
      <c r="V187" s="137">
        <f t="shared" si="210"/>
        <v>0.90947228824377724</v>
      </c>
      <c r="W187" s="137">
        <f t="shared" si="210"/>
        <v>1.0143005208997224</v>
      </c>
      <c r="X187" s="137">
        <f t="shared" si="210"/>
        <v>1.1547080182212432</v>
      </c>
      <c r="Y187" s="137">
        <f t="shared" si="210"/>
        <v>1.2997787021277649</v>
      </c>
      <c r="Z187" s="137">
        <f t="shared" si="210"/>
        <v>1.4585525871974923</v>
      </c>
      <c r="AA187" s="137">
        <f t="shared" si="210"/>
        <v>1.626747801515015</v>
      </c>
      <c r="AB187" s="137">
        <f t="shared" si="211"/>
        <v>1.8045508829493231</v>
      </c>
      <c r="AC187" s="137">
        <f t="shared" si="211"/>
        <v>2.0014885840807062</v>
      </c>
      <c r="AD187" s="137">
        <f t="shared" si="211"/>
        <v>2.2187915061872387</v>
      </c>
      <c r="AE187" s="137">
        <f t="shared" si="211"/>
        <v>2.2187915061872387</v>
      </c>
      <c r="AF187" s="137">
        <f t="shared" si="211"/>
        <v>2.2187915061872387</v>
      </c>
      <c r="AG187" s="137">
        <f t="shared" si="211"/>
        <v>2.2187915061872387</v>
      </c>
      <c r="AH187" s="137">
        <f t="shared" si="211"/>
        <v>2.2187915061872387</v>
      </c>
      <c r="AI187" s="137">
        <f t="shared" si="211"/>
        <v>2.2187915061872387</v>
      </c>
      <c r="AJ187" s="137">
        <f t="shared" si="211"/>
        <v>2.2187915061872387</v>
      </c>
      <c r="AK187" s="137">
        <f t="shared" si="211"/>
        <v>2.2187915061872387</v>
      </c>
      <c r="AL187" s="137">
        <f t="shared" si="211"/>
        <v>2.2187915061872387</v>
      </c>
      <c r="AM187" s="137">
        <f t="shared" si="211"/>
        <v>2.2187915061872387</v>
      </c>
      <c r="AN187" s="137">
        <f t="shared" si="211"/>
        <v>2.2187915061872387</v>
      </c>
      <c r="AO187" s="137">
        <f t="shared" si="211"/>
        <v>2.2187915061872387</v>
      </c>
      <c r="AP187" s="137">
        <f t="shared" si="212"/>
        <v>2.2187915061872387</v>
      </c>
      <c r="AQ187" s="137">
        <f t="shared" si="212"/>
        <v>2.2187915061872387</v>
      </c>
      <c r="AR187" s="137">
        <f t="shared" si="212"/>
        <v>2.2187915061872387</v>
      </c>
      <c r="AS187" s="137">
        <f t="shared" si="212"/>
        <v>2.2187915061872387</v>
      </c>
      <c r="AT187" s="137">
        <f t="shared" si="212"/>
        <v>2.2187915061872387</v>
      </c>
      <c r="AU187" s="137">
        <f t="shared" si="212"/>
        <v>2.2187915061872387</v>
      </c>
      <c r="AV187" s="137">
        <f t="shared" si="212"/>
        <v>2.2187915061872387</v>
      </c>
      <c r="AW187" s="137">
        <f t="shared" si="212"/>
        <v>2.2187915061872387</v>
      </c>
      <c r="AX187" s="137">
        <f t="shared" si="212"/>
        <v>2.2187915061872387</v>
      </c>
      <c r="AY187" s="137">
        <f t="shared" si="213"/>
        <v>2.2187915061872387</v>
      </c>
      <c r="AZ187" s="137">
        <f t="shared" si="213"/>
        <v>2.2187915061872387</v>
      </c>
      <c r="BA187" s="137">
        <f t="shared" si="213"/>
        <v>2.2187915061872387</v>
      </c>
      <c r="BB187" s="137">
        <f t="shared" si="213"/>
        <v>2.2187915061872387</v>
      </c>
      <c r="BC187" s="137">
        <f t="shared" si="213"/>
        <v>2.2187915061872387</v>
      </c>
      <c r="BD187" s="137">
        <f t="shared" si="213"/>
        <v>2.2187915061872387</v>
      </c>
      <c r="BE187" s="137">
        <f t="shared" si="213"/>
        <v>2.2187915061872387</v>
      </c>
      <c r="BF187" s="137">
        <f t="shared" si="213"/>
        <v>2.2187915061872387</v>
      </c>
      <c r="BG187" s="137">
        <f t="shared" si="213"/>
        <v>2.2187915061872387</v>
      </c>
      <c r="BH187" s="137">
        <f t="shared" si="213"/>
        <v>2.2187915061872387</v>
      </c>
      <c r="BI187" s="137">
        <f t="shared" si="213"/>
        <v>2.2187915061872387</v>
      </c>
      <c r="BJ187" s="137">
        <f t="shared" si="213"/>
        <v>2.2187915061872387</v>
      </c>
      <c r="BK187" s="137">
        <f t="shared" si="213"/>
        <v>2.2187915061872387</v>
      </c>
      <c r="BL187" s="137">
        <f t="shared" si="213"/>
        <v>2.2187915061872387</v>
      </c>
      <c r="BM187" s="137">
        <f t="shared" si="213"/>
        <v>2.2187915061872387</v>
      </c>
      <c r="BN187" s="137">
        <f t="shared" si="213"/>
        <v>2.2187915061872387</v>
      </c>
      <c r="BO187" s="137">
        <f t="shared" si="213"/>
        <v>2.2187915061872387</v>
      </c>
      <c r="BP187" s="137">
        <f t="shared" si="213"/>
        <v>2.2187915061872387</v>
      </c>
      <c r="BQ187" s="137">
        <f t="shared" si="213"/>
        <v>2.2187915061872387</v>
      </c>
      <c r="BR187" s="137">
        <f t="shared" si="213"/>
        <v>2.2187915061872387</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0.12328571728297376</v>
      </c>
      <c r="S188" s="137">
        <f t="shared" si="210"/>
        <v>0.23751994705495594</v>
      </c>
      <c r="T188" s="137">
        <f t="shared" si="210"/>
        <v>0.3092238599813768</v>
      </c>
      <c r="U188" s="137">
        <f t="shared" si="210"/>
        <v>0.54510163161460012</v>
      </c>
      <c r="V188" s="137">
        <f t="shared" si="210"/>
        <v>0.67970091219730777</v>
      </c>
      <c r="W188" s="137">
        <f t="shared" si="210"/>
        <v>0.75804507537996768</v>
      </c>
      <c r="X188" s="137">
        <f t="shared" si="210"/>
        <v>0.86297966793700664</v>
      </c>
      <c r="Y188" s="137">
        <f t="shared" si="210"/>
        <v>0.97139932784193805</v>
      </c>
      <c r="Z188" s="137">
        <f t="shared" si="210"/>
        <v>1.0900601775566656</v>
      </c>
      <c r="AA188" s="137">
        <f t="shared" si="210"/>
        <v>1.2157621281016378</v>
      </c>
      <c r="AB188" s="137">
        <f t="shared" si="211"/>
        <v>1.3486445899474655</v>
      </c>
      <c r="AC188" s="137">
        <f t="shared" si="211"/>
        <v>1.495827452839888</v>
      </c>
      <c r="AD188" s="137">
        <f t="shared" si="211"/>
        <v>1.6582304158418353</v>
      </c>
      <c r="AE188" s="137">
        <f t="shared" si="211"/>
        <v>1.6582304158418353</v>
      </c>
      <c r="AF188" s="137">
        <f t="shared" si="211"/>
        <v>1.6582304158418353</v>
      </c>
      <c r="AG188" s="137">
        <f t="shared" si="211"/>
        <v>1.6582304158418353</v>
      </c>
      <c r="AH188" s="137">
        <f t="shared" si="211"/>
        <v>1.6582304158418353</v>
      </c>
      <c r="AI188" s="137">
        <f t="shared" si="211"/>
        <v>1.6582304158418353</v>
      </c>
      <c r="AJ188" s="137">
        <f t="shared" si="211"/>
        <v>1.6582304158418353</v>
      </c>
      <c r="AK188" s="137">
        <f t="shared" si="211"/>
        <v>1.6582304158418353</v>
      </c>
      <c r="AL188" s="137">
        <f t="shared" si="211"/>
        <v>1.6582304158418353</v>
      </c>
      <c r="AM188" s="137">
        <f t="shared" si="211"/>
        <v>1.6582304158418353</v>
      </c>
      <c r="AN188" s="137">
        <f t="shared" si="211"/>
        <v>1.6582304158418353</v>
      </c>
      <c r="AO188" s="137">
        <f t="shared" si="211"/>
        <v>1.6582304158418353</v>
      </c>
      <c r="AP188" s="137">
        <f t="shared" si="212"/>
        <v>1.6582304158418353</v>
      </c>
      <c r="AQ188" s="137">
        <f t="shared" si="212"/>
        <v>1.6582304158418353</v>
      </c>
      <c r="AR188" s="137">
        <f t="shared" si="212"/>
        <v>1.6582304158418353</v>
      </c>
      <c r="AS188" s="137">
        <f t="shared" si="212"/>
        <v>1.6582304158418353</v>
      </c>
      <c r="AT188" s="137">
        <f t="shared" si="212"/>
        <v>1.6582304158418353</v>
      </c>
      <c r="AU188" s="137">
        <f t="shared" si="212"/>
        <v>1.6582304158418353</v>
      </c>
      <c r="AV188" s="137">
        <f t="shared" si="212"/>
        <v>1.6582304158418353</v>
      </c>
      <c r="AW188" s="137">
        <f t="shared" si="212"/>
        <v>1.6582304158418353</v>
      </c>
      <c r="AX188" s="137">
        <f t="shared" si="212"/>
        <v>1.6582304158418353</v>
      </c>
      <c r="AY188" s="137">
        <f t="shared" si="213"/>
        <v>1.6582304158418353</v>
      </c>
      <c r="AZ188" s="137">
        <f t="shared" si="213"/>
        <v>1.6582304158418353</v>
      </c>
      <c r="BA188" s="137">
        <f t="shared" si="213"/>
        <v>1.6582304158418353</v>
      </c>
      <c r="BB188" s="137">
        <f t="shared" si="213"/>
        <v>1.6582304158418353</v>
      </c>
      <c r="BC188" s="137">
        <f t="shared" si="213"/>
        <v>1.6582304158418353</v>
      </c>
      <c r="BD188" s="137">
        <f t="shared" si="213"/>
        <v>1.6582304158418353</v>
      </c>
      <c r="BE188" s="137">
        <f t="shared" si="213"/>
        <v>1.6582304158418353</v>
      </c>
      <c r="BF188" s="137">
        <f t="shared" si="213"/>
        <v>1.6582304158418353</v>
      </c>
      <c r="BG188" s="137">
        <f t="shared" si="213"/>
        <v>1.6582304158418353</v>
      </c>
      <c r="BH188" s="137">
        <f t="shared" si="213"/>
        <v>1.6582304158418353</v>
      </c>
      <c r="BI188" s="137">
        <f t="shared" si="213"/>
        <v>1.6582304158418353</v>
      </c>
      <c r="BJ188" s="137">
        <f t="shared" si="213"/>
        <v>1.6582304158418353</v>
      </c>
      <c r="BK188" s="137">
        <f t="shared" si="213"/>
        <v>1.6582304158418353</v>
      </c>
      <c r="BL188" s="137">
        <f t="shared" si="213"/>
        <v>1.6582304158418353</v>
      </c>
      <c r="BM188" s="137">
        <f t="shared" si="213"/>
        <v>1.6582304158418353</v>
      </c>
      <c r="BN188" s="137">
        <f t="shared" si="213"/>
        <v>1.6582304158418353</v>
      </c>
      <c r="BO188" s="137">
        <f t="shared" si="213"/>
        <v>1.6582304158418353</v>
      </c>
      <c r="BP188" s="137">
        <f t="shared" si="213"/>
        <v>1.6582304158418353</v>
      </c>
      <c r="BQ188" s="137">
        <f t="shared" si="213"/>
        <v>1.6582304158418353</v>
      </c>
      <c r="BR188" s="137">
        <f t="shared" si="213"/>
        <v>1.6582304158418353</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1.5371011281891316</v>
      </c>
      <c r="S189" s="137">
        <f t="shared" si="210"/>
        <v>2.9613501598697858</v>
      </c>
      <c r="T189" s="137">
        <f t="shared" si="210"/>
        <v>3.8553398926934275</v>
      </c>
      <c r="U189" s="137">
        <f t="shared" si="210"/>
        <v>6.7962157450030283</v>
      </c>
      <c r="V189" s="137">
        <f t="shared" si="210"/>
        <v>8.4743720683527251</v>
      </c>
      <c r="W189" s="137">
        <f t="shared" si="210"/>
        <v>9.4511510843574502</v>
      </c>
      <c r="X189" s="137">
        <f t="shared" si="210"/>
        <v>10.759454139733087</v>
      </c>
      <c r="Y189" s="137">
        <f t="shared" si="210"/>
        <v>12.111208302587499</v>
      </c>
      <c r="Z189" s="137">
        <f t="shared" si="210"/>
        <v>13.590647527082144</v>
      </c>
      <c r="AA189" s="137">
        <f t="shared" si="210"/>
        <v>15.157873757796017</v>
      </c>
      <c r="AB189" s="137">
        <f t="shared" si="211"/>
        <v>16.814625135986514</v>
      </c>
      <c r="AC189" s="137">
        <f t="shared" si="211"/>
        <v>18.64967099196981</v>
      </c>
      <c r="AD189" s="137">
        <f t="shared" si="211"/>
        <v>20.674477945711125</v>
      </c>
      <c r="AE189" s="137">
        <f t="shared" si="211"/>
        <v>20.674477945711125</v>
      </c>
      <c r="AF189" s="137">
        <f t="shared" si="211"/>
        <v>20.674477945711125</v>
      </c>
      <c r="AG189" s="137">
        <f t="shared" si="211"/>
        <v>20.674477945711125</v>
      </c>
      <c r="AH189" s="137">
        <f t="shared" si="211"/>
        <v>20.674477945711125</v>
      </c>
      <c r="AI189" s="137">
        <f t="shared" si="211"/>
        <v>20.674477945711125</v>
      </c>
      <c r="AJ189" s="137">
        <f t="shared" si="211"/>
        <v>20.674477945711125</v>
      </c>
      <c r="AK189" s="137">
        <f t="shared" si="211"/>
        <v>20.674477945711125</v>
      </c>
      <c r="AL189" s="137">
        <f t="shared" si="211"/>
        <v>20.674477945711125</v>
      </c>
      <c r="AM189" s="137">
        <f t="shared" si="211"/>
        <v>20.674477945711125</v>
      </c>
      <c r="AN189" s="137">
        <f t="shared" si="211"/>
        <v>20.674477945711125</v>
      </c>
      <c r="AO189" s="137">
        <f t="shared" si="211"/>
        <v>20.674477945711125</v>
      </c>
      <c r="AP189" s="137">
        <f t="shared" si="212"/>
        <v>20.674477945711125</v>
      </c>
      <c r="AQ189" s="137">
        <f t="shared" si="212"/>
        <v>20.674477945711125</v>
      </c>
      <c r="AR189" s="137">
        <f t="shared" si="212"/>
        <v>20.674477945711125</v>
      </c>
      <c r="AS189" s="137">
        <f t="shared" si="212"/>
        <v>20.674477945711125</v>
      </c>
      <c r="AT189" s="137">
        <f t="shared" si="212"/>
        <v>20.674477945711125</v>
      </c>
      <c r="AU189" s="137">
        <f t="shared" si="212"/>
        <v>20.674477945711125</v>
      </c>
      <c r="AV189" s="137">
        <f t="shared" si="212"/>
        <v>20.674477945711125</v>
      </c>
      <c r="AW189" s="137">
        <f t="shared" si="212"/>
        <v>20.674477945711125</v>
      </c>
      <c r="AX189" s="137">
        <f t="shared" si="212"/>
        <v>20.674477945711125</v>
      </c>
      <c r="AY189" s="137">
        <f t="shared" si="213"/>
        <v>20.674477945711125</v>
      </c>
      <c r="AZ189" s="137">
        <f t="shared" si="213"/>
        <v>20.674477945711125</v>
      </c>
      <c r="BA189" s="137">
        <f t="shared" si="213"/>
        <v>20.674477945711125</v>
      </c>
      <c r="BB189" s="137">
        <f t="shared" si="213"/>
        <v>20.674477945711125</v>
      </c>
      <c r="BC189" s="137">
        <f t="shared" si="213"/>
        <v>20.674477945711125</v>
      </c>
      <c r="BD189" s="137">
        <f t="shared" si="213"/>
        <v>20.674477945711125</v>
      </c>
      <c r="BE189" s="137">
        <f t="shared" si="213"/>
        <v>20.674477945711125</v>
      </c>
      <c r="BF189" s="137">
        <f t="shared" si="213"/>
        <v>20.674477945711125</v>
      </c>
      <c r="BG189" s="137">
        <f t="shared" si="213"/>
        <v>20.674477945711125</v>
      </c>
      <c r="BH189" s="137">
        <f t="shared" si="213"/>
        <v>20.674477945711125</v>
      </c>
      <c r="BI189" s="137">
        <f t="shared" si="213"/>
        <v>20.674477945711125</v>
      </c>
      <c r="BJ189" s="137">
        <f t="shared" si="213"/>
        <v>20.674477945711125</v>
      </c>
      <c r="BK189" s="137">
        <f t="shared" si="213"/>
        <v>20.674477945711125</v>
      </c>
      <c r="BL189" s="137">
        <f t="shared" si="213"/>
        <v>20.674477945711125</v>
      </c>
      <c r="BM189" s="137">
        <f t="shared" si="213"/>
        <v>20.674477945711125</v>
      </c>
      <c r="BN189" s="137">
        <f t="shared" si="213"/>
        <v>20.674477945711125</v>
      </c>
      <c r="BO189" s="137">
        <f t="shared" si="213"/>
        <v>20.674477945711125</v>
      </c>
      <c r="BP189" s="137">
        <f t="shared" si="213"/>
        <v>20.674477945711125</v>
      </c>
      <c r="BQ189" s="137">
        <f t="shared" si="213"/>
        <v>20.674477945711125</v>
      </c>
      <c r="BR189" s="137">
        <f t="shared" si="213"/>
        <v>20.674477945711125</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0.37392159230343008</v>
      </c>
      <c r="S190" s="137">
        <f t="shared" si="210"/>
        <v>0.72039031579598123</v>
      </c>
      <c r="T190" s="137">
        <f t="shared" si="210"/>
        <v>0.93786596412508894</v>
      </c>
      <c r="U190" s="137">
        <f t="shared" si="210"/>
        <v>1.6532756149903027</v>
      </c>
      <c r="V190" s="137">
        <f t="shared" si="210"/>
        <v>2.0615108787951302</v>
      </c>
      <c r="W190" s="137">
        <f t="shared" si="210"/>
        <v>2.2991261913434693</v>
      </c>
      <c r="X190" s="137">
        <f t="shared" si="210"/>
        <v>2.617389416000544</v>
      </c>
      <c r="Y190" s="137">
        <f t="shared" si="210"/>
        <v>2.9462227371840277</v>
      </c>
      <c r="Z190" s="137">
        <f t="shared" si="210"/>
        <v>3.3061172557645402</v>
      </c>
      <c r="AA190" s="137">
        <f t="shared" si="210"/>
        <v>3.6873672053879765</v>
      </c>
      <c r="AB190" s="137">
        <f t="shared" si="211"/>
        <v>4.0903954135018585</v>
      </c>
      <c r="AC190" s="137">
        <f t="shared" si="211"/>
        <v>4.5367962753810369</v>
      </c>
      <c r="AD190" s="137">
        <f t="shared" si="211"/>
        <v>5.0293592085316856</v>
      </c>
      <c r="AE190" s="137">
        <f t="shared" si="211"/>
        <v>5.0293592085316856</v>
      </c>
      <c r="AF190" s="137">
        <f t="shared" si="211"/>
        <v>5.0293592085316856</v>
      </c>
      <c r="AG190" s="137">
        <f t="shared" si="211"/>
        <v>5.0293592085316856</v>
      </c>
      <c r="AH190" s="137">
        <f t="shared" si="211"/>
        <v>5.0293592085316856</v>
      </c>
      <c r="AI190" s="137">
        <f t="shared" si="211"/>
        <v>5.0293592085316856</v>
      </c>
      <c r="AJ190" s="137">
        <f t="shared" si="211"/>
        <v>5.0293592085316856</v>
      </c>
      <c r="AK190" s="137">
        <f t="shared" si="211"/>
        <v>5.0293592085316856</v>
      </c>
      <c r="AL190" s="137">
        <f t="shared" si="211"/>
        <v>5.0293592085316856</v>
      </c>
      <c r="AM190" s="137">
        <f t="shared" si="211"/>
        <v>5.0293592085316856</v>
      </c>
      <c r="AN190" s="137">
        <f t="shared" si="211"/>
        <v>5.0293592085316856</v>
      </c>
      <c r="AO190" s="137">
        <f t="shared" si="211"/>
        <v>5.0293592085316856</v>
      </c>
      <c r="AP190" s="137">
        <f t="shared" si="212"/>
        <v>5.0293592085316856</v>
      </c>
      <c r="AQ190" s="137">
        <f t="shared" si="212"/>
        <v>5.0293592085316856</v>
      </c>
      <c r="AR190" s="137">
        <f t="shared" si="212"/>
        <v>5.0293592085316856</v>
      </c>
      <c r="AS190" s="137">
        <f t="shared" si="212"/>
        <v>5.0293592085316856</v>
      </c>
      <c r="AT190" s="137">
        <f t="shared" si="212"/>
        <v>5.0293592085316856</v>
      </c>
      <c r="AU190" s="137">
        <f t="shared" si="212"/>
        <v>5.0293592085316856</v>
      </c>
      <c r="AV190" s="137">
        <f t="shared" si="212"/>
        <v>5.0293592085316856</v>
      </c>
      <c r="AW190" s="137">
        <f t="shared" si="212"/>
        <v>5.0293592085316856</v>
      </c>
      <c r="AX190" s="137">
        <f t="shared" si="212"/>
        <v>5.0293592085316856</v>
      </c>
      <c r="AY190" s="137">
        <f t="shared" si="213"/>
        <v>5.0293592085316856</v>
      </c>
      <c r="AZ190" s="137">
        <f t="shared" si="213"/>
        <v>5.0293592085316856</v>
      </c>
      <c r="BA190" s="137">
        <f t="shared" si="213"/>
        <v>5.0293592085316856</v>
      </c>
      <c r="BB190" s="137">
        <f t="shared" si="213"/>
        <v>5.0293592085316856</v>
      </c>
      <c r="BC190" s="137">
        <f t="shared" si="213"/>
        <v>5.0293592085316856</v>
      </c>
      <c r="BD190" s="137">
        <f t="shared" si="213"/>
        <v>5.0293592085316856</v>
      </c>
      <c r="BE190" s="137">
        <f t="shared" si="213"/>
        <v>5.0293592085316856</v>
      </c>
      <c r="BF190" s="137">
        <f t="shared" si="213"/>
        <v>5.0293592085316856</v>
      </c>
      <c r="BG190" s="137">
        <f t="shared" si="213"/>
        <v>5.0293592085316856</v>
      </c>
      <c r="BH190" s="137">
        <f t="shared" si="213"/>
        <v>5.0293592085316856</v>
      </c>
      <c r="BI190" s="137">
        <f t="shared" si="213"/>
        <v>5.0293592085316856</v>
      </c>
      <c r="BJ190" s="137">
        <f t="shared" si="213"/>
        <v>5.0293592085316856</v>
      </c>
      <c r="BK190" s="137">
        <f t="shared" si="213"/>
        <v>5.0293592085316856</v>
      </c>
      <c r="BL190" s="137">
        <f t="shared" si="213"/>
        <v>5.0293592085316856</v>
      </c>
      <c r="BM190" s="137">
        <f t="shared" si="213"/>
        <v>5.0293592085316856</v>
      </c>
      <c r="BN190" s="137">
        <f t="shared" si="213"/>
        <v>5.0293592085316856</v>
      </c>
      <c r="BO190" s="137">
        <f t="shared" si="213"/>
        <v>5.0293592085316856</v>
      </c>
      <c r="BP190" s="137">
        <f t="shared" si="213"/>
        <v>5.0293592085316856</v>
      </c>
      <c r="BQ190" s="137">
        <f t="shared" si="213"/>
        <v>5.0293592085316856</v>
      </c>
      <c r="BR190" s="137">
        <f t="shared" si="213"/>
        <v>5.0293592085316856</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0.19796348261065</v>
      </c>
      <c r="S191" s="137">
        <f t="shared" si="210"/>
        <v>0.38139272694964443</v>
      </c>
      <c r="T191" s="137">
        <f t="shared" si="210"/>
        <v>0.49652979742751913</v>
      </c>
      <c r="U191" s="137">
        <f t="shared" si="210"/>
        <v>0.87528563526536463</v>
      </c>
      <c r="V191" s="137">
        <f t="shared" si="210"/>
        <v>1.0914156374121804</v>
      </c>
      <c r="W191" s="137">
        <f t="shared" si="210"/>
        <v>1.2172151519679375</v>
      </c>
      <c r="X191" s="137">
        <f t="shared" si="210"/>
        <v>1.3857116967967349</v>
      </c>
      <c r="Y191" s="137">
        <f t="shared" si="210"/>
        <v>1.5598043162116735</v>
      </c>
      <c r="Z191" s="137">
        <f t="shared" si="210"/>
        <v>1.7503415136807803</v>
      </c>
      <c r="AA191" s="137">
        <f t="shared" si="210"/>
        <v>1.9521848127201815</v>
      </c>
      <c r="AB191" s="137">
        <f t="shared" si="211"/>
        <v>2.1655580688005909</v>
      </c>
      <c r="AC191" s="137">
        <f t="shared" si="211"/>
        <v>2.4018938971586556</v>
      </c>
      <c r="AD191" s="137">
        <f t="shared" si="211"/>
        <v>2.6626690854828756</v>
      </c>
      <c r="AE191" s="137">
        <f t="shared" si="211"/>
        <v>2.6626690854828756</v>
      </c>
      <c r="AF191" s="137">
        <f t="shared" si="211"/>
        <v>2.6626690854828756</v>
      </c>
      <c r="AG191" s="137">
        <f t="shared" si="211"/>
        <v>2.6626690854828756</v>
      </c>
      <c r="AH191" s="137">
        <f t="shared" si="211"/>
        <v>2.6626690854828756</v>
      </c>
      <c r="AI191" s="137">
        <f t="shared" si="211"/>
        <v>2.6626690854828756</v>
      </c>
      <c r="AJ191" s="137">
        <f t="shared" si="211"/>
        <v>2.6626690854828756</v>
      </c>
      <c r="AK191" s="137">
        <f t="shared" si="211"/>
        <v>2.6626690854828756</v>
      </c>
      <c r="AL191" s="137">
        <f t="shared" si="211"/>
        <v>2.6626690854828756</v>
      </c>
      <c r="AM191" s="137">
        <f t="shared" si="211"/>
        <v>2.6626690854828756</v>
      </c>
      <c r="AN191" s="137">
        <f t="shared" si="211"/>
        <v>2.6626690854828756</v>
      </c>
      <c r="AO191" s="137">
        <f t="shared" si="211"/>
        <v>2.6626690854828756</v>
      </c>
      <c r="AP191" s="137">
        <f t="shared" si="212"/>
        <v>2.6626690854828756</v>
      </c>
      <c r="AQ191" s="137">
        <f t="shared" si="212"/>
        <v>2.6626690854828756</v>
      </c>
      <c r="AR191" s="137">
        <f t="shared" si="212"/>
        <v>2.6626690854828756</v>
      </c>
      <c r="AS191" s="137">
        <f t="shared" si="212"/>
        <v>2.6626690854828756</v>
      </c>
      <c r="AT191" s="137">
        <f t="shared" si="212"/>
        <v>2.6626690854828756</v>
      </c>
      <c r="AU191" s="137">
        <f t="shared" si="212"/>
        <v>2.6626690854828756</v>
      </c>
      <c r="AV191" s="137">
        <f t="shared" si="212"/>
        <v>2.6626690854828756</v>
      </c>
      <c r="AW191" s="137">
        <f t="shared" si="212"/>
        <v>2.6626690854828756</v>
      </c>
      <c r="AX191" s="137">
        <f t="shared" si="212"/>
        <v>2.6626690854828756</v>
      </c>
      <c r="AY191" s="137">
        <f t="shared" si="213"/>
        <v>2.6626690854828756</v>
      </c>
      <c r="AZ191" s="137">
        <f t="shared" si="213"/>
        <v>2.6626690854828756</v>
      </c>
      <c r="BA191" s="137">
        <f t="shared" si="213"/>
        <v>2.6626690854828756</v>
      </c>
      <c r="BB191" s="137">
        <f t="shared" si="213"/>
        <v>2.6626690854828756</v>
      </c>
      <c r="BC191" s="137">
        <f t="shared" si="213"/>
        <v>2.6626690854828756</v>
      </c>
      <c r="BD191" s="137">
        <f t="shared" si="213"/>
        <v>2.6626690854828756</v>
      </c>
      <c r="BE191" s="137">
        <f t="shared" si="213"/>
        <v>2.6626690854828756</v>
      </c>
      <c r="BF191" s="137">
        <f t="shared" si="213"/>
        <v>2.6626690854828756</v>
      </c>
      <c r="BG191" s="137">
        <f t="shared" si="213"/>
        <v>2.6626690854828756</v>
      </c>
      <c r="BH191" s="137">
        <f t="shared" si="213"/>
        <v>2.6626690854828756</v>
      </c>
      <c r="BI191" s="137">
        <f t="shared" si="213"/>
        <v>2.6626690854828756</v>
      </c>
      <c r="BJ191" s="137">
        <f t="shared" si="213"/>
        <v>2.6626690854828756</v>
      </c>
      <c r="BK191" s="137">
        <f t="shared" si="213"/>
        <v>2.6626690854828756</v>
      </c>
      <c r="BL191" s="137">
        <f t="shared" si="213"/>
        <v>2.6626690854828756</v>
      </c>
      <c r="BM191" s="137">
        <f t="shared" si="213"/>
        <v>2.6626690854828756</v>
      </c>
      <c r="BN191" s="137">
        <f t="shared" si="213"/>
        <v>2.6626690854828756</v>
      </c>
      <c r="BO191" s="137">
        <f t="shared" si="213"/>
        <v>2.6626690854828756</v>
      </c>
      <c r="BP191" s="137">
        <f t="shared" si="213"/>
        <v>2.6626690854828756</v>
      </c>
      <c r="BQ191" s="137">
        <f t="shared" si="213"/>
        <v>2.6626690854828756</v>
      </c>
      <c r="BR191" s="137">
        <f t="shared" si="213"/>
        <v>2.6626690854828756</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0.27783625702001274</v>
      </c>
      <c r="S194" s="137">
        <f t="shared" si="210"/>
        <v>0.53527411375538358</v>
      </c>
      <c r="T194" s="137">
        <f t="shared" si="210"/>
        <v>0.69686579866596787</v>
      </c>
      <c r="U194" s="137">
        <f t="shared" si="210"/>
        <v>1.2284391116911484</v>
      </c>
      <c r="V194" s="137">
        <f t="shared" si="210"/>
        <v>1.5317715750035923</v>
      </c>
      <c r="W194" s="137">
        <f t="shared" si="210"/>
        <v>1.7083277044380716</v>
      </c>
      <c r="X194" s="137">
        <f t="shared" si="210"/>
        <v>1.9448079315924471</v>
      </c>
      <c r="Y194" s="137">
        <f t="shared" si="210"/>
        <v>2.1891420942126696</v>
      </c>
      <c r="Z194" s="137">
        <f t="shared" si="210"/>
        <v>2.4565557660160557</v>
      </c>
      <c r="AA194" s="137">
        <f t="shared" si="210"/>
        <v>2.7398372377810984</v>
      </c>
      <c r="AB194" s="137">
        <f t="shared" si="211"/>
        <v>3.0393006844519657</v>
      </c>
      <c r="AC194" s="137">
        <f t="shared" si="211"/>
        <v>3.3709914644119889</v>
      </c>
      <c r="AD194" s="137">
        <f t="shared" si="211"/>
        <v>3.7369822082209807</v>
      </c>
      <c r="AE194" s="137">
        <f t="shared" si="211"/>
        <v>3.7369822082209807</v>
      </c>
      <c r="AF194" s="137">
        <f t="shared" si="211"/>
        <v>3.7369822082209807</v>
      </c>
      <c r="AG194" s="137">
        <f t="shared" si="211"/>
        <v>3.7369822082209807</v>
      </c>
      <c r="AH194" s="137">
        <f t="shared" si="211"/>
        <v>3.7369822082209807</v>
      </c>
      <c r="AI194" s="137">
        <f t="shared" si="211"/>
        <v>3.7369822082209807</v>
      </c>
      <c r="AJ194" s="137">
        <f t="shared" si="211"/>
        <v>3.7369822082209807</v>
      </c>
      <c r="AK194" s="137">
        <f t="shared" si="211"/>
        <v>3.7369822082209807</v>
      </c>
      <c r="AL194" s="137">
        <f t="shared" si="211"/>
        <v>3.7369822082209807</v>
      </c>
      <c r="AM194" s="137">
        <f t="shared" si="211"/>
        <v>3.7369822082209807</v>
      </c>
      <c r="AN194" s="137">
        <f t="shared" si="211"/>
        <v>3.7369822082209807</v>
      </c>
      <c r="AO194" s="137">
        <f t="shared" si="211"/>
        <v>3.7369822082209807</v>
      </c>
      <c r="AP194" s="137">
        <f t="shared" si="212"/>
        <v>3.7369822082209807</v>
      </c>
      <c r="AQ194" s="137">
        <f t="shared" si="212"/>
        <v>3.7369822082209807</v>
      </c>
      <c r="AR194" s="137">
        <f t="shared" si="212"/>
        <v>3.7369822082209807</v>
      </c>
      <c r="AS194" s="137">
        <f t="shared" si="212"/>
        <v>3.7369822082209807</v>
      </c>
      <c r="AT194" s="137">
        <f t="shared" si="212"/>
        <v>3.7369822082209807</v>
      </c>
      <c r="AU194" s="137">
        <f t="shared" si="212"/>
        <v>3.7369822082209807</v>
      </c>
      <c r="AV194" s="137">
        <f t="shared" si="212"/>
        <v>3.7369822082209807</v>
      </c>
      <c r="AW194" s="137">
        <f t="shared" si="212"/>
        <v>3.7369822082209807</v>
      </c>
      <c r="AX194" s="137">
        <f t="shared" si="212"/>
        <v>3.7369822082209807</v>
      </c>
      <c r="AY194" s="137">
        <f t="shared" si="214"/>
        <v>3.7369822082209807</v>
      </c>
      <c r="AZ194" s="137">
        <f t="shared" si="214"/>
        <v>3.7369822082209807</v>
      </c>
      <c r="BA194" s="137">
        <f t="shared" si="214"/>
        <v>3.7369822082209807</v>
      </c>
      <c r="BB194" s="137">
        <f t="shared" si="214"/>
        <v>3.7369822082209807</v>
      </c>
      <c r="BC194" s="137">
        <f t="shared" si="214"/>
        <v>3.7369822082209807</v>
      </c>
      <c r="BD194" s="137">
        <f t="shared" si="214"/>
        <v>3.7369822082209807</v>
      </c>
      <c r="BE194" s="137">
        <f t="shared" si="214"/>
        <v>3.7369822082209807</v>
      </c>
      <c r="BF194" s="137">
        <f t="shared" si="214"/>
        <v>3.7369822082209807</v>
      </c>
      <c r="BG194" s="137">
        <f t="shared" si="214"/>
        <v>3.7369822082209807</v>
      </c>
      <c r="BH194" s="137">
        <f t="shared" si="214"/>
        <v>3.7369822082209807</v>
      </c>
      <c r="BI194" s="137">
        <f t="shared" si="214"/>
        <v>3.7369822082209807</v>
      </c>
      <c r="BJ194" s="137">
        <f t="shared" si="214"/>
        <v>3.7369822082209807</v>
      </c>
      <c r="BK194" s="137">
        <f t="shared" si="214"/>
        <v>3.7369822082209807</v>
      </c>
      <c r="BL194" s="137">
        <f t="shared" si="214"/>
        <v>3.7369822082209807</v>
      </c>
      <c r="BM194" s="137">
        <f t="shared" si="214"/>
        <v>3.7369822082209807</v>
      </c>
      <c r="BN194" s="137">
        <f t="shared" si="214"/>
        <v>3.7369822082209807</v>
      </c>
      <c r="BO194" s="137">
        <f t="shared" si="214"/>
        <v>3.7369822082209807</v>
      </c>
      <c r="BP194" s="137">
        <f t="shared" si="214"/>
        <v>3.7369822082209807</v>
      </c>
      <c r="BQ194" s="137">
        <f t="shared" si="214"/>
        <v>3.7369822082209807</v>
      </c>
      <c r="BR194" s="137">
        <f t="shared" si="214"/>
        <v>3.7369822082209807</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2.5002858157776569</v>
      </c>
      <c r="AF197" s="137">
        <f t="shared" si="217"/>
        <v>5.0552590595361586</v>
      </c>
      <c r="AG197" s="137">
        <f t="shared" si="217"/>
        <v>7.6769257369791912</v>
      </c>
      <c r="AH197" s="137">
        <f t="shared" si="217"/>
        <v>10.497260549415827</v>
      </c>
      <c r="AI197" s="137">
        <f t="shared" si="217"/>
        <v>13.38933287509419</v>
      </c>
      <c r="AJ197" s="137">
        <f t="shared" si="217"/>
        <v>16.355621669118111</v>
      </c>
      <c r="AK197" s="137">
        <f t="shared" si="217"/>
        <v>19.405546728610112</v>
      </c>
      <c r="AL197" s="137">
        <f t="shared" si="217"/>
        <v>22.508027776430193</v>
      </c>
      <c r="AM197" s="137">
        <f t="shared" si="217"/>
        <v>25.600227510900314</v>
      </c>
      <c r="AN197" s="137">
        <f t="shared" si="217"/>
        <v>28.659498812508353</v>
      </c>
      <c r="AO197" s="137">
        <f t="shared" si="217"/>
        <v>28.659498812508353</v>
      </c>
      <c r="AP197" s="137">
        <f t="shared" si="217"/>
        <v>28.659498812508353</v>
      </c>
      <c r="AQ197" s="137">
        <f t="shared" si="217"/>
        <v>28.659498812508353</v>
      </c>
      <c r="AR197" s="137">
        <f t="shared" ref="AP197:BE205" si="218">INDEX(AR$49:AR$52,MATCH($I$196,$B$49:$B$52,0),1)*INDEX(AR$81:AR$89,MATCH($B197,$B$81:$B$89,0))*INDEX(AR$127:AR$135,MATCH($B197,$B$127:$B$135,0))/1000</f>
        <v>28.659498812508353</v>
      </c>
      <c r="AS197" s="137">
        <f t="shared" si="218"/>
        <v>28.659498812508353</v>
      </c>
      <c r="AT197" s="137">
        <f t="shared" si="218"/>
        <v>28.659498812508353</v>
      </c>
      <c r="AU197" s="137">
        <f t="shared" si="218"/>
        <v>28.659498812508353</v>
      </c>
      <c r="AV197" s="137">
        <f t="shared" si="218"/>
        <v>28.659498812508353</v>
      </c>
      <c r="AW197" s="137">
        <f t="shared" si="218"/>
        <v>28.659498812508353</v>
      </c>
      <c r="AX197" s="137">
        <f t="shared" si="218"/>
        <v>28.659498812508353</v>
      </c>
      <c r="AY197" s="137">
        <f t="shared" si="218"/>
        <v>28.659498812508353</v>
      </c>
      <c r="AZ197" s="137">
        <f t="shared" si="218"/>
        <v>28.659498812508353</v>
      </c>
      <c r="BA197" s="137">
        <f t="shared" si="218"/>
        <v>28.659498812508353</v>
      </c>
      <c r="BB197" s="137">
        <f t="shared" si="218"/>
        <v>28.659498812508353</v>
      </c>
      <c r="BC197" s="137">
        <f t="shared" si="218"/>
        <v>28.659498812508353</v>
      </c>
      <c r="BD197" s="137">
        <f t="shared" si="218"/>
        <v>28.659498812508353</v>
      </c>
      <c r="BE197" s="137">
        <f t="shared" si="218"/>
        <v>28.659498812508353</v>
      </c>
      <c r="BF197" s="137">
        <f t="shared" ref="AY197:BR203" si="219">INDEX(BF$49:BF$52,MATCH($I$196,$B$49:$B$52,0),1)*INDEX(BF$81:BF$89,MATCH($B197,$B$81:$B$89,0))*INDEX(BF$127:BF$135,MATCH($B197,$B$127:$B$135,0))/1000</f>
        <v>28.659498812508353</v>
      </c>
      <c r="BG197" s="137">
        <f t="shared" si="219"/>
        <v>28.659498812508353</v>
      </c>
      <c r="BH197" s="137">
        <f t="shared" si="219"/>
        <v>28.659498812508353</v>
      </c>
      <c r="BI197" s="137">
        <f t="shared" si="219"/>
        <v>28.659498812508353</v>
      </c>
      <c r="BJ197" s="137">
        <f t="shared" si="219"/>
        <v>28.659498812508353</v>
      </c>
      <c r="BK197" s="137">
        <f t="shared" si="219"/>
        <v>28.659498812508353</v>
      </c>
      <c r="BL197" s="137">
        <f t="shared" si="219"/>
        <v>28.659498812508353</v>
      </c>
      <c r="BM197" s="137">
        <f t="shared" si="219"/>
        <v>28.659498812508353</v>
      </c>
      <c r="BN197" s="137">
        <f t="shared" si="219"/>
        <v>28.659498812508353</v>
      </c>
      <c r="BO197" s="137">
        <f t="shared" si="219"/>
        <v>28.659498812508353</v>
      </c>
      <c r="BP197" s="137">
        <f t="shared" si="219"/>
        <v>28.659498812508353</v>
      </c>
      <c r="BQ197" s="137">
        <f t="shared" si="219"/>
        <v>28.659498812508353</v>
      </c>
      <c r="BR197" s="137">
        <f t="shared" si="219"/>
        <v>28.659498812508353</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0.23351033186081591</v>
      </c>
      <c r="AF198" s="137">
        <f t="shared" si="217"/>
        <v>0.47212811158852691</v>
      </c>
      <c r="AG198" s="137">
        <f t="shared" si="217"/>
        <v>0.71697462154153357</v>
      </c>
      <c r="AH198" s="137">
        <f t="shared" si="217"/>
        <v>0.9803754351024645</v>
      </c>
      <c r="AI198" s="137">
        <f t="shared" si="217"/>
        <v>1.2504760629079266</v>
      </c>
      <c r="AJ198" s="137">
        <f t="shared" si="217"/>
        <v>1.5275080231408844</v>
      </c>
      <c r="AK198" s="137">
        <f t="shared" si="217"/>
        <v>1.8123510632039206</v>
      </c>
      <c r="AL198" s="137">
        <f t="shared" si="217"/>
        <v>2.1021024886196709</v>
      </c>
      <c r="AM198" s="137">
        <f t="shared" si="217"/>
        <v>2.3908937066554636</v>
      </c>
      <c r="AN198" s="137">
        <f t="shared" si="217"/>
        <v>2.676609624564863</v>
      </c>
      <c r="AO198" s="137">
        <f t="shared" si="217"/>
        <v>2.676609624564863</v>
      </c>
      <c r="AP198" s="137">
        <f t="shared" si="218"/>
        <v>2.676609624564863</v>
      </c>
      <c r="AQ198" s="137">
        <f t="shared" si="218"/>
        <v>2.676609624564863</v>
      </c>
      <c r="AR198" s="137">
        <f t="shared" si="218"/>
        <v>2.676609624564863</v>
      </c>
      <c r="AS198" s="137">
        <f t="shared" si="218"/>
        <v>2.676609624564863</v>
      </c>
      <c r="AT198" s="137">
        <f t="shared" si="218"/>
        <v>2.676609624564863</v>
      </c>
      <c r="AU198" s="137">
        <f t="shared" si="218"/>
        <v>2.676609624564863</v>
      </c>
      <c r="AV198" s="137">
        <f t="shared" si="218"/>
        <v>2.676609624564863</v>
      </c>
      <c r="AW198" s="137">
        <f t="shared" si="218"/>
        <v>2.676609624564863</v>
      </c>
      <c r="AX198" s="137">
        <f t="shared" si="218"/>
        <v>2.676609624564863</v>
      </c>
      <c r="AY198" s="137">
        <f t="shared" si="219"/>
        <v>2.676609624564863</v>
      </c>
      <c r="AZ198" s="137">
        <f t="shared" si="219"/>
        <v>2.676609624564863</v>
      </c>
      <c r="BA198" s="137">
        <f t="shared" si="219"/>
        <v>2.676609624564863</v>
      </c>
      <c r="BB198" s="137">
        <f t="shared" si="219"/>
        <v>2.676609624564863</v>
      </c>
      <c r="BC198" s="137">
        <f t="shared" si="219"/>
        <v>2.676609624564863</v>
      </c>
      <c r="BD198" s="137">
        <f t="shared" si="219"/>
        <v>2.676609624564863</v>
      </c>
      <c r="BE198" s="137">
        <f t="shared" si="219"/>
        <v>2.676609624564863</v>
      </c>
      <c r="BF198" s="137">
        <f t="shared" si="219"/>
        <v>2.676609624564863</v>
      </c>
      <c r="BG198" s="137">
        <f t="shared" si="219"/>
        <v>2.676609624564863</v>
      </c>
      <c r="BH198" s="137">
        <f t="shared" si="219"/>
        <v>2.676609624564863</v>
      </c>
      <c r="BI198" s="137">
        <f t="shared" si="219"/>
        <v>2.676609624564863</v>
      </c>
      <c r="BJ198" s="137">
        <f t="shared" si="219"/>
        <v>2.676609624564863</v>
      </c>
      <c r="BK198" s="137">
        <f t="shared" si="219"/>
        <v>2.676609624564863</v>
      </c>
      <c r="BL198" s="137">
        <f t="shared" si="219"/>
        <v>2.676609624564863</v>
      </c>
      <c r="BM198" s="137">
        <f t="shared" si="219"/>
        <v>2.676609624564863</v>
      </c>
      <c r="BN198" s="137">
        <f t="shared" si="219"/>
        <v>2.676609624564863</v>
      </c>
      <c r="BO198" s="137">
        <f t="shared" si="219"/>
        <v>2.676609624564863</v>
      </c>
      <c r="BP198" s="137">
        <f t="shared" si="219"/>
        <v>2.676609624564863</v>
      </c>
      <c r="BQ198" s="137">
        <f t="shared" si="219"/>
        <v>2.676609624564863</v>
      </c>
      <c r="BR198" s="137">
        <f t="shared" si="219"/>
        <v>2.676609624564863</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0.17451569181924284</v>
      </c>
      <c r="AF199" s="137">
        <f t="shared" si="217"/>
        <v>0.35284847297589966</v>
      </c>
      <c r="AG199" s="137">
        <f t="shared" si="217"/>
        <v>0.53583634222121035</v>
      </c>
      <c r="AH199" s="137">
        <f t="shared" si="217"/>
        <v>0.73269090894649036</v>
      </c>
      <c r="AI199" s="137">
        <f t="shared" si="217"/>
        <v>0.93455263192317628</v>
      </c>
      <c r="AJ199" s="137">
        <f t="shared" si="217"/>
        <v>1.1415945379957202</v>
      </c>
      <c r="AK199" s="137">
        <f t="shared" si="217"/>
        <v>1.3544741129608509</v>
      </c>
      <c r="AL199" s="137">
        <f t="shared" si="217"/>
        <v>1.5710220064055891</v>
      </c>
      <c r="AM199" s="137">
        <f t="shared" si="217"/>
        <v>1.7868522816881331</v>
      </c>
      <c r="AN199" s="137">
        <f t="shared" si="217"/>
        <v>2.0003842084358072</v>
      </c>
      <c r="AO199" s="137">
        <f t="shared" si="217"/>
        <v>2.0003842084358072</v>
      </c>
      <c r="AP199" s="137">
        <f t="shared" si="218"/>
        <v>2.0003842084358072</v>
      </c>
      <c r="AQ199" s="137">
        <f t="shared" si="218"/>
        <v>2.0003842084358072</v>
      </c>
      <c r="AR199" s="137">
        <f t="shared" si="218"/>
        <v>2.0003842084358072</v>
      </c>
      <c r="AS199" s="137">
        <f t="shared" si="218"/>
        <v>2.0003842084358072</v>
      </c>
      <c r="AT199" s="137">
        <f t="shared" si="218"/>
        <v>2.0003842084358072</v>
      </c>
      <c r="AU199" s="137">
        <f t="shared" si="218"/>
        <v>2.0003842084358072</v>
      </c>
      <c r="AV199" s="137">
        <f t="shared" si="218"/>
        <v>2.0003842084358072</v>
      </c>
      <c r="AW199" s="137">
        <f t="shared" si="218"/>
        <v>2.0003842084358072</v>
      </c>
      <c r="AX199" s="137">
        <f t="shared" si="218"/>
        <v>2.0003842084358072</v>
      </c>
      <c r="AY199" s="137">
        <f t="shared" si="219"/>
        <v>2.0003842084358072</v>
      </c>
      <c r="AZ199" s="137">
        <f t="shared" si="219"/>
        <v>2.0003842084358072</v>
      </c>
      <c r="BA199" s="137">
        <f t="shared" si="219"/>
        <v>2.0003842084358072</v>
      </c>
      <c r="BB199" s="137">
        <f t="shared" si="219"/>
        <v>2.0003842084358072</v>
      </c>
      <c r="BC199" s="137">
        <f t="shared" si="219"/>
        <v>2.0003842084358072</v>
      </c>
      <c r="BD199" s="137">
        <f t="shared" si="219"/>
        <v>2.0003842084358072</v>
      </c>
      <c r="BE199" s="137">
        <f t="shared" si="219"/>
        <v>2.0003842084358072</v>
      </c>
      <c r="BF199" s="137">
        <f t="shared" si="219"/>
        <v>2.0003842084358072</v>
      </c>
      <c r="BG199" s="137">
        <f t="shared" si="219"/>
        <v>2.0003842084358072</v>
      </c>
      <c r="BH199" s="137">
        <f t="shared" si="219"/>
        <v>2.0003842084358072</v>
      </c>
      <c r="BI199" s="137">
        <f t="shared" si="219"/>
        <v>2.0003842084358072</v>
      </c>
      <c r="BJ199" s="137">
        <f t="shared" si="219"/>
        <v>2.0003842084358072</v>
      </c>
      <c r="BK199" s="137">
        <f t="shared" si="219"/>
        <v>2.0003842084358072</v>
      </c>
      <c r="BL199" s="137">
        <f t="shared" si="219"/>
        <v>2.0003842084358072</v>
      </c>
      <c r="BM199" s="137">
        <f t="shared" si="219"/>
        <v>2.0003842084358072</v>
      </c>
      <c r="BN199" s="137">
        <f t="shared" si="219"/>
        <v>2.0003842084358072</v>
      </c>
      <c r="BO199" s="137">
        <f t="shared" si="219"/>
        <v>2.0003842084358072</v>
      </c>
      <c r="BP199" s="137">
        <f t="shared" si="219"/>
        <v>2.0003842084358072</v>
      </c>
      <c r="BQ199" s="137">
        <f t="shared" si="219"/>
        <v>2.0003842084358072</v>
      </c>
      <c r="BR199" s="137">
        <f t="shared" si="219"/>
        <v>2.0003842084358072</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2.1758259812559091</v>
      </c>
      <c r="AF200" s="137">
        <f t="shared" si="217"/>
        <v>4.399242652303327</v>
      </c>
      <c r="AG200" s="137">
        <f t="shared" si="217"/>
        <v>6.6806980103177542</v>
      </c>
      <c r="AH200" s="137">
        <f t="shared" si="217"/>
        <v>9.1350405186887436</v>
      </c>
      <c r="AI200" s="137">
        <f t="shared" si="217"/>
        <v>11.65181122793064</v>
      </c>
      <c r="AJ200" s="137">
        <f t="shared" si="217"/>
        <v>14.23316740137999</v>
      </c>
      <c r="AK200" s="137">
        <f t="shared" si="217"/>
        <v>16.887306437585405</v>
      </c>
      <c r="AL200" s="137">
        <f t="shared" si="217"/>
        <v>19.587181318930281</v>
      </c>
      <c r="AM200" s="137">
        <f t="shared" si="217"/>
        <v>22.278109083682686</v>
      </c>
      <c r="AN200" s="137">
        <f t="shared" si="217"/>
        <v>24.940381508597046</v>
      </c>
      <c r="AO200" s="137">
        <f t="shared" si="217"/>
        <v>24.940381508597046</v>
      </c>
      <c r="AP200" s="137">
        <f t="shared" si="218"/>
        <v>24.940381508597046</v>
      </c>
      <c r="AQ200" s="137">
        <f t="shared" si="218"/>
        <v>24.940381508597046</v>
      </c>
      <c r="AR200" s="137">
        <f t="shared" si="218"/>
        <v>24.940381508597046</v>
      </c>
      <c r="AS200" s="137">
        <f t="shared" si="218"/>
        <v>24.940381508597046</v>
      </c>
      <c r="AT200" s="137">
        <f t="shared" si="218"/>
        <v>24.940381508597046</v>
      </c>
      <c r="AU200" s="137">
        <f t="shared" si="218"/>
        <v>24.940381508597046</v>
      </c>
      <c r="AV200" s="137">
        <f t="shared" si="218"/>
        <v>24.940381508597046</v>
      </c>
      <c r="AW200" s="137">
        <f t="shared" si="218"/>
        <v>24.940381508597046</v>
      </c>
      <c r="AX200" s="137">
        <f t="shared" si="218"/>
        <v>24.940381508597046</v>
      </c>
      <c r="AY200" s="137">
        <f t="shared" si="219"/>
        <v>24.940381508597046</v>
      </c>
      <c r="AZ200" s="137">
        <f t="shared" si="219"/>
        <v>24.940381508597046</v>
      </c>
      <c r="BA200" s="137">
        <f t="shared" si="219"/>
        <v>24.940381508597046</v>
      </c>
      <c r="BB200" s="137">
        <f t="shared" si="219"/>
        <v>24.940381508597046</v>
      </c>
      <c r="BC200" s="137">
        <f t="shared" si="219"/>
        <v>24.940381508597046</v>
      </c>
      <c r="BD200" s="137">
        <f t="shared" si="219"/>
        <v>24.940381508597046</v>
      </c>
      <c r="BE200" s="137">
        <f t="shared" si="219"/>
        <v>24.940381508597046</v>
      </c>
      <c r="BF200" s="137">
        <f t="shared" si="219"/>
        <v>24.940381508597046</v>
      </c>
      <c r="BG200" s="137">
        <f t="shared" si="219"/>
        <v>24.940381508597046</v>
      </c>
      <c r="BH200" s="137">
        <f t="shared" si="219"/>
        <v>24.940381508597046</v>
      </c>
      <c r="BI200" s="137">
        <f t="shared" si="219"/>
        <v>24.940381508597046</v>
      </c>
      <c r="BJ200" s="137">
        <f t="shared" si="219"/>
        <v>24.940381508597046</v>
      </c>
      <c r="BK200" s="137">
        <f t="shared" si="219"/>
        <v>24.940381508597046</v>
      </c>
      <c r="BL200" s="137">
        <f t="shared" si="219"/>
        <v>24.940381508597046</v>
      </c>
      <c r="BM200" s="137">
        <f t="shared" si="219"/>
        <v>24.940381508597046</v>
      </c>
      <c r="BN200" s="137">
        <f t="shared" si="219"/>
        <v>24.940381508597046</v>
      </c>
      <c r="BO200" s="137">
        <f t="shared" si="219"/>
        <v>24.940381508597046</v>
      </c>
      <c r="BP200" s="137">
        <f t="shared" si="219"/>
        <v>24.940381508597046</v>
      </c>
      <c r="BQ200" s="137">
        <f t="shared" si="219"/>
        <v>24.940381508597046</v>
      </c>
      <c r="BR200" s="137">
        <f t="shared" si="219"/>
        <v>24.940381508597046</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0.5293004478143063</v>
      </c>
      <c r="AF201" s="137">
        <f t="shared" si="217"/>
        <v>1.0701780041085369</v>
      </c>
      <c r="AG201" s="137">
        <f t="shared" si="217"/>
        <v>1.6251742919864671</v>
      </c>
      <c r="AH201" s="137">
        <f t="shared" si="217"/>
        <v>2.2222278247421556</v>
      </c>
      <c r="AI201" s="137">
        <f t="shared" si="217"/>
        <v>2.8344679004299858</v>
      </c>
      <c r="AJ201" s="137">
        <f t="shared" si="217"/>
        <v>3.4624193038718714</v>
      </c>
      <c r="AK201" s="137">
        <f t="shared" si="217"/>
        <v>4.1080761682200349</v>
      </c>
      <c r="AL201" s="137">
        <f t="shared" si="217"/>
        <v>4.7648589238490402</v>
      </c>
      <c r="AM201" s="137">
        <f t="shared" si="217"/>
        <v>5.4194651668066101</v>
      </c>
      <c r="AN201" s="137">
        <f t="shared" si="217"/>
        <v>6.0671005930080559</v>
      </c>
      <c r="AO201" s="137">
        <f t="shared" si="217"/>
        <v>6.0671005930080559</v>
      </c>
      <c r="AP201" s="137">
        <f t="shared" si="218"/>
        <v>6.0671005930080559</v>
      </c>
      <c r="AQ201" s="137">
        <f t="shared" si="218"/>
        <v>6.0671005930080559</v>
      </c>
      <c r="AR201" s="137">
        <f t="shared" si="218"/>
        <v>6.0671005930080559</v>
      </c>
      <c r="AS201" s="137">
        <f t="shared" si="218"/>
        <v>6.0671005930080559</v>
      </c>
      <c r="AT201" s="137">
        <f t="shared" si="218"/>
        <v>6.0671005930080559</v>
      </c>
      <c r="AU201" s="137">
        <f t="shared" si="218"/>
        <v>6.0671005930080559</v>
      </c>
      <c r="AV201" s="137">
        <f t="shared" si="218"/>
        <v>6.0671005930080559</v>
      </c>
      <c r="AW201" s="137">
        <f t="shared" si="218"/>
        <v>6.0671005930080559</v>
      </c>
      <c r="AX201" s="137">
        <f t="shared" si="218"/>
        <v>6.0671005930080559</v>
      </c>
      <c r="AY201" s="137">
        <f t="shared" si="219"/>
        <v>6.0671005930080559</v>
      </c>
      <c r="AZ201" s="137">
        <f t="shared" si="219"/>
        <v>6.0671005930080559</v>
      </c>
      <c r="BA201" s="137">
        <f t="shared" si="219"/>
        <v>6.0671005930080559</v>
      </c>
      <c r="BB201" s="137">
        <f t="shared" si="219"/>
        <v>6.0671005930080559</v>
      </c>
      <c r="BC201" s="137">
        <f t="shared" si="219"/>
        <v>6.0671005930080559</v>
      </c>
      <c r="BD201" s="137">
        <f t="shared" si="219"/>
        <v>6.0671005930080559</v>
      </c>
      <c r="BE201" s="137">
        <f t="shared" si="219"/>
        <v>6.0671005930080559</v>
      </c>
      <c r="BF201" s="137">
        <f t="shared" si="219"/>
        <v>6.0671005930080559</v>
      </c>
      <c r="BG201" s="137">
        <f t="shared" si="219"/>
        <v>6.0671005930080559</v>
      </c>
      <c r="BH201" s="137">
        <f t="shared" si="219"/>
        <v>6.0671005930080559</v>
      </c>
      <c r="BI201" s="137">
        <f t="shared" si="219"/>
        <v>6.0671005930080559</v>
      </c>
      <c r="BJ201" s="137">
        <f t="shared" si="219"/>
        <v>6.0671005930080559</v>
      </c>
      <c r="BK201" s="137">
        <f t="shared" si="219"/>
        <v>6.0671005930080559</v>
      </c>
      <c r="BL201" s="137">
        <f t="shared" si="219"/>
        <v>6.0671005930080559</v>
      </c>
      <c r="BM201" s="137">
        <f t="shared" si="219"/>
        <v>6.0671005930080559</v>
      </c>
      <c r="BN201" s="137">
        <f t="shared" si="219"/>
        <v>6.0671005930080559</v>
      </c>
      <c r="BO201" s="137">
        <f t="shared" si="219"/>
        <v>6.0671005930080559</v>
      </c>
      <c r="BP201" s="137">
        <f t="shared" si="219"/>
        <v>6.0671005930080559</v>
      </c>
      <c r="BQ201" s="137">
        <f t="shared" si="219"/>
        <v>6.0671005930080559</v>
      </c>
      <c r="BR201" s="137">
        <f t="shared" si="219"/>
        <v>6.0671005930080559</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0.28022495130922526</v>
      </c>
      <c r="AF202" s="137">
        <f t="shared" si="217"/>
        <v>0.56657911462551569</v>
      </c>
      <c r="AG202" s="137">
        <f t="shared" si="217"/>
        <v>0.86040808905698263</v>
      </c>
      <c r="AH202" s="137">
        <f t="shared" si="217"/>
        <v>1.176503225262423</v>
      </c>
      <c r="AI202" s="137">
        <f t="shared" si="217"/>
        <v>1.5006384987307131</v>
      </c>
      <c r="AJ202" s="137">
        <f t="shared" si="217"/>
        <v>1.833091743727393</v>
      </c>
      <c r="AK202" s="137">
        <f t="shared" si="217"/>
        <v>2.1749187044291269</v>
      </c>
      <c r="AL202" s="137">
        <f t="shared" si="217"/>
        <v>2.5226359914196834</v>
      </c>
      <c r="AM202" s="137">
        <f t="shared" si="217"/>
        <v>2.8692009779353471</v>
      </c>
      <c r="AN202" s="137">
        <f t="shared" si="217"/>
        <v>3.2120754389769877</v>
      </c>
      <c r="AO202" s="137">
        <f t="shared" si="217"/>
        <v>3.2120754389769877</v>
      </c>
      <c r="AP202" s="137">
        <f t="shared" si="218"/>
        <v>3.2120754389769877</v>
      </c>
      <c r="AQ202" s="137">
        <f t="shared" si="218"/>
        <v>3.2120754389769877</v>
      </c>
      <c r="AR202" s="137">
        <f t="shared" si="218"/>
        <v>3.2120754389769877</v>
      </c>
      <c r="AS202" s="137">
        <f t="shared" si="218"/>
        <v>3.2120754389769877</v>
      </c>
      <c r="AT202" s="137">
        <f t="shared" si="218"/>
        <v>3.2120754389769877</v>
      </c>
      <c r="AU202" s="137">
        <f t="shared" si="218"/>
        <v>3.2120754389769877</v>
      </c>
      <c r="AV202" s="137">
        <f t="shared" si="218"/>
        <v>3.2120754389769877</v>
      </c>
      <c r="AW202" s="137">
        <f t="shared" si="218"/>
        <v>3.2120754389769877</v>
      </c>
      <c r="AX202" s="137">
        <f t="shared" si="218"/>
        <v>3.2120754389769877</v>
      </c>
      <c r="AY202" s="137">
        <f t="shared" si="219"/>
        <v>3.2120754389769877</v>
      </c>
      <c r="AZ202" s="137">
        <f t="shared" si="219"/>
        <v>3.2120754389769877</v>
      </c>
      <c r="BA202" s="137">
        <f t="shared" si="219"/>
        <v>3.2120754389769877</v>
      </c>
      <c r="BB202" s="137">
        <f t="shared" si="219"/>
        <v>3.2120754389769877</v>
      </c>
      <c r="BC202" s="137">
        <f t="shared" si="219"/>
        <v>3.2120754389769877</v>
      </c>
      <c r="BD202" s="137">
        <f t="shared" si="219"/>
        <v>3.2120754389769877</v>
      </c>
      <c r="BE202" s="137">
        <f t="shared" si="219"/>
        <v>3.2120754389769877</v>
      </c>
      <c r="BF202" s="137">
        <f t="shared" si="219"/>
        <v>3.2120754389769877</v>
      </c>
      <c r="BG202" s="137">
        <f t="shared" si="219"/>
        <v>3.2120754389769877</v>
      </c>
      <c r="BH202" s="137">
        <f t="shared" si="219"/>
        <v>3.2120754389769877</v>
      </c>
      <c r="BI202" s="137">
        <f t="shared" si="219"/>
        <v>3.2120754389769877</v>
      </c>
      <c r="BJ202" s="137">
        <f t="shared" si="219"/>
        <v>3.2120754389769877</v>
      </c>
      <c r="BK202" s="137">
        <f t="shared" si="219"/>
        <v>3.2120754389769877</v>
      </c>
      <c r="BL202" s="137">
        <f t="shared" si="219"/>
        <v>3.2120754389769877</v>
      </c>
      <c r="BM202" s="137">
        <f t="shared" si="219"/>
        <v>3.2120754389769877</v>
      </c>
      <c r="BN202" s="137">
        <f t="shared" si="219"/>
        <v>3.2120754389769877</v>
      </c>
      <c r="BO202" s="137">
        <f t="shared" si="219"/>
        <v>3.2120754389769877</v>
      </c>
      <c r="BP202" s="137">
        <f t="shared" si="219"/>
        <v>3.2120754389769877</v>
      </c>
      <c r="BQ202" s="137">
        <f t="shared" si="219"/>
        <v>3.2120754389769877</v>
      </c>
      <c r="BR202" s="137">
        <f t="shared" si="219"/>
        <v>3.2120754389769877</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0.39328794668912315</v>
      </c>
      <c r="AF205" s="137">
        <f t="shared" si="217"/>
        <v>0.79517807242696692</v>
      </c>
      <c r="AG205" s="137">
        <f t="shared" si="217"/>
        <v>1.2075588882394883</v>
      </c>
      <c r="AH205" s="137">
        <f t="shared" si="217"/>
        <v>1.6511896445152727</v>
      </c>
      <c r="AI205" s="137">
        <f t="shared" si="217"/>
        <v>2.1061045104337968</v>
      </c>
      <c r="AJ205" s="137">
        <f t="shared" si="217"/>
        <v>2.5726934186805832</v>
      </c>
      <c r="AK205" s="137">
        <f t="shared" si="217"/>
        <v>3.0524380769248789</v>
      </c>
      <c r="AL205" s="137">
        <f t="shared" si="217"/>
        <v>3.5404496447382057</v>
      </c>
      <c r="AM205" s="137">
        <f t="shared" si="217"/>
        <v>4.0268439907958617</v>
      </c>
      <c r="AN205" s="137">
        <f t="shared" si="217"/>
        <v>4.5080587867131712</v>
      </c>
      <c r="AO205" s="137">
        <f t="shared" si="217"/>
        <v>4.5080587867131712</v>
      </c>
      <c r="AP205" s="137">
        <f t="shared" si="218"/>
        <v>4.5080587867131712</v>
      </c>
      <c r="AQ205" s="137">
        <f t="shared" si="218"/>
        <v>4.5080587867131712</v>
      </c>
      <c r="AR205" s="137">
        <f t="shared" si="218"/>
        <v>4.5080587867131712</v>
      </c>
      <c r="AS205" s="137">
        <f t="shared" si="218"/>
        <v>4.5080587867131712</v>
      </c>
      <c r="AT205" s="137">
        <f t="shared" si="218"/>
        <v>4.5080587867131712</v>
      </c>
      <c r="AU205" s="137">
        <f t="shared" si="218"/>
        <v>4.5080587867131712</v>
      </c>
      <c r="AV205" s="137">
        <f t="shared" si="218"/>
        <v>4.5080587867131712</v>
      </c>
      <c r="AW205" s="137">
        <f t="shared" si="218"/>
        <v>4.5080587867131712</v>
      </c>
      <c r="AX205" s="137">
        <f t="shared" si="218"/>
        <v>4.5080587867131712</v>
      </c>
      <c r="AY205" s="137">
        <f t="shared" si="220"/>
        <v>4.5080587867131712</v>
      </c>
      <c r="AZ205" s="137">
        <f t="shared" si="220"/>
        <v>4.5080587867131712</v>
      </c>
      <c r="BA205" s="137">
        <f t="shared" si="220"/>
        <v>4.5080587867131712</v>
      </c>
      <c r="BB205" s="137">
        <f t="shared" si="220"/>
        <v>4.5080587867131712</v>
      </c>
      <c r="BC205" s="137">
        <f t="shared" si="220"/>
        <v>4.5080587867131712</v>
      </c>
      <c r="BD205" s="137">
        <f t="shared" si="220"/>
        <v>4.5080587867131712</v>
      </c>
      <c r="BE205" s="137">
        <f t="shared" si="220"/>
        <v>4.5080587867131712</v>
      </c>
      <c r="BF205" s="137">
        <f t="shared" si="220"/>
        <v>4.5080587867131712</v>
      </c>
      <c r="BG205" s="137">
        <f t="shared" si="220"/>
        <v>4.5080587867131712</v>
      </c>
      <c r="BH205" s="137">
        <f t="shared" si="220"/>
        <v>4.5080587867131712</v>
      </c>
      <c r="BI205" s="137">
        <f t="shared" si="220"/>
        <v>4.5080587867131712</v>
      </c>
      <c r="BJ205" s="137">
        <f t="shared" si="220"/>
        <v>4.5080587867131712</v>
      </c>
      <c r="BK205" s="137">
        <f t="shared" si="220"/>
        <v>4.5080587867131712</v>
      </c>
      <c r="BL205" s="137">
        <f t="shared" si="220"/>
        <v>4.5080587867131712</v>
      </c>
      <c r="BM205" s="137">
        <f t="shared" si="220"/>
        <v>4.5080587867131712</v>
      </c>
      <c r="BN205" s="137">
        <f t="shared" si="220"/>
        <v>4.5080587867131712</v>
      </c>
      <c r="BO205" s="137">
        <f t="shared" si="220"/>
        <v>4.5080587867131712</v>
      </c>
      <c r="BP205" s="137">
        <f t="shared" si="220"/>
        <v>4.5080587867131712</v>
      </c>
      <c r="BQ205" s="137">
        <f t="shared" si="220"/>
        <v>4.5080587867131712</v>
      </c>
      <c r="BR205" s="137">
        <f t="shared" si="220"/>
        <v>4.5080587867131712</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218</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3.199159327564594</v>
      </c>
      <c r="AP208" s="137">
        <f t="shared" si="223"/>
        <v>6.3548758764919899</v>
      </c>
      <c r="AQ208" s="137">
        <f t="shared" si="223"/>
        <v>9.4694949587561794</v>
      </c>
      <c r="AR208" s="137">
        <f t="shared" ref="AP208:BE216" si="224">INDEX(AR$49:AR$52,MATCH($I$207,$B$49:$B$52,0),1)*INDEX(AR$81:AR$89,MATCH($B208,$B$81:$B$89,0))*INDEX(AR$138:AR$146,MATCH($B208,$B$138:$B$146,0))/1000</f>
        <v>12.54516091198132</v>
      </c>
      <c r="AS208" s="137">
        <f t="shared" si="224"/>
        <v>15.583840280092664</v>
      </c>
      <c r="AT208" s="137">
        <f t="shared" si="224"/>
        <v>18.992663046914302</v>
      </c>
      <c r="AU208" s="137">
        <f t="shared" si="224"/>
        <v>22.353122077206049</v>
      </c>
      <c r="AV208" s="137">
        <f t="shared" si="224"/>
        <v>25.667866799587475</v>
      </c>
      <c r="AW208" s="137">
        <f t="shared" si="224"/>
        <v>28.93931637802498</v>
      </c>
      <c r="AX208" s="137">
        <f t="shared" si="224"/>
        <v>32.169686636291523</v>
      </c>
      <c r="AY208" s="137">
        <f t="shared" si="224"/>
        <v>35.241121286707013</v>
      </c>
      <c r="AZ208" s="137">
        <f t="shared" si="224"/>
        <v>38.279334700652342</v>
      </c>
      <c r="BA208" s="137">
        <f t="shared" si="224"/>
        <v>41.285793615343458</v>
      </c>
      <c r="BB208" s="137">
        <f t="shared" si="224"/>
        <v>44.261861347703011</v>
      </c>
      <c r="BC208" s="137">
        <f t="shared" si="224"/>
        <v>47.208807666390015</v>
      </c>
      <c r="BD208" s="137">
        <f t="shared" si="224"/>
        <v>50.127817488105336</v>
      </c>
      <c r="BE208" s="137">
        <f t="shared" si="224"/>
        <v>53.019998564577378</v>
      </c>
      <c r="BF208" s="137">
        <f t="shared" ref="AY208:BR214" si="225">INDEX(BF$49:BF$52,MATCH($I$207,$B$49:$B$52,0),1)*INDEX(BF$81:BF$89,MATCH($B208,$B$81:$B$89,0))*INDEX(BF$138:BF$146,MATCH($B208,$B$138:$B$146,0))/1000</f>
        <v>55.886388299531056</v>
      </c>
      <c r="BG208" s="137">
        <f t="shared" si="225"/>
        <v>58.727959812809118</v>
      </c>
      <c r="BH208" s="137">
        <f t="shared" si="225"/>
        <v>61.545627350634135</v>
      </c>
      <c r="BI208" s="137">
        <f t="shared" si="225"/>
        <v>63.257975711737046</v>
      </c>
      <c r="BJ208" s="137">
        <f t="shared" si="225"/>
        <v>64.966936705683381</v>
      </c>
      <c r="BK208" s="137">
        <f t="shared" si="225"/>
        <v>66.672556750750559</v>
      </c>
      <c r="BL208" s="137">
        <f t="shared" si="225"/>
        <v>68.374881229664624</v>
      </c>
      <c r="BM208" s="137">
        <f t="shared" si="225"/>
        <v>70.07395452146001</v>
      </c>
      <c r="BN208" s="137">
        <f t="shared" si="225"/>
        <v>71.769820032094273</v>
      </c>
      <c r="BO208" s="137">
        <f t="shared" si="225"/>
        <v>73.462520223876794</v>
      </c>
      <c r="BP208" s="137">
        <f t="shared" si="225"/>
        <v>75.152096643766868</v>
      </c>
      <c r="BQ208" s="137">
        <f t="shared" si="225"/>
        <v>76.838589950593231</v>
      </c>
      <c r="BR208" s="137">
        <f t="shared" si="225"/>
        <v>78.522039941245993</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0.29878054402467763</v>
      </c>
      <c r="AP209" s="137">
        <f t="shared" si="224"/>
        <v>0.59350381683959441</v>
      </c>
      <c r="AQ209" s="137">
        <f t="shared" si="224"/>
        <v>0.88438885523402766</v>
      </c>
      <c r="AR209" s="137">
        <f t="shared" si="224"/>
        <v>1.1716359263082743</v>
      </c>
      <c r="AS209" s="137">
        <f t="shared" si="224"/>
        <v>1.455428692394739</v>
      </c>
      <c r="AT209" s="137">
        <f t="shared" si="224"/>
        <v>1.773790429485844</v>
      </c>
      <c r="AU209" s="137">
        <f t="shared" si="224"/>
        <v>2.0876353101056373</v>
      </c>
      <c r="AV209" s="137">
        <f t="shared" si="224"/>
        <v>2.3972107735477768</v>
      </c>
      <c r="AW209" s="137">
        <f t="shared" si="224"/>
        <v>2.7027427538942992</v>
      </c>
      <c r="AX209" s="137">
        <f t="shared" si="224"/>
        <v>3.0044381945839529</v>
      </c>
      <c r="AY209" s="137">
        <f t="shared" si="225"/>
        <v>3.2912900896678989</v>
      </c>
      <c r="AZ209" s="137">
        <f t="shared" si="225"/>
        <v>3.5750393386847339</v>
      </c>
      <c r="BA209" s="137">
        <f t="shared" si="225"/>
        <v>3.855822925291243</v>
      </c>
      <c r="BB209" s="137">
        <f t="shared" si="225"/>
        <v>4.1337681743656569</v>
      </c>
      <c r="BC209" s="137">
        <f t="shared" si="225"/>
        <v>4.4089936739906186</v>
      </c>
      <c r="BD209" s="137">
        <f t="shared" si="225"/>
        <v>4.6816100876312019</v>
      </c>
      <c r="BE209" s="137">
        <f t="shared" si="225"/>
        <v>4.9517208720490649</v>
      </c>
      <c r="BF209" s="137">
        <f t="shared" si="225"/>
        <v>5.2194229139627382</v>
      </c>
      <c r="BG209" s="137">
        <f t="shared" si="225"/>
        <v>5.4848070963968656</v>
      </c>
      <c r="BH209" s="137">
        <f t="shared" si="225"/>
        <v>5.7479588039652763</v>
      </c>
      <c r="BI209" s="137">
        <f t="shared" si="225"/>
        <v>5.9078809342830461</v>
      </c>
      <c r="BJ209" s="137">
        <f t="shared" si="225"/>
        <v>6.0674867066773039</v>
      </c>
      <c r="BK209" s="137">
        <f t="shared" si="225"/>
        <v>6.2267804563113716</v>
      </c>
      <c r="BL209" s="137">
        <f t="shared" si="225"/>
        <v>6.3857664216348491</v>
      </c>
      <c r="BM209" s="137">
        <f t="shared" si="225"/>
        <v>6.5444487473591151</v>
      </c>
      <c r="BN209" s="137">
        <f t="shared" si="225"/>
        <v>6.7028314873165264</v>
      </c>
      <c r="BO209" s="137">
        <f t="shared" si="225"/>
        <v>6.8609186072088848</v>
      </c>
      <c r="BP209" s="137">
        <f t="shared" si="225"/>
        <v>7.018713987250278</v>
      </c>
      <c r="BQ209" s="137">
        <f t="shared" si="225"/>
        <v>7.1762214247092162</v>
      </c>
      <c r="BR209" s="137">
        <f t="shared" si="225"/>
        <v>7.3334446363547814</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0.22329587272256368</v>
      </c>
      <c r="AP210" s="137">
        <f t="shared" si="224"/>
        <v>0.44355951348165368</v>
      </c>
      <c r="AQ210" s="137">
        <f t="shared" si="224"/>
        <v>0.66095462105886149</v>
      </c>
      <c r="AR210" s="137">
        <f t="shared" si="224"/>
        <v>0.87563086656843003</v>
      </c>
      <c r="AS210" s="137">
        <f t="shared" si="224"/>
        <v>1.0877255114272115</v>
      </c>
      <c r="AT210" s="137">
        <f t="shared" si="224"/>
        <v>1.3256555351417345</v>
      </c>
      <c r="AU210" s="137">
        <f t="shared" si="224"/>
        <v>1.5602098524125319</v>
      </c>
      <c r="AV210" s="137">
        <f t="shared" si="224"/>
        <v>1.7915733888451286</v>
      </c>
      <c r="AW210" s="137">
        <f t="shared" si="224"/>
        <v>2.0199149979644124</v>
      </c>
      <c r="AX210" s="137">
        <f t="shared" si="224"/>
        <v>2.2453893404960681</v>
      </c>
      <c r="AY210" s="137">
        <f t="shared" si="225"/>
        <v>2.4597702482756612</v>
      </c>
      <c r="AZ210" s="137">
        <f t="shared" si="225"/>
        <v>2.6718323703271993</v>
      </c>
      <c r="BA210" s="137">
        <f t="shared" si="225"/>
        <v>2.8816780824104247</v>
      </c>
      <c r="BB210" s="137">
        <f t="shared" si="225"/>
        <v>3.0894025417247351</v>
      </c>
      <c r="BC210" s="137">
        <f t="shared" si="225"/>
        <v>3.2950943759600446</v>
      </c>
      <c r="BD210" s="137">
        <f t="shared" si="225"/>
        <v>3.4988362902840962</v>
      </c>
      <c r="BE210" s="137">
        <f t="shared" si="225"/>
        <v>3.7007056038809729</v>
      </c>
      <c r="BF210" s="137">
        <f t="shared" si="225"/>
        <v>3.9007747257639176</v>
      </c>
      <c r="BG210" s="137">
        <f t="shared" si="225"/>
        <v>4.0991115780406782</v>
      </c>
      <c r="BH210" s="137">
        <f t="shared" si="225"/>
        <v>4.2957799735405793</v>
      </c>
      <c r="BI210" s="137">
        <f t="shared" si="225"/>
        <v>4.4152989729236483</v>
      </c>
      <c r="BJ210" s="137">
        <f t="shared" si="225"/>
        <v>4.5345815398480553</v>
      </c>
      <c r="BK210" s="137">
        <f t="shared" si="225"/>
        <v>4.6536309142305141</v>
      </c>
      <c r="BL210" s="137">
        <f t="shared" si="225"/>
        <v>4.7724502637080128</v>
      </c>
      <c r="BM210" s="137">
        <f t="shared" si="225"/>
        <v>4.891042685861577</v>
      </c>
      <c r="BN210" s="137">
        <f t="shared" si="225"/>
        <v>5.0094112103531181</v>
      </c>
      <c r="BO210" s="137">
        <f t="shared" si="225"/>
        <v>5.1275588009795179</v>
      </c>
      <c r="BP210" s="137">
        <f t="shared" si="225"/>
        <v>5.2454883576477771</v>
      </c>
      <c r="BQ210" s="137">
        <f t="shared" si="225"/>
        <v>5.3632027182748976</v>
      </c>
      <c r="BR210" s="137">
        <f t="shared" si="225"/>
        <v>5.4807046606160341</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2.7840073079514012</v>
      </c>
      <c r="AP211" s="137">
        <f t="shared" si="224"/>
        <v>5.5302093674546908</v>
      </c>
      <c r="AQ211" s="137">
        <f t="shared" si="224"/>
        <v>8.2406471414649651</v>
      </c>
      <c r="AR211" s="137">
        <f t="shared" si="224"/>
        <v>10.91718669884755</v>
      </c>
      <c r="AS211" s="137">
        <f t="shared" si="224"/>
        <v>13.561539386896756</v>
      </c>
      <c r="AT211" s="137">
        <f t="shared" si="224"/>
        <v>16.528002298754011</v>
      </c>
      <c r="AU211" s="137">
        <f t="shared" si="224"/>
        <v>19.452377592536436</v>
      </c>
      <c r="AV211" s="137">
        <f t="shared" si="224"/>
        <v>22.336970882901998</v>
      </c>
      <c r="AW211" s="137">
        <f t="shared" si="224"/>
        <v>25.183887401091773</v>
      </c>
      <c r="AX211" s="137">
        <f t="shared" si="224"/>
        <v>27.995055425426859</v>
      </c>
      <c r="AY211" s="137">
        <f t="shared" si="225"/>
        <v>30.667912772347862</v>
      </c>
      <c r="AZ211" s="137">
        <f t="shared" si="225"/>
        <v>33.31185997268279</v>
      </c>
      <c r="BA211" s="137">
        <f t="shared" si="225"/>
        <v>35.928173426482374</v>
      </c>
      <c r="BB211" s="137">
        <f t="shared" si="225"/>
        <v>38.518039534262236</v>
      </c>
      <c r="BC211" s="137">
        <f t="shared" si="225"/>
        <v>41.082563287948105</v>
      </c>
      <c r="BD211" s="137">
        <f t="shared" si="225"/>
        <v>43.622775838669611</v>
      </c>
      <c r="BE211" s="137">
        <f t="shared" si="225"/>
        <v>46.139641186212806</v>
      </c>
      <c r="BF211" s="137">
        <f t="shared" si="225"/>
        <v>48.634062111357181</v>
      </c>
      <c r="BG211" s="137">
        <f t="shared" si="225"/>
        <v>51.106885453061437</v>
      </c>
      <c r="BH211" s="137">
        <f t="shared" si="225"/>
        <v>53.558906816640715</v>
      </c>
      <c r="BI211" s="137">
        <f t="shared" si="225"/>
        <v>55.049045275827183</v>
      </c>
      <c r="BJ211" s="137">
        <f t="shared" si="225"/>
        <v>56.536235943436857</v>
      </c>
      <c r="BK211" s="137">
        <f t="shared" si="225"/>
        <v>58.020519214089163</v>
      </c>
      <c r="BL211" s="137">
        <f t="shared" si="225"/>
        <v>59.501934581234728</v>
      </c>
      <c r="BM211" s="137">
        <f t="shared" si="225"/>
        <v>60.980520664880771</v>
      </c>
      <c r="BN211" s="137">
        <f t="shared" si="225"/>
        <v>62.456315238232847</v>
      </c>
      <c r="BO211" s="137">
        <f t="shared" si="225"/>
        <v>63.929355253304799</v>
      </c>
      <c r="BP211" s="137">
        <f t="shared" si="225"/>
        <v>65.39967686554445</v>
      </c>
      <c r="BQ211" s="137">
        <f t="shared" si="225"/>
        <v>66.867315457521059</v>
      </c>
      <c r="BR211" s="137">
        <f t="shared" si="225"/>
        <v>68.332305661718181</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0.67724915848574196</v>
      </c>
      <c r="AP212" s="137">
        <f t="shared" si="224"/>
        <v>1.3453016555170751</v>
      </c>
      <c r="AQ212" s="137">
        <f t="shared" si="224"/>
        <v>2.0046539842030136</v>
      </c>
      <c r="AR212" s="137">
        <f t="shared" si="224"/>
        <v>2.6557600921912901</v>
      </c>
      <c r="AS212" s="137">
        <f t="shared" si="224"/>
        <v>3.2990362889188947</v>
      </c>
      <c r="AT212" s="137">
        <f t="shared" si="224"/>
        <v>4.0206703539576196</v>
      </c>
      <c r="AU212" s="137">
        <f t="shared" si="224"/>
        <v>4.7320660105545151</v>
      </c>
      <c r="AV212" s="137">
        <f t="shared" si="224"/>
        <v>5.4337841320889142</v>
      </c>
      <c r="AW212" s="137">
        <f t="shared" si="224"/>
        <v>6.126336845839492</v>
      </c>
      <c r="AX212" s="137">
        <f t="shared" si="224"/>
        <v>6.8101932327840737</v>
      </c>
      <c r="AY212" s="137">
        <f t="shared" si="225"/>
        <v>7.4604035909913256</v>
      </c>
      <c r="AZ212" s="137">
        <f t="shared" si="225"/>
        <v>8.103581147096655</v>
      </c>
      <c r="BA212" s="137">
        <f t="shared" si="225"/>
        <v>8.7400364034675651</v>
      </c>
      <c r="BB212" s="137">
        <f t="shared" si="225"/>
        <v>9.3700579688115564</v>
      </c>
      <c r="BC212" s="137">
        <f t="shared" si="225"/>
        <v>9.9939146480450898</v>
      </c>
      <c r="BD212" s="137">
        <f t="shared" si="225"/>
        <v>10.611857283266467</v>
      </c>
      <c r="BE212" s="137">
        <f t="shared" si="225"/>
        <v>11.224120381059784</v>
      </c>
      <c r="BF212" s="137">
        <f t="shared" si="225"/>
        <v>11.830923555619821</v>
      </c>
      <c r="BG212" s="137">
        <f t="shared" si="225"/>
        <v>12.432472812502139</v>
      </c>
      <c r="BH212" s="137">
        <f t="shared" si="225"/>
        <v>13.028961693953779</v>
      </c>
      <c r="BI212" s="137">
        <f t="shared" si="225"/>
        <v>13.391458952717761</v>
      </c>
      <c r="BJ212" s="137">
        <f t="shared" si="225"/>
        <v>13.753239119483071</v>
      </c>
      <c r="BK212" s="137">
        <f t="shared" si="225"/>
        <v>14.114312020812282</v>
      </c>
      <c r="BL212" s="137">
        <f t="shared" si="225"/>
        <v>14.47468726404591</v>
      </c>
      <c r="BM212" s="137">
        <f t="shared" si="225"/>
        <v>14.834374244047002</v>
      </c>
      <c r="BN212" s="137">
        <f t="shared" si="225"/>
        <v>15.193382149682128</v>
      </c>
      <c r="BO212" s="137">
        <f t="shared" si="225"/>
        <v>15.551719970051353</v>
      </c>
      <c r="BP212" s="137">
        <f t="shared" si="225"/>
        <v>15.909396500478797</v>
      </c>
      <c r="BQ212" s="137">
        <f t="shared" si="225"/>
        <v>16.266420348274927</v>
      </c>
      <c r="BR212" s="137">
        <f t="shared" si="225"/>
        <v>16.622799938281265</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0.35855271470970268</v>
      </c>
      <c r="AP213" s="137">
        <f t="shared" si="224"/>
        <v>0.71223648585642307</v>
      </c>
      <c r="AQ213" s="137">
        <f t="shared" si="224"/>
        <v>1.0613141693623001</v>
      </c>
      <c r="AR213" s="137">
        <f t="shared" si="224"/>
        <v>1.4060260965136724</v>
      </c>
      <c r="AS213" s="137">
        <f t="shared" si="224"/>
        <v>1.7465926719827671</v>
      </c>
      <c r="AT213" s="137">
        <f t="shared" si="224"/>
        <v>2.1286438710202931</v>
      </c>
      <c r="AU213" s="137">
        <f t="shared" si="224"/>
        <v>2.5052745994745362</v>
      </c>
      <c r="AV213" s="137">
        <f t="shared" si="224"/>
        <v>2.8767817977997576</v>
      </c>
      <c r="AW213" s="137">
        <f t="shared" si="224"/>
        <v>3.2434365990401925</v>
      </c>
      <c r="AX213" s="137">
        <f t="shared" si="224"/>
        <v>3.6054873464472279</v>
      </c>
      <c r="AY213" s="137">
        <f t="shared" si="225"/>
        <v>3.9497250411663223</v>
      </c>
      <c r="AZ213" s="137">
        <f t="shared" si="225"/>
        <v>4.290239393812465</v>
      </c>
      <c r="BA213" s="137">
        <f t="shared" si="225"/>
        <v>4.6271947921377841</v>
      </c>
      <c r="BB213" s="137">
        <f t="shared" si="225"/>
        <v>4.9607440328409007</v>
      </c>
      <c r="BC213" s="137">
        <f t="shared" si="225"/>
        <v>5.2910294279960617</v>
      </c>
      <c r="BD213" s="137">
        <f t="shared" si="225"/>
        <v>5.6181837797104128</v>
      </c>
      <c r="BE213" s="137">
        <f t="shared" si="225"/>
        <v>5.9423312416595842</v>
      </c>
      <c r="BF213" s="137">
        <f t="shared" si="225"/>
        <v>6.2635880831142607</v>
      </c>
      <c r="BG213" s="137">
        <f t="shared" si="225"/>
        <v>6.5820633685897176</v>
      </c>
      <c r="BH213" s="137">
        <f t="shared" si="225"/>
        <v>6.8978595642126646</v>
      </c>
      <c r="BI213" s="137">
        <f t="shared" si="225"/>
        <v>7.089774717706927</v>
      </c>
      <c r="BJ213" s="137">
        <f t="shared" si="225"/>
        <v>7.2813102246861678</v>
      </c>
      <c r="BK213" s="137">
        <f t="shared" si="225"/>
        <v>7.472471287579423</v>
      </c>
      <c r="BL213" s="137">
        <f t="shared" si="225"/>
        <v>7.663262992754067</v>
      </c>
      <c r="BM213" s="137">
        <f t="shared" si="225"/>
        <v>7.8536903140865615</v>
      </c>
      <c r="BN213" s="137">
        <f t="shared" si="225"/>
        <v>8.0437581163936631</v>
      </c>
      <c r="BO213" s="137">
        <f t="shared" si="225"/>
        <v>8.2334711587307225</v>
      </c>
      <c r="BP213" s="137">
        <f t="shared" si="225"/>
        <v>8.4228340975632374</v>
      </c>
      <c r="BQ213" s="137">
        <f t="shared" si="225"/>
        <v>8.6118514898175569</v>
      </c>
      <c r="BR213" s="137">
        <f t="shared" si="225"/>
        <v>8.8005277958163806</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0.50321879007976689</v>
      </c>
      <c r="AP216" s="137">
        <f t="shared" si="224"/>
        <v>0.99960415291658478</v>
      </c>
      <c r="AQ216" s="137">
        <f t="shared" si="224"/>
        <v>1.489524999506459</v>
      </c>
      <c r="AR216" s="137">
        <f t="shared" si="224"/>
        <v>1.9733186281438053</v>
      </c>
      <c r="AS216" s="137">
        <f t="shared" si="224"/>
        <v>2.4512943706728296</v>
      </c>
      <c r="AT216" s="137">
        <f t="shared" si="224"/>
        <v>2.9874926317398107</v>
      </c>
      <c r="AU216" s="137">
        <f t="shared" si="224"/>
        <v>3.5160834126883076</v>
      </c>
      <c r="AV216" s="137">
        <f t="shared" si="224"/>
        <v>4.0374834612097725</v>
      </c>
      <c r="AW216" s="137">
        <f t="shared" si="224"/>
        <v>4.5520733050114943</v>
      </c>
      <c r="AX216" s="137">
        <f t="shared" si="224"/>
        <v>5.0602014869586096</v>
      </c>
      <c r="AY216" s="137">
        <f t="shared" si="226"/>
        <v>5.5433295435308239</v>
      </c>
      <c r="AZ216" s="137">
        <f t="shared" si="226"/>
        <v>6.0212319927763165</v>
      </c>
      <c r="BA216" s="137">
        <f t="shared" si="226"/>
        <v>6.4941395483456459</v>
      </c>
      <c r="BB216" s="137">
        <f t="shared" si="226"/>
        <v>6.9622666561672775</v>
      </c>
      <c r="BC216" s="137">
        <f t="shared" si="226"/>
        <v>7.425813047290168</v>
      </c>
      <c r="BD216" s="137">
        <f t="shared" si="226"/>
        <v>7.8849651057882228</v>
      </c>
      <c r="BE216" s="137">
        <f t="shared" si="226"/>
        <v>8.3398970779015986</v>
      </c>
      <c r="BF216" s="137">
        <f t="shared" si="226"/>
        <v>8.7907721443267892</v>
      </c>
      <c r="BG216" s="137">
        <f t="shared" si="226"/>
        <v>9.2377433740859125</v>
      </c>
      <c r="BH216" s="137">
        <f t="shared" si="226"/>
        <v>9.680954575545746</v>
      </c>
      <c r="BI216" s="137">
        <f t="shared" si="226"/>
        <v>9.9503021704106924</v>
      </c>
      <c r="BJ216" s="137">
        <f t="shared" si="226"/>
        <v>10.219116941921891</v>
      </c>
      <c r="BK216" s="137">
        <f t="shared" si="226"/>
        <v>10.487406191544194</v>
      </c>
      <c r="BL216" s="137">
        <f t="shared" si="226"/>
        <v>10.755177057853135</v>
      </c>
      <c r="BM216" s="137">
        <f t="shared" si="226"/>
        <v>11.022436521546371</v>
      </c>
      <c r="BN216" s="137">
        <f t="shared" si="226"/>
        <v>11.289191410259285</v>
      </c>
      <c r="BO216" s="137">
        <f t="shared" si="226"/>
        <v>11.555448403194063</v>
      </c>
      <c r="BP216" s="137">
        <f t="shared" si="226"/>
        <v>11.821214035570875</v>
      </c>
      <c r="BQ216" s="137">
        <f t="shared" si="226"/>
        <v>12.08649470290946</v>
      </c>
      <c r="BR216" s="137">
        <f t="shared" si="226"/>
        <v>12.351296665149013</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466</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1.7663141176431716</v>
      </c>
      <c r="S220" s="137">
        <f t="shared" si="228"/>
        <v>3.4029475996970713</v>
      </c>
      <c r="T220" s="137">
        <f t="shared" si="228"/>
        <v>4.4302493543804173</v>
      </c>
      <c r="U220" s="137">
        <f t="shared" si="228"/>
        <v>7.8096695115239028</v>
      </c>
      <c r="V220" s="137">
        <f t="shared" si="228"/>
        <v>9.7380730180887642</v>
      </c>
      <c r="W220" s="137">
        <f t="shared" si="228"/>
        <v>10.860509619133577</v>
      </c>
      <c r="X220" s="137">
        <f t="shared" si="228"/>
        <v>12.36390722550196</v>
      </c>
      <c r="Y220" s="137">
        <f t="shared" si="228"/>
        <v>13.917235381760324</v>
      </c>
      <c r="Z220" s="137">
        <f t="shared" si="228"/>
        <v>15.617289035028104</v>
      </c>
      <c r="AA220" s="137">
        <f t="shared" si="228"/>
        <v>17.418220519680553</v>
      </c>
      <c r="AB220" s="137">
        <f t="shared" si="228"/>
        <v>19.32202716912996</v>
      </c>
      <c r="AC220" s="137">
        <f t="shared" si="228"/>
        <v>21.430715623327153</v>
      </c>
      <c r="AD220" s="137">
        <f t="shared" si="228"/>
        <v>23.757462408106875</v>
      </c>
      <c r="AE220" s="137">
        <f t="shared" si="228"/>
        <v>26.257748223884533</v>
      </c>
      <c r="AF220" s="137">
        <f t="shared" si="228"/>
        <v>28.812721467643033</v>
      </c>
      <c r="AG220" s="137">
        <f t="shared" si="228"/>
        <v>31.434388145086068</v>
      </c>
      <c r="AH220" s="137">
        <f t="shared" si="228"/>
        <v>34.254722957522702</v>
      </c>
      <c r="AI220" s="137">
        <f t="shared" si="228"/>
        <v>37.146795283201065</v>
      </c>
      <c r="AJ220" s="137">
        <f t="shared" si="228"/>
        <v>40.113084077224983</v>
      </c>
      <c r="AK220" s="137">
        <f t="shared" si="228"/>
        <v>43.163009136716987</v>
      </c>
      <c r="AL220" s="137">
        <f t="shared" si="228"/>
        <v>46.265490184537072</v>
      </c>
      <c r="AM220" s="137">
        <f t="shared" si="228"/>
        <v>49.357689919007186</v>
      </c>
      <c r="AN220" s="137">
        <f t="shared" si="228"/>
        <v>52.416961220615228</v>
      </c>
      <c r="AO220" s="137">
        <f t="shared" si="228"/>
        <v>55.616120548179822</v>
      </c>
      <c r="AP220" s="137">
        <f t="shared" si="228"/>
        <v>58.771837097107216</v>
      </c>
      <c r="AQ220" s="137">
        <f t="shared" si="228"/>
        <v>61.886456179371407</v>
      </c>
      <c r="AR220" s="137">
        <f t="shared" si="228"/>
        <v>64.962122132596548</v>
      </c>
      <c r="AS220" s="137">
        <f t="shared" si="228"/>
        <v>68.000801500707894</v>
      </c>
      <c r="AT220" s="137">
        <f t="shared" si="228"/>
        <v>71.409624267529523</v>
      </c>
      <c r="AU220" s="137">
        <f t="shared" si="228"/>
        <v>74.770083297821273</v>
      </c>
      <c r="AV220" s="137">
        <f t="shared" si="228"/>
        <v>78.084828020202707</v>
      </c>
      <c r="AW220" s="137">
        <f t="shared" si="228"/>
        <v>81.356277598640204</v>
      </c>
      <c r="AX220" s="137">
        <f t="shared" si="228"/>
        <v>84.586647856906751</v>
      </c>
      <c r="AY220" s="137">
        <f t="shared" ref="AY220:BR225" si="229">AY186+AY197+AY208</f>
        <v>87.658082507322234</v>
      </c>
      <c r="AZ220" s="137">
        <f t="shared" si="229"/>
        <v>90.696295921267563</v>
      </c>
      <c r="BA220" s="137">
        <f t="shared" si="229"/>
        <v>93.702754835958686</v>
      </c>
      <c r="BB220" s="137">
        <f t="shared" si="229"/>
        <v>96.678822568318239</v>
      </c>
      <c r="BC220" s="137">
        <f t="shared" si="229"/>
        <v>99.62576888700525</v>
      </c>
      <c r="BD220" s="137">
        <f t="shared" si="229"/>
        <v>102.54477870872057</v>
      </c>
      <c r="BE220" s="137">
        <f t="shared" si="229"/>
        <v>105.43695978519261</v>
      </c>
      <c r="BF220" s="137">
        <f t="shared" si="229"/>
        <v>108.30334952014628</v>
      </c>
      <c r="BG220" s="137">
        <f t="shared" si="229"/>
        <v>111.14492103342434</v>
      </c>
      <c r="BH220" s="137">
        <f t="shared" si="229"/>
        <v>113.96258857124937</v>
      </c>
      <c r="BI220" s="137">
        <f t="shared" si="229"/>
        <v>115.67493693235227</v>
      </c>
      <c r="BJ220" s="137">
        <f t="shared" si="229"/>
        <v>117.3838979262986</v>
      </c>
      <c r="BK220" s="137">
        <f t="shared" si="229"/>
        <v>119.08951797136578</v>
      </c>
      <c r="BL220" s="137">
        <f t="shared" si="229"/>
        <v>120.79184245027986</v>
      </c>
      <c r="BM220" s="137">
        <f t="shared" si="229"/>
        <v>122.49091574207523</v>
      </c>
      <c r="BN220" s="137">
        <f t="shared" si="229"/>
        <v>124.18678125270949</v>
      </c>
      <c r="BO220" s="137">
        <f t="shared" si="229"/>
        <v>125.87948144449203</v>
      </c>
      <c r="BP220" s="137">
        <f t="shared" si="229"/>
        <v>127.5690578643821</v>
      </c>
      <c r="BQ220" s="137">
        <f t="shared" si="229"/>
        <v>129.25555117120845</v>
      </c>
      <c r="BR220" s="137">
        <f t="shared" si="229"/>
        <v>130.93900116186123</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0.16496217879515399</v>
      </c>
      <c r="S221" s="137">
        <f t="shared" si="228"/>
        <v>0.31781303493220059</v>
      </c>
      <c r="T221" s="137">
        <f t="shared" si="228"/>
        <v>0.4137562955560648</v>
      </c>
      <c r="U221" s="137">
        <f t="shared" si="228"/>
        <v>0.7293720213311059</v>
      </c>
      <c r="V221" s="137">
        <f t="shared" si="228"/>
        <v>0.90947228824377724</v>
      </c>
      <c r="W221" s="137">
        <f t="shared" si="228"/>
        <v>1.0143005208997224</v>
      </c>
      <c r="X221" s="137">
        <f t="shared" si="228"/>
        <v>1.1547080182212432</v>
      </c>
      <c r="Y221" s="137">
        <f t="shared" si="228"/>
        <v>1.2997787021277649</v>
      </c>
      <c r="Z221" s="137">
        <f t="shared" si="228"/>
        <v>1.4585525871974923</v>
      </c>
      <c r="AA221" s="137">
        <f t="shared" si="228"/>
        <v>1.626747801515015</v>
      </c>
      <c r="AB221" s="137">
        <f t="shared" si="228"/>
        <v>1.8045508829493231</v>
      </c>
      <c r="AC221" s="137">
        <f t="shared" si="228"/>
        <v>2.0014885840807062</v>
      </c>
      <c r="AD221" s="137">
        <f t="shared" si="228"/>
        <v>2.2187915061872387</v>
      </c>
      <c r="AE221" s="137">
        <f t="shared" si="228"/>
        <v>2.4523018380480548</v>
      </c>
      <c r="AF221" s="137">
        <f t="shared" si="228"/>
        <v>2.6909196177757657</v>
      </c>
      <c r="AG221" s="137">
        <f t="shared" si="228"/>
        <v>2.9357661277287725</v>
      </c>
      <c r="AH221" s="137">
        <f t="shared" si="228"/>
        <v>3.199166941289703</v>
      </c>
      <c r="AI221" s="137">
        <f t="shared" si="228"/>
        <v>3.4692675690951651</v>
      </c>
      <c r="AJ221" s="137">
        <f t="shared" si="228"/>
        <v>3.7462995293281232</v>
      </c>
      <c r="AK221" s="137">
        <f t="shared" si="228"/>
        <v>4.0311425693911591</v>
      </c>
      <c r="AL221" s="137">
        <f t="shared" si="228"/>
        <v>4.3208939948069096</v>
      </c>
      <c r="AM221" s="137">
        <f t="shared" si="228"/>
        <v>4.6096852128427024</v>
      </c>
      <c r="AN221" s="137">
        <f t="shared" si="228"/>
        <v>4.8954011307521021</v>
      </c>
      <c r="AO221" s="137">
        <f t="shared" si="228"/>
        <v>5.1941816747767797</v>
      </c>
      <c r="AP221" s="137">
        <f t="shared" si="228"/>
        <v>5.4889049475916964</v>
      </c>
      <c r="AQ221" s="137">
        <f t="shared" si="228"/>
        <v>5.7797899859861301</v>
      </c>
      <c r="AR221" s="137">
        <f t="shared" si="228"/>
        <v>6.0670370570603769</v>
      </c>
      <c r="AS221" s="137">
        <f t="shared" si="228"/>
        <v>6.3508298231468414</v>
      </c>
      <c r="AT221" s="137">
        <f t="shared" si="228"/>
        <v>6.6691915602379463</v>
      </c>
      <c r="AU221" s="137">
        <f t="shared" si="228"/>
        <v>6.9830364408577399</v>
      </c>
      <c r="AV221" s="137">
        <f t="shared" si="228"/>
        <v>7.2926119042998785</v>
      </c>
      <c r="AW221" s="137">
        <f t="shared" si="228"/>
        <v>7.5981438846464009</v>
      </c>
      <c r="AX221" s="137">
        <f t="shared" si="228"/>
        <v>7.899839325336055</v>
      </c>
      <c r="AY221" s="137">
        <f t="shared" si="229"/>
        <v>8.186691220420002</v>
      </c>
      <c r="AZ221" s="137">
        <f t="shared" si="229"/>
        <v>8.470440469436836</v>
      </c>
      <c r="BA221" s="137">
        <f t="shared" si="229"/>
        <v>8.7512240560433447</v>
      </c>
      <c r="BB221" s="137">
        <f t="shared" si="229"/>
        <v>9.0291693051177582</v>
      </c>
      <c r="BC221" s="137">
        <f t="shared" si="229"/>
        <v>9.3043948047427207</v>
      </c>
      <c r="BD221" s="137">
        <f t="shared" si="229"/>
        <v>9.5770112183833049</v>
      </c>
      <c r="BE221" s="137">
        <f t="shared" si="229"/>
        <v>9.8471220028011679</v>
      </c>
      <c r="BF221" s="137">
        <f t="shared" si="229"/>
        <v>10.11482404471484</v>
      </c>
      <c r="BG221" s="137">
        <f t="shared" si="229"/>
        <v>10.380208227148968</v>
      </c>
      <c r="BH221" s="137">
        <f t="shared" si="229"/>
        <v>10.643359934717378</v>
      </c>
      <c r="BI221" s="137">
        <f t="shared" si="229"/>
        <v>10.803282065035148</v>
      </c>
      <c r="BJ221" s="137">
        <f t="shared" si="229"/>
        <v>10.962887837429406</v>
      </c>
      <c r="BK221" s="137">
        <f t="shared" si="229"/>
        <v>11.122181587063473</v>
      </c>
      <c r="BL221" s="137">
        <f t="shared" si="229"/>
        <v>11.28116755238695</v>
      </c>
      <c r="BM221" s="137">
        <f t="shared" si="229"/>
        <v>11.439849878111218</v>
      </c>
      <c r="BN221" s="137">
        <f t="shared" si="229"/>
        <v>11.598232618068629</v>
      </c>
      <c r="BO221" s="137">
        <f t="shared" si="229"/>
        <v>11.756319737960986</v>
      </c>
      <c r="BP221" s="137">
        <f t="shared" si="229"/>
        <v>11.91411511800238</v>
      </c>
      <c r="BQ221" s="137">
        <f t="shared" si="229"/>
        <v>12.071622555461317</v>
      </c>
      <c r="BR221" s="137">
        <f t="shared" si="229"/>
        <v>12.228845767106883</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0.12328571728297376</v>
      </c>
      <c r="S222" s="137">
        <f t="shared" si="228"/>
        <v>0.23751994705495594</v>
      </c>
      <c r="T222" s="137">
        <f t="shared" si="228"/>
        <v>0.3092238599813768</v>
      </c>
      <c r="U222" s="137">
        <f t="shared" si="228"/>
        <v>0.54510163161460012</v>
      </c>
      <c r="V222" s="137">
        <f t="shared" si="228"/>
        <v>0.67970091219730777</v>
      </c>
      <c r="W222" s="137">
        <f t="shared" si="228"/>
        <v>0.75804507537996768</v>
      </c>
      <c r="X222" s="137">
        <f t="shared" si="228"/>
        <v>0.86297966793700664</v>
      </c>
      <c r="Y222" s="137">
        <f t="shared" si="228"/>
        <v>0.97139932784193805</v>
      </c>
      <c r="Z222" s="137">
        <f t="shared" si="228"/>
        <v>1.0900601775566656</v>
      </c>
      <c r="AA222" s="137">
        <f t="shared" si="228"/>
        <v>1.2157621281016378</v>
      </c>
      <c r="AB222" s="137">
        <f t="shared" si="228"/>
        <v>1.3486445899474655</v>
      </c>
      <c r="AC222" s="137">
        <f t="shared" si="228"/>
        <v>1.495827452839888</v>
      </c>
      <c r="AD222" s="137">
        <f t="shared" si="228"/>
        <v>1.6582304158418353</v>
      </c>
      <c r="AE222" s="137">
        <f t="shared" si="228"/>
        <v>1.832746107661078</v>
      </c>
      <c r="AF222" s="137">
        <f t="shared" si="228"/>
        <v>2.0110788888177349</v>
      </c>
      <c r="AG222" s="137">
        <f t="shared" si="228"/>
        <v>2.1940667580630455</v>
      </c>
      <c r="AH222" s="137">
        <f t="shared" si="228"/>
        <v>2.3909213247883256</v>
      </c>
      <c r="AI222" s="137">
        <f t="shared" si="228"/>
        <v>2.5927830477650113</v>
      </c>
      <c r="AJ222" s="137">
        <f t="shared" si="228"/>
        <v>2.7998249538375557</v>
      </c>
      <c r="AK222" s="137">
        <f t="shared" si="228"/>
        <v>3.0127045288026864</v>
      </c>
      <c r="AL222" s="137">
        <f t="shared" si="228"/>
        <v>3.2292524222474244</v>
      </c>
      <c r="AM222" s="137">
        <f t="shared" si="228"/>
        <v>3.4450826975299682</v>
      </c>
      <c r="AN222" s="137">
        <f t="shared" si="228"/>
        <v>3.6586146242776425</v>
      </c>
      <c r="AO222" s="137">
        <f t="shared" si="228"/>
        <v>3.8819104970002063</v>
      </c>
      <c r="AP222" s="137">
        <f t="shared" si="228"/>
        <v>4.1021741377592962</v>
      </c>
      <c r="AQ222" s="137">
        <f t="shared" si="228"/>
        <v>4.3195692453365044</v>
      </c>
      <c r="AR222" s="137">
        <f t="shared" si="228"/>
        <v>4.5342454908460725</v>
      </c>
      <c r="AS222" s="137">
        <f t="shared" si="228"/>
        <v>4.7463401357048536</v>
      </c>
      <c r="AT222" s="137">
        <f t="shared" si="228"/>
        <v>4.9842701594193768</v>
      </c>
      <c r="AU222" s="137">
        <f t="shared" si="228"/>
        <v>5.2188244766901741</v>
      </c>
      <c r="AV222" s="137">
        <f t="shared" si="228"/>
        <v>5.4501880131227711</v>
      </c>
      <c r="AW222" s="137">
        <f t="shared" si="228"/>
        <v>5.6785296222420545</v>
      </c>
      <c r="AX222" s="137">
        <f t="shared" si="228"/>
        <v>5.904003964773711</v>
      </c>
      <c r="AY222" s="137">
        <f t="shared" si="229"/>
        <v>6.1183848725533032</v>
      </c>
      <c r="AZ222" s="137">
        <f t="shared" si="229"/>
        <v>6.3304469946048414</v>
      </c>
      <c r="BA222" s="137">
        <f t="shared" si="229"/>
        <v>6.5402927066880672</v>
      </c>
      <c r="BB222" s="137">
        <f t="shared" si="229"/>
        <v>6.7480171660023771</v>
      </c>
      <c r="BC222" s="137">
        <f t="shared" si="229"/>
        <v>6.9537090002376871</v>
      </c>
      <c r="BD222" s="137">
        <f t="shared" si="229"/>
        <v>7.1574509145617391</v>
      </c>
      <c r="BE222" s="137">
        <f t="shared" si="229"/>
        <v>7.3593202281586159</v>
      </c>
      <c r="BF222" s="137">
        <f t="shared" si="229"/>
        <v>7.5593893500415597</v>
      </c>
      <c r="BG222" s="137">
        <f t="shared" si="229"/>
        <v>7.7577262023183202</v>
      </c>
      <c r="BH222" s="137">
        <f t="shared" si="229"/>
        <v>7.9543945978182222</v>
      </c>
      <c r="BI222" s="137">
        <f t="shared" si="229"/>
        <v>8.0739135972012903</v>
      </c>
      <c r="BJ222" s="137">
        <f t="shared" si="229"/>
        <v>8.1931961641256983</v>
      </c>
      <c r="BK222" s="137">
        <f t="shared" si="229"/>
        <v>8.3122455385081562</v>
      </c>
      <c r="BL222" s="137">
        <f t="shared" si="229"/>
        <v>8.4310648879856558</v>
      </c>
      <c r="BM222" s="137">
        <f t="shared" si="229"/>
        <v>8.549657310139219</v>
      </c>
      <c r="BN222" s="137">
        <f t="shared" si="229"/>
        <v>8.668025834630761</v>
      </c>
      <c r="BO222" s="137">
        <f t="shared" si="229"/>
        <v>8.7861734252571608</v>
      </c>
      <c r="BP222" s="137">
        <f t="shared" si="229"/>
        <v>8.9041029819254192</v>
      </c>
      <c r="BQ222" s="137">
        <f t="shared" si="229"/>
        <v>9.0218173425525396</v>
      </c>
      <c r="BR222" s="137">
        <f t="shared" si="229"/>
        <v>9.1393192848936771</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1.5371011281891316</v>
      </c>
      <c r="S223" s="137">
        <f t="shared" si="228"/>
        <v>2.9613501598697858</v>
      </c>
      <c r="T223" s="137">
        <f t="shared" si="228"/>
        <v>3.8553398926934275</v>
      </c>
      <c r="U223" s="137">
        <f t="shared" si="228"/>
        <v>6.7962157450030283</v>
      </c>
      <c r="V223" s="137">
        <f t="shared" si="228"/>
        <v>8.4743720683527251</v>
      </c>
      <c r="W223" s="137">
        <f t="shared" si="228"/>
        <v>9.4511510843574502</v>
      </c>
      <c r="X223" s="137">
        <f t="shared" si="228"/>
        <v>10.759454139733087</v>
      </c>
      <c r="Y223" s="137">
        <f t="shared" si="228"/>
        <v>12.111208302587499</v>
      </c>
      <c r="Z223" s="137">
        <f t="shared" si="228"/>
        <v>13.590647527082144</v>
      </c>
      <c r="AA223" s="137">
        <f t="shared" si="228"/>
        <v>15.157873757796017</v>
      </c>
      <c r="AB223" s="137">
        <f t="shared" si="228"/>
        <v>16.814625135986514</v>
      </c>
      <c r="AC223" s="137">
        <f t="shared" si="228"/>
        <v>18.64967099196981</v>
      </c>
      <c r="AD223" s="137">
        <f t="shared" si="228"/>
        <v>20.674477945711125</v>
      </c>
      <c r="AE223" s="137">
        <f t="shared" si="228"/>
        <v>22.850303926967033</v>
      </c>
      <c r="AF223" s="137">
        <f t="shared" si="228"/>
        <v>25.073720598014454</v>
      </c>
      <c r="AG223" s="137">
        <f t="shared" si="228"/>
        <v>27.35517595602888</v>
      </c>
      <c r="AH223" s="137">
        <f t="shared" si="228"/>
        <v>29.809518464399869</v>
      </c>
      <c r="AI223" s="137">
        <f t="shared" si="228"/>
        <v>32.326289173641769</v>
      </c>
      <c r="AJ223" s="137">
        <f t="shared" si="228"/>
        <v>34.907645347091119</v>
      </c>
      <c r="AK223" s="137">
        <f t="shared" si="228"/>
        <v>37.561784383296526</v>
      </c>
      <c r="AL223" s="137">
        <f t="shared" si="228"/>
        <v>40.261659264641409</v>
      </c>
      <c r="AM223" s="137">
        <f t="shared" si="228"/>
        <v>42.952587029393811</v>
      </c>
      <c r="AN223" s="137">
        <f t="shared" si="228"/>
        <v>45.614859454308174</v>
      </c>
      <c r="AO223" s="137">
        <f t="shared" si="228"/>
        <v>48.398866762259573</v>
      </c>
      <c r="AP223" s="137">
        <f t="shared" si="228"/>
        <v>51.145068821762862</v>
      </c>
      <c r="AQ223" s="137">
        <f t="shared" si="228"/>
        <v>53.855506595773136</v>
      </c>
      <c r="AR223" s="137">
        <f t="shared" si="228"/>
        <v>56.532046153155726</v>
      </c>
      <c r="AS223" s="137">
        <f t="shared" si="228"/>
        <v>59.176398841204929</v>
      </c>
      <c r="AT223" s="137">
        <f t="shared" si="228"/>
        <v>62.142861753062185</v>
      </c>
      <c r="AU223" s="137">
        <f t="shared" si="228"/>
        <v>65.06723704684461</v>
      </c>
      <c r="AV223" s="137">
        <f t="shared" si="228"/>
        <v>67.951830337210168</v>
      </c>
      <c r="AW223" s="137">
        <f t="shared" si="228"/>
        <v>70.798746855399941</v>
      </c>
      <c r="AX223" s="137">
        <f t="shared" si="228"/>
        <v>73.60991487973503</v>
      </c>
      <c r="AY223" s="137">
        <f t="shared" si="229"/>
        <v>76.282772226656036</v>
      </c>
      <c r="AZ223" s="137">
        <f t="shared" si="229"/>
        <v>78.926719426990957</v>
      </c>
      <c r="BA223" s="137">
        <f t="shared" si="229"/>
        <v>81.543032880790548</v>
      </c>
      <c r="BB223" s="137">
        <f t="shared" si="229"/>
        <v>84.132898988570417</v>
      </c>
      <c r="BC223" s="137">
        <f t="shared" si="229"/>
        <v>86.697422742256279</v>
      </c>
      <c r="BD223" s="137">
        <f t="shared" si="229"/>
        <v>89.237635292977785</v>
      </c>
      <c r="BE223" s="137">
        <f t="shared" si="229"/>
        <v>91.754500640520973</v>
      </c>
      <c r="BF223" s="137">
        <f t="shared" si="229"/>
        <v>94.248921565665356</v>
      </c>
      <c r="BG223" s="137">
        <f t="shared" si="229"/>
        <v>96.721744907369612</v>
      </c>
      <c r="BH223" s="137">
        <f t="shared" si="229"/>
        <v>99.173766270948889</v>
      </c>
      <c r="BI223" s="137">
        <f t="shared" si="229"/>
        <v>100.66390473013536</v>
      </c>
      <c r="BJ223" s="137">
        <f t="shared" si="229"/>
        <v>102.15109539774502</v>
      </c>
      <c r="BK223" s="137">
        <f t="shared" si="229"/>
        <v>103.63537866839734</v>
      </c>
      <c r="BL223" s="137">
        <f t="shared" si="229"/>
        <v>105.11679403554291</v>
      </c>
      <c r="BM223" s="137">
        <f t="shared" si="229"/>
        <v>106.59538011918895</v>
      </c>
      <c r="BN223" s="137">
        <f t="shared" si="229"/>
        <v>108.07117469254102</v>
      </c>
      <c r="BO223" s="137">
        <f t="shared" si="229"/>
        <v>109.54421470761298</v>
      </c>
      <c r="BP223" s="137">
        <f t="shared" si="229"/>
        <v>111.01453631985262</v>
      </c>
      <c r="BQ223" s="137">
        <f t="shared" si="229"/>
        <v>112.48217491182923</v>
      </c>
      <c r="BR223" s="137">
        <f t="shared" si="229"/>
        <v>113.94716511602635</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0.37392159230343008</v>
      </c>
      <c r="S224" s="137">
        <f t="shared" si="228"/>
        <v>0.72039031579598123</v>
      </c>
      <c r="T224" s="137">
        <f t="shared" si="228"/>
        <v>0.93786596412508894</v>
      </c>
      <c r="U224" s="137">
        <f t="shared" si="228"/>
        <v>1.6532756149903027</v>
      </c>
      <c r="V224" s="137">
        <f t="shared" si="228"/>
        <v>2.0615108787951302</v>
      </c>
      <c r="W224" s="137">
        <f t="shared" si="228"/>
        <v>2.2991261913434693</v>
      </c>
      <c r="X224" s="137">
        <f t="shared" si="228"/>
        <v>2.617389416000544</v>
      </c>
      <c r="Y224" s="137">
        <f t="shared" si="228"/>
        <v>2.9462227371840277</v>
      </c>
      <c r="Z224" s="137">
        <f t="shared" si="228"/>
        <v>3.3061172557645402</v>
      </c>
      <c r="AA224" s="137">
        <f t="shared" si="228"/>
        <v>3.6873672053879765</v>
      </c>
      <c r="AB224" s="137">
        <f t="shared" si="228"/>
        <v>4.0903954135018585</v>
      </c>
      <c r="AC224" s="137">
        <f t="shared" si="228"/>
        <v>4.5367962753810369</v>
      </c>
      <c r="AD224" s="137">
        <f t="shared" si="228"/>
        <v>5.0293592085316856</v>
      </c>
      <c r="AE224" s="137">
        <f t="shared" si="228"/>
        <v>5.5586596563459922</v>
      </c>
      <c r="AF224" s="137">
        <f t="shared" si="228"/>
        <v>6.0995372126402225</v>
      </c>
      <c r="AG224" s="137">
        <f t="shared" si="228"/>
        <v>6.654533500518153</v>
      </c>
      <c r="AH224" s="137">
        <f t="shared" si="228"/>
        <v>7.2515870332738412</v>
      </c>
      <c r="AI224" s="137">
        <f t="shared" si="228"/>
        <v>7.8638271089616714</v>
      </c>
      <c r="AJ224" s="137">
        <f t="shared" si="228"/>
        <v>8.4917785124035561</v>
      </c>
      <c r="AK224" s="137">
        <f t="shared" si="228"/>
        <v>9.1374353767517213</v>
      </c>
      <c r="AL224" s="137">
        <f t="shared" si="228"/>
        <v>9.7942181323807258</v>
      </c>
      <c r="AM224" s="137">
        <f t="shared" si="228"/>
        <v>10.448824375338296</v>
      </c>
      <c r="AN224" s="137">
        <f t="shared" si="228"/>
        <v>11.096459801539741</v>
      </c>
      <c r="AO224" s="137">
        <f t="shared" si="228"/>
        <v>11.773708960025482</v>
      </c>
      <c r="AP224" s="137">
        <f t="shared" si="228"/>
        <v>12.441761457056815</v>
      </c>
      <c r="AQ224" s="137">
        <f t="shared" si="228"/>
        <v>13.101113785742754</v>
      </c>
      <c r="AR224" s="137">
        <f t="shared" si="228"/>
        <v>13.752219893731031</v>
      </c>
      <c r="AS224" s="137">
        <f t="shared" si="228"/>
        <v>14.395496090458636</v>
      </c>
      <c r="AT224" s="137">
        <f t="shared" si="228"/>
        <v>15.11713015549736</v>
      </c>
      <c r="AU224" s="137">
        <f t="shared" si="228"/>
        <v>15.828525812094256</v>
      </c>
      <c r="AV224" s="137">
        <f t="shared" si="228"/>
        <v>16.530243933628654</v>
      </c>
      <c r="AW224" s="137">
        <f t="shared" si="228"/>
        <v>17.222796647379234</v>
      </c>
      <c r="AX224" s="137">
        <f t="shared" si="228"/>
        <v>17.906653034323814</v>
      </c>
      <c r="AY224" s="137">
        <f t="shared" si="229"/>
        <v>18.556863392531067</v>
      </c>
      <c r="AZ224" s="137">
        <f t="shared" si="229"/>
        <v>19.200040948636396</v>
      </c>
      <c r="BA224" s="137">
        <f t="shared" si="229"/>
        <v>19.836496205007307</v>
      </c>
      <c r="BB224" s="137">
        <f t="shared" si="229"/>
        <v>20.466517770351295</v>
      </c>
      <c r="BC224" s="137">
        <f t="shared" si="229"/>
        <v>21.090374449584829</v>
      </c>
      <c r="BD224" s="137">
        <f t="shared" si="229"/>
        <v>21.708317084806207</v>
      </c>
      <c r="BE224" s="137">
        <f t="shared" si="229"/>
        <v>22.320580182599524</v>
      </c>
      <c r="BF224" s="137">
        <f t="shared" si="229"/>
        <v>22.927383357159563</v>
      </c>
      <c r="BG224" s="137">
        <f t="shared" si="229"/>
        <v>23.528932614041878</v>
      </c>
      <c r="BH224" s="137">
        <f t="shared" si="229"/>
        <v>24.125421495493519</v>
      </c>
      <c r="BI224" s="137">
        <f t="shared" si="229"/>
        <v>24.4879187542575</v>
      </c>
      <c r="BJ224" s="137">
        <f t="shared" si="229"/>
        <v>24.849698921022814</v>
      </c>
      <c r="BK224" s="137">
        <f t="shared" si="229"/>
        <v>25.210771822352022</v>
      </c>
      <c r="BL224" s="137">
        <f t="shared" si="229"/>
        <v>25.571147065585649</v>
      </c>
      <c r="BM224" s="137">
        <f t="shared" si="229"/>
        <v>25.930834045586742</v>
      </c>
      <c r="BN224" s="137">
        <f t="shared" si="229"/>
        <v>26.289841951221867</v>
      </c>
      <c r="BO224" s="137">
        <f t="shared" si="229"/>
        <v>26.648179771591096</v>
      </c>
      <c r="BP224" s="137">
        <f t="shared" si="229"/>
        <v>27.005856302018536</v>
      </c>
      <c r="BQ224" s="137">
        <f t="shared" si="229"/>
        <v>27.362880149814668</v>
      </c>
      <c r="BR224" s="137">
        <f t="shared" si="229"/>
        <v>27.719259739821005</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0.19796348261065</v>
      </c>
      <c r="S225" s="137">
        <f t="shared" si="228"/>
        <v>0.38139272694964443</v>
      </c>
      <c r="T225" s="137">
        <f t="shared" si="228"/>
        <v>0.49652979742751913</v>
      </c>
      <c r="U225" s="137">
        <f t="shared" si="228"/>
        <v>0.87528563526536463</v>
      </c>
      <c r="V225" s="137">
        <f t="shared" si="228"/>
        <v>1.0914156374121804</v>
      </c>
      <c r="W225" s="137">
        <f t="shared" si="228"/>
        <v>1.2172151519679375</v>
      </c>
      <c r="X225" s="137">
        <f t="shared" si="228"/>
        <v>1.3857116967967349</v>
      </c>
      <c r="Y225" s="137">
        <f t="shared" si="228"/>
        <v>1.5598043162116735</v>
      </c>
      <c r="Z225" s="137">
        <f t="shared" si="228"/>
        <v>1.7503415136807803</v>
      </c>
      <c r="AA225" s="137">
        <f t="shared" si="228"/>
        <v>1.9521848127201815</v>
      </c>
      <c r="AB225" s="137">
        <f t="shared" si="228"/>
        <v>2.1655580688005909</v>
      </c>
      <c r="AC225" s="137">
        <f t="shared" si="228"/>
        <v>2.4018938971586556</v>
      </c>
      <c r="AD225" s="137">
        <f t="shared" si="228"/>
        <v>2.6626690854828756</v>
      </c>
      <c r="AE225" s="137">
        <f t="shared" si="228"/>
        <v>2.9428940367921008</v>
      </c>
      <c r="AF225" s="137">
        <f t="shared" si="228"/>
        <v>3.2292482001083913</v>
      </c>
      <c r="AG225" s="137">
        <f t="shared" si="228"/>
        <v>3.5230771745398584</v>
      </c>
      <c r="AH225" s="137">
        <f t="shared" si="228"/>
        <v>3.8391723107452984</v>
      </c>
      <c r="AI225" s="137">
        <f t="shared" si="228"/>
        <v>4.1633075842135892</v>
      </c>
      <c r="AJ225" s="137">
        <f t="shared" si="228"/>
        <v>4.4957608292102691</v>
      </c>
      <c r="AK225" s="137">
        <f t="shared" si="228"/>
        <v>4.8375877899120026</v>
      </c>
      <c r="AL225" s="137">
        <f t="shared" si="228"/>
        <v>5.1853050769025586</v>
      </c>
      <c r="AM225" s="137">
        <f t="shared" si="228"/>
        <v>5.5318700634182232</v>
      </c>
      <c r="AN225" s="137">
        <f t="shared" si="228"/>
        <v>5.8747445244598637</v>
      </c>
      <c r="AO225" s="137">
        <f t="shared" si="228"/>
        <v>6.2332972391695662</v>
      </c>
      <c r="AP225" s="137">
        <f t="shared" si="228"/>
        <v>6.5869810103162871</v>
      </c>
      <c r="AQ225" s="137">
        <f t="shared" si="228"/>
        <v>6.9360586938221633</v>
      </c>
      <c r="AR225" s="137">
        <f t="shared" si="228"/>
        <v>7.2807706209735361</v>
      </c>
      <c r="AS225" s="137">
        <f t="shared" si="228"/>
        <v>7.6213371964426306</v>
      </c>
      <c r="AT225" s="137">
        <f t="shared" si="228"/>
        <v>8.0033883954801563</v>
      </c>
      <c r="AU225" s="137">
        <f t="shared" si="228"/>
        <v>8.3800191239343995</v>
      </c>
      <c r="AV225" s="137">
        <f t="shared" si="228"/>
        <v>8.7515263222596218</v>
      </c>
      <c r="AW225" s="137">
        <f t="shared" si="228"/>
        <v>9.1181811235000563</v>
      </c>
      <c r="AX225" s="137">
        <f t="shared" si="228"/>
        <v>9.4802318709070921</v>
      </c>
      <c r="AY225" s="137">
        <f t="shared" si="229"/>
        <v>9.8244695656261865</v>
      </c>
      <c r="AZ225" s="137">
        <f t="shared" si="229"/>
        <v>10.164983918272329</v>
      </c>
      <c r="BA225" s="137">
        <f t="shared" si="229"/>
        <v>10.501939316597648</v>
      </c>
      <c r="BB225" s="137">
        <f t="shared" si="229"/>
        <v>10.835488557300764</v>
      </c>
      <c r="BC225" s="137">
        <f t="shared" si="229"/>
        <v>11.165773952455925</v>
      </c>
      <c r="BD225" s="137">
        <f t="shared" si="229"/>
        <v>11.492928304170277</v>
      </c>
      <c r="BE225" s="137">
        <f t="shared" si="229"/>
        <v>11.817075766119448</v>
      </c>
      <c r="BF225" s="137">
        <f t="shared" si="229"/>
        <v>12.138332607574124</v>
      </c>
      <c r="BG225" s="137">
        <f t="shared" si="229"/>
        <v>12.456807893049582</v>
      </c>
      <c r="BH225" s="137">
        <f t="shared" si="229"/>
        <v>12.772604088672528</v>
      </c>
      <c r="BI225" s="137">
        <f t="shared" si="229"/>
        <v>12.964519242166791</v>
      </c>
      <c r="BJ225" s="137">
        <f t="shared" si="229"/>
        <v>13.156054749146032</v>
      </c>
      <c r="BK225" s="137">
        <f t="shared" si="229"/>
        <v>13.347215812039288</v>
      </c>
      <c r="BL225" s="137">
        <f t="shared" si="229"/>
        <v>13.538007517213931</v>
      </c>
      <c r="BM225" s="137">
        <f t="shared" si="229"/>
        <v>13.728434838546425</v>
      </c>
      <c r="BN225" s="137">
        <f t="shared" si="229"/>
        <v>13.918502640853527</v>
      </c>
      <c r="BO225" s="137">
        <f t="shared" si="229"/>
        <v>14.108215683190586</v>
      </c>
      <c r="BP225" s="137">
        <f t="shared" si="229"/>
        <v>14.297578622023101</v>
      </c>
      <c r="BQ225" s="137">
        <f t="shared" si="229"/>
        <v>14.486596014277421</v>
      </c>
      <c r="BR225" s="137">
        <f t="shared" si="229"/>
        <v>14.675272320276244</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0.27783625702001274</v>
      </c>
      <c r="S228" s="137">
        <f t="shared" si="232"/>
        <v>0.53527411375538358</v>
      </c>
      <c r="T228" s="137">
        <f t="shared" si="232"/>
        <v>0.69686579866596787</v>
      </c>
      <c r="U228" s="137">
        <f t="shared" si="232"/>
        <v>1.2284391116911484</v>
      </c>
      <c r="V228" s="137">
        <f t="shared" si="232"/>
        <v>1.5317715750035923</v>
      </c>
      <c r="W228" s="137">
        <f t="shared" si="232"/>
        <v>1.7083277044380716</v>
      </c>
      <c r="X228" s="137">
        <f t="shared" si="232"/>
        <v>1.9448079315924471</v>
      </c>
      <c r="Y228" s="137">
        <f t="shared" si="232"/>
        <v>2.1891420942126696</v>
      </c>
      <c r="Z228" s="137">
        <f t="shared" si="232"/>
        <v>2.4565557660160557</v>
      </c>
      <c r="AA228" s="137">
        <f t="shared" si="232"/>
        <v>2.7398372377810984</v>
      </c>
      <c r="AB228" s="137">
        <f t="shared" si="232"/>
        <v>3.0393006844519657</v>
      </c>
      <c r="AC228" s="137">
        <f t="shared" si="232"/>
        <v>3.3709914644119889</v>
      </c>
      <c r="AD228" s="137">
        <f t="shared" si="232"/>
        <v>3.7369822082209807</v>
      </c>
      <c r="AE228" s="137">
        <f t="shared" si="232"/>
        <v>4.1302701549101037</v>
      </c>
      <c r="AF228" s="137">
        <f t="shared" si="232"/>
        <v>4.5321602806479477</v>
      </c>
      <c r="AG228" s="137">
        <f t="shared" si="232"/>
        <v>4.944541096460469</v>
      </c>
      <c r="AH228" s="137">
        <f t="shared" si="232"/>
        <v>5.388171852736253</v>
      </c>
      <c r="AI228" s="137">
        <f t="shared" si="232"/>
        <v>5.8430867186547779</v>
      </c>
      <c r="AJ228" s="137">
        <f t="shared" si="232"/>
        <v>6.3096756269015639</v>
      </c>
      <c r="AK228" s="137">
        <f t="shared" si="230"/>
        <v>6.7894202851458596</v>
      </c>
      <c r="AL228" s="137">
        <f t="shared" si="230"/>
        <v>7.2774318529591859</v>
      </c>
      <c r="AM228" s="137">
        <f t="shared" si="230"/>
        <v>7.763826199016842</v>
      </c>
      <c r="AN228" s="137">
        <f t="shared" si="230"/>
        <v>8.2450409949341523</v>
      </c>
      <c r="AO228" s="137">
        <f t="shared" si="230"/>
        <v>8.7482597850139197</v>
      </c>
      <c r="AP228" s="137">
        <f t="shared" si="230"/>
        <v>9.2446451478507363</v>
      </c>
      <c r="AQ228" s="137">
        <f t="shared" si="230"/>
        <v>9.7345659944406115</v>
      </c>
      <c r="AR228" s="137">
        <f t="shared" si="230"/>
        <v>10.218359623077959</v>
      </c>
      <c r="AS228" s="137">
        <f t="shared" si="230"/>
        <v>10.696335365606982</v>
      </c>
      <c r="AT228" s="137">
        <f t="shared" si="230"/>
        <v>11.232533626673963</v>
      </c>
      <c r="AU228" s="137">
        <f t="shared" si="232"/>
        <v>11.761124407622461</v>
      </c>
      <c r="AV228" s="137">
        <f t="shared" si="232"/>
        <v>12.282524456143925</v>
      </c>
      <c r="AW228" s="137">
        <f t="shared" si="232"/>
        <v>12.797114299945648</v>
      </c>
      <c r="AX228" s="137">
        <f t="shared" si="232"/>
        <v>13.305242481892762</v>
      </c>
      <c r="AY228" s="137">
        <f t="shared" ref="AY228:BR228" si="234">AY194+AY205+AY216</f>
        <v>13.788370538464976</v>
      </c>
      <c r="AZ228" s="137">
        <f t="shared" si="234"/>
        <v>14.266272987710469</v>
      </c>
      <c r="BA228" s="137">
        <f t="shared" si="234"/>
        <v>14.739180543279797</v>
      </c>
      <c r="BB228" s="137">
        <f t="shared" si="234"/>
        <v>15.207307651101431</v>
      </c>
      <c r="BC228" s="137">
        <f t="shared" si="234"/>
        <v>15.67085404222432</v>
      </c>
      <c r="BD228" s="137">
        <f t="shared" si="234"/>
        <v>16.130006100722376</v>
      </c>
      <c r="BE228" s="137">
        <f t="shared" si="234"/>
        <v>16.584938072835751</v>
      </c>
      <c r="BF228" s="137">
        <f t="shared" si="234"/>
        <v>17.035813139260942</v>
      </c>
      <c r="BG228" s="137">
        <f t="shared" si="234"/>
        <v>17.482784369020067</v>
      </c>
      <c r="BH228" s="137">
        <f t="shared" si="234"/>
        <v>17.925995570479898</v>
      </c>
      <c r="BI228" s="137">
        <f t="shared" si="234"/>
        <v>18.195343165344845</v>
      </c>
      <c r="BJ228" s="137">
        <f t="shared" si="234"/>
        <v>18.464157936856044</v>
      </c>
      <c r="BK228" s="137">
        <f t="shared" si="234"/>
        <v>18.732447186478346</v>
      </c>
      <c r="BL228" s="137">
        <f t="shared" si="234"/>
        <v>19.000218052787289</v>
      </c>
      <c r="BM228" s="137">
        <f t="shared" si="234"/>
        <v>19.267477516480525</v>
      </c>
      <c r="BN228" s="137">
        <f t="shared" si="234"/>
        <v>19.534232405193436</v>
      </c>
      <c r="BO228" s="137">
        <f t="shared" si="234"/>
        <v>19.800489398128214</v>
      </c>
      <c r="BP228" s="137">
        <f t="shared" si="234"/>
        <v>20.066255030505026</v>
      </c>
      <c r="BQ228" s="137">
        <f t="shared" si="234"/>
        <v>20.331535697843613</v>
      </c>
      <c r="BR228" s="137">
        <f t="shared" si="234"/>
        <v>20.596337660083165</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483</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125.22862793988226</v>
      </c>
      <c r="V233" s="77">
        <f t="shared" si="236"/>
        <v>124.42660162316926</v>
      </c>
      <c r="W233" s="77">
        <f t="shared" si="236"/>
        <v>123.42308358007631</v>
      </c>
      <c r="X233" s="77">
        <f t="shared" si="236"/>
        <v>122.51480578831422</v>
      </c>
      <c r="Y233" s="77">
        <f t="shared" si="236"/>
        <v>121.61901063402462</v>
      </c>
      <c r="Z233" s="77">
        <f t="shared" si="236"/>
        <v>120.7598968539874</v>
      </c>
      <c r="AA233" s="77">
        <f t="shared" si="236"/>
        <v>119.92600253179631</v>
      </c>
      <c r="AB233" s="77">
        <f t="shared" si="236"/>
        <v>119.1178270008045</v>
      </c>
      <c r="AC233" s="77">
        <f t="shared" si="236"/>
        <v>118.3608719209996</v>
      </c>
      <c r="AD233" s="77">
        <f t="shared" si="236"/>
        <v>117.65843142384037</v>
      </c>
      <c r="AE233" s="77">
        <f t="shared" si="236"/>
        <v>116.9993756844306</v>
      </c>
      <c r="AF233" s="77">
        <f t="shared" si="236"/>
        <v>116.35399180201604</v>
      </c>
      <c r="AG233" s="77">
        <f t="shared" si="236"/>
        <v>115.72528127802261</v>
      </c>
      <c r="AH233" s="77">
        <f t="shared" si="236"/>
        <v>115.14623778777759</v>
      </c>
      <c r="AI233" s="77">
        <f t="shared" si="236"/>
        <v>114.58512867584301</v>
      </c>
      <c r="AJ233" s="77">
        <f t="shared" si="236"/>
        <v>114.04257368099479</v>
      </c>
      <c r="AK233" s="77">
        <f t="shared" si="236"/>
        <v>113.52092775251363</v>
      </c>
      <c r="AL233" s="77">
        <f t="shared" si="236"/>
        <v>113.01242082111446</v>
      </c>
      <c r="AM233" s="77">
        <f t="shared" si="236"/>
        <v>112.50134356137781</v>
      </c>
      <c r="AN233" s="77">
        <f t="shared" si="236"/>
        <v>111.98203419342563</v>
      </c>
      <c r="AO233" s="77">
        <f t="shared" si="236"/>
        <v>111.4976968319626</v>
      </c>
      <c r="AP233" s="77">
        <f t="shared" si="236"/>
        <v>111.00249877584027</v>
      </c>
      <c r="AQ233" s="77">
        <f t="shared" si="236"/>
        <v>110.49702635305215</v>
      </c>
      <c r="AR233" s="77">
        <f t="shared" si="236"/>
        <v>109.98181564800424</v>
      </c>
      <c r="AS233" s="77">
        <f t="shared" si="236"/>
        <v>109.45735829667788</v>
      </c>
      <c r="AT233" s="77">
        <f t="shared" si="236"/>
        <v>109.02543679502914</v>
      </c>
      <c r="AU233" s="77">
        <f t="shared" si="236"/>
        <v>108.58142435924788</v>
      </c>
      <c r="AV233" s="77">
        <f t="shared" si="236"/>
        <v>108.12598334648908</v>
      </c>
      <c r="AW233" s="77">
        <f t="shared" si="236"/>
        <v>107.65971854774423</v>
      </c>
      <c r="AX233" s="77">
        <f t="shared" si="236"/>
        <v>107.1831839189567</v>
      </c>
      <c r="AY233" s="77">
        <f t="shared" ref="AY233:BR238" si="237">AY162+AY174+AY151</f>
        <v>106.66691538820639</v>
      </c>
      <c r="AZ233" s="77">
        <f t="shared" si="237"/>
        <v>106.14234154833855</v>
      </c>
      <c r="BA233" s="77">
        <f t="shared" si="237"/>
        <v>105.60982908365715</v>
      </c>
      <c r="BB233" s="77">
        <f t="shared" si="237"/>
        <v>105.06971882339286</v>
      </c>
      <c r="BC233" s="77">
        <f t="shared" si="237"/>
        <v>104.52232820971042</v>
      </c>
      <c r="BD233" s="77">
        <f t="shared" si="237"/>
        <v>103.96795347178508</v>
      </c>
      <c r="BE233" s="77">
        <f t="shared" si="237"/>
        <v>103.40687154754892</v>
      </c>
      <c r="BF233" s="77">
        <f t="shared" si="237"/>
        <v>102.83934178793314</v>
      </c>
      <c r="BG233" s="77">
        <f t="shared" si="237"/>
        <v>102.26560747289847</v>
      </c>
      <c r="BH233" s="77">
        <f t="shared" si="237"/>
        <v>101.68589716400054</v>
      </c>
      <c r="BI233" s="77">
        <f t="shared" si="237"/>
        <v>100.82985706092209</v>
      </c>
      <c r="BJ233" s="77">
        <f t="shared" si="237"/>
        <v>99.972970116054512</v>
      </c>
      <c r="BK233" s="77">
        <f t="shared" si="237"/>
        <v>99.115247933967112</v>
      </c>
      <c r="BL233" s="77">
        <f t="shared" si="237"/>
        <v>98.256701860341451</v>
      </c>
      <c r="BM233" s="77">
        <f t="shared" si="237"/>
        <v>97.397342989936107</v>
      </c>
      <c r="BN233" s="77">
        <f t="shared" si="237"/>
        <v>96.537182174240513</v>
      </c>
      <c r="BO233" s="77">
        <f t="shared" si="237"/>
        <v>95.676230028831981</v>
      </c>
      <c r="BP233" s="77">
        <f t="shared" si="237"/>
        <v>94.814496940450283</v>
      </c>
      <c r="BQ233" s="77">
        <f t="shared" si="237"/>
        <v>93.951993073802697</v>
      </c>
      <c r="BR233" s="77">
        <f t="shared" si="237"/>
        <v>93.088728378111682</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11.695534280196457</v>
      </c>
      <c r="V234" s="77">
        <f t="shared" si="236"/>
        <v>11.620630271144794</v>
      </c>
      <c r="W234" s="77">
        <f t="shared" si="236"/>
        <v>11.526908253528951</v>
      </c>
      <c r="X234" s="77">
        <f t="shared" si="236"/>
        <v>11.442081052079502</v>
      </c>
      <c r="Y234" s="77">
        <f t="shared" si="236"/>
        <v>11.3584196472763</v>
      </c>
      <c r="Z234" s="77">
        <f t="shared" si="236"/>
        <v>11.278184042763902</v>
      </c>
      <c r="AA234" s="77">
        <f t="shared" si="236"/>
        <v>11.200303770563451</v>
      </c>
      <c r="AB234" s="77">
        <f t="shared" si="236"/>
        <v>11.124825465142202</v>
      </c>
      <c r="AC234" s="77">
        <f t="shared" si="236"/>
        <v>11.054130814645216</v>
      </c>
      <c r="AD234" s="77">
        <f t="shared" si="236"/>
        <v>10.98852746939202</v>
      </c>
      <c r="AE234" s="77">
        <f t="shared" si="236"/>
        <v>10.926975976577395</v>
      </c>
      <c r="AF234" s="77">
        <f t="shared" si="236"/>
        <v>10.866701345729489</v>
      </c>
      <c r="AG234" s="77">
        <f t="shared" si="236"/>
        <v>10.807983897437913</v>
      </c>
      <c r="AH234" s="77">
        <f t="shared" si="236"/>
        <v>10.753905025048313</v>
      </c>
      <c r="AI234" s="77">
        <f t="shared" si="236"/>
        <v>10.701501106219851</v>
      </c>
      <c r="AJ234" s="77">
        <f t="shared" si="236"/>
        <v>10.65083002049826</v>
      </c>
      <c r="AK234" s="77">
        <f t="shared" si="236"/>
        <v>10.602111704734188</v>
      </c>
      <c r="AL234" s="77">
        <f t="shared" si="236"/>
        <v>10.554620485308297</v>
      </c>
      <c r="AM234" s="77">
        <f t="shared" si="236"/>
        <v>10.506889214037415</v>
      </c>
      <c r="AN234" s="77">
        <f t="shared" si="236"/>
        <v>10.458389117734933</v>
      </c>
      <c r="AO234" s="77">
        <f t="shared" si="236"/>
        <v>10.413155177961272</v>
      </c>
      <c r="AP234" s="77">
        <f t="shared" si="236"/>
        <v>10.366906920385171</v>
      </c>
      <c r="AQ234" s="77">
        <f t="shared" si="236"/>
        <v>10.31969910420395</v>
      </c>
      <c r="AR234" s="77">
        <f t="shared" si="236"/>
        <v>10.271581796192681</v>
      </c>
      <c r="AS234" s="77">
        <f t="shared" si="236"/>
        <v>10.222600911934467</v>
      </c>
      <c r="AT234" s="77">
        <f t="shared" si="236"/>
        <v>10.182262270427415</v>
      </c>
      <c r="AU234" s="77">
        <f t="shared" si="236"/>
        <v>10.140794414802532</v>
      </c>
      <c r="AV234" s="77">
        <f t="shared" si="236"/>
        <v>10.098259204883238</v>
      </c>
      <c r="AW234" s="77">
        <f t="shared" si="236"/>
        <v>10.054713124190037</v>
      </c>
      <c r="AX234" s="77">
        <f t="shared" si="236"/>
        <v>10.01020790858262</v>
      </c>
      <c r="AY234" s="77">
        <f t="shared" si="237"/>
        <v>9.9619918065737778</v>
      </c>
      <c r="AZ234" s="77">
        <f t="shared" si="237"/>
        <v>9.9130000430481537</v>
      </c>
      <c r="BA234" s="77">
        <f t="shared" si="237"/>
        <v>9.8632668639199537</v>
      </c>
      <c r="BB234" s="77">
        <f t="shared" si="237"/>
        <v>9.8128241004087275</v>
      </c>
      <c r="BC234" s="77">
        <f t="shared" si="237"/>
        <v>9.761701399535136</v>
      </c>
      <c r="BD234" s="77">
        <f t="shared" si="237"/>
        <v>9.7099264271654544</v>
      </c>
      <c r="BE234" s="77">
        <f t="shared" si="237"/>
        <v>9.6575250474900898</v>
      </c>
      <c r="BF234" s="77">
        <f t="shared" si="237"/>
        <v>9.6045214821886766</v>
      </c>
      <c r="BG234" s="77">
        <f t="shared" si="237"/>
        <v>9.5509384520173786</v>
      </c>
      <c r="BH234" s="77">
        <f t="shared" si="237"/>
        <v>9.4967973031296484</v>
      </c>
      <c r="BI234" s="77">
        <f t="shared" si="237"/>
        <v>9.4168487599292625</v>
      </c>
      <c r="BJ234" s="77">
        <f t="shared" si="237"/>
        <v>9.3368211272479975</v>
      </c>
      <c r="BK234" s="77">
        <f t="shared" si="237"/>
        <v>9.2567154888766829</v>
      </c>
      <c r="BL234" s="77">
        <f t="shared" si="237"/>
        <v>9.1765329044277237</v>
      </c>
      <c r="BM234" s="77">
        <f t="shared" si="237"/>
        <v>9.0962744100789603</v>
      </c>
      <c r="BN234" s="77">
        <f t="shared" si="237"/>
        <v>9.0159410192884835</v>
      </c>
      <c r="BO234" s="77">
        <f t="shared" si="237"/>
        <v>8.9355337234817434</v>
      </c>
      <c r="BP234" s="77">
        <f t="shared" si="237"/>
        <v>8.8550534927122584</v>
      </c>
      <c r="BQ234" s="77">
        <f t="shared" si="237"/>
        <v>8.7745012762971655</v>
      </c>
      <c r="BR234" s="77">
        <f t="shared" si="237"/>
        <v>8.6938780034287255</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8.7407449590741351</v>
      </c>
      <c r="V235" s="77">
        <f t="shared" si="236"/>
        <v>8.6847648880617854</v>
      </c>
      <c r="W235" s="77">
        <f t="shared" si="236"/>
        <v>8.6147210376994252</v>
      </c>
      <c r="X235" s="77">
        <f t="shared" si="236"/>
        <v>8.5513247946806601</v>
      </c>
      <c r="Y235" s="77">
        <f t="shared" si="236"/>
        <v>8.4887998184988653</v>
      </c>
      <c r="Z235" s="77">
        <f t="shared" si="236"/>
        <v>8.4288351397695216</v>
      </c>
      <c r="AA235" s="77">
        <f t="shared" si="236"/>
        <v>8.3706307362477386</v>
      </c>
      <c r="AB235" s="77">
        <f t="shared" si="236"/>
        <v>8.3142214605511686</v>
      </c>
      <c r="AC235" s="77">
        <f t="shared" si="236"/>
        <v>8.2613872851162498</v>
      </c>
      <c r="AD235" s="77">
        <f t="shared" si="236"/>
        <v>8.21235813470871</v>
      </c>
      <c r="AE235" s="77">
        <f t="shared" si="236"/>
        <v>8.166357166505497</v>
      </c>
      <c r="AF235" s="77">
        <f t="shared" si="236"/>
        <v>8.121310470636633</v>
      </c>
      <c r="AG235" s="77">
        <f t="shared" si="236"/>
        <v>8.0774275467899344</v>
      </c>
      <c r="AH235" s="77">
        <f t="shared" si="236"/>
        <v>8.0370112973132279</v>
      </c>
      <c r="AI235" s="77">
        <f t="shared" si="236"/>
        <v>7.9978468368993747</v>
      </c>
      <c r="AJ235" s="77">
        <f t="shared" si="236"/>
        <v>7.9599774222594846</v>
      </c>
      <c r="AK235" s="77">
        <f t="shared" si="236"/>
        <v>7.9235674248427417</v>
      </c>
      <c r="AL235" s="77">
        <f t="shared" si="236"/>
        <v>7.8880745070459</v>
      </c>
      <c r="AM235" s="77">
        <f t="shared" si="236"/>
        <v>7.8524021847085095</v>
      </c>
      <c r="AN235" s="77">
        <f t="shared" si="236"/>
        <v>7.8161552752374028</v>
      </c>
      <c r="AO235" s="77">
        <f t="shared" si="236"/>
        <v>7.7823493522600184</v>
      </c>
      <c r="AP235" s="77">
        <f t="shared" si="236"/>
        <v>7.7477853712917639</v>
      </c>
      <c r="AQ235" s="77">
        <f t="shared" si="236"/>
        <v>7.7125042570280398</v>
      </c>
      <c r="AR235" s="77">
        <f t="shared" si="236"/>
        <v>7.676543427247406</v>
      </c>
      <c r="AS235" s="77">
        <f t="shared" si="236"/>
        <v>7.6399371973040751</v>
      </c>
      <c r="AT235" s="77">
        <f t="shared" si="236"/>
        <v>7.6097898120746805</v>
      </c>
      <c r="AU235" s="77">
        <f t="shared" si="236"/>
        <v>7.5787985002343534</v>
      </c>
      <c r="AV235" s="77">
        <f t="shared" si="236"/>
        <v>7.5470094931844773</v>
      </c>
      <c r="AW235" s="77">
        <f t="shared" si="236"/>
        <v>7.5144650043062713</v>
      </c>
      <c r="AX235" s="77">
        <f t="shared" si="236"/>
        <v>7.4812036987811599</v>
      </c>
      <c r="AY235" s="77">
        <f t="shared" si="237"/>
        <v>7.4451690345680319</v>
      </c>
      <c r="AZ235" s="77">
        <f t="shared" si="237"/>
        <v>7.4085546739228905</v>
      </c>
      <c r="BA235" s="77">
        <f t="shared" si="237"/>
        <v>7.3713862107856709</v>
      </c>
      <c r="BB235" s="77">
        <f t="shared" si="237"/>
        <v>7.3336874344562251</v>
      </c>
      <c r="BC235" s="77">
        <f t="shared" si="237"/>
        <v>7.2954805018570239</v>
      </c>
      <c r="BD235" s="77">
        <f t="shared" si="237"/>
        <v>7.2567860892800118</v>
      </c>
      <c r="BE235" s="77">
        <f t="shared" si="237"/>
        <v>7.217623526521205</v>
      </c>
      <c r="BF235" s="77">
        <f t="shared" si="237"/>
        <v>7.178010915833914</v>
      </c>
      <c r="BG235" s="77">
        <f t="shared" si="237"/>
        <v>7.1379652377450782</v>
      </c>
      <c r="BH235" s="77">
        <f t="shared" si="237"/>
        <v>7.0975024454620268</v>
      </c>
      <c r="BI235" s="77">
        <f t="shared" si="237"/>
        <v>7.0377523041497687</v>
      </c>
      <c r="BJ235" s="77">
        <f t="shared" si="237"/>
        <v>6.9779430547228447</v>
      </c>
      <c r="BK235" s="77">
        <f t="shared" si="237"/>
        <v>6.9180755071604345</v>
      </c>
      <c r="BL235" s="77">
        <f t="shared" si="237"/>
        <v>6.858150453371783</v>
      </c>
      <c r="BM235" s="77">
        <f t="shared" si="237"/>
        <v>6.7981686677521473</v>
      </c>
      <c r="BN235" s="77">
        <f t="shared" si="237"/>
        <v>6.7381309077170073</v>
      </c>
      <c r="BO235" s="77">
        <f t="shared" si="237"/>
        <v>6.678037914215583</v>
      </c>
      <c r="BP235" s="77">
        <f t="shared" si="237"/>
        <v>6.6178904122246189</v>
      </c>
      <c r="BQ235" s="77">
        <f t="shared" si="237"/>
        <v>6.5576891112233735</v>
      </c>
      <c r="BR235" s="77">
        <f t="shared" si="237"/>
        <v>6.4974347056506314</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108.97782187508756</v>
      </c>
      <c r="V236" s="77">
        <f t="shared" si="236"/>
        <v>108.27987378989542</v>
      </c>
      <c r="W236" s="77">
        <f t="shared" si="236"/>
        <v>107.40658137786706</v>
      </c>
      <c r="X236" s="77">
        <f t="shared" si="236"/>
        <v>106.6161699756814</v>
      </c>
      <c r="Y236" s="77">
        <f t="shared" si="236"/>
        <v>105.83662135036545</v>
      </c>
      <c r="Z236" s="77">
        <f t="shared" si="236"/>
        <v>105.08899399045957</v>
      </c>
      <c r="AA236" s="77">
        <f t="shared" si="236"/>
        <v>104.36331338210847</v>
      </c>
      <c r="AB236" s="77">
        <f t="shared" si="236"/>
        <v>103.66001406062658</v>
      </c>
      <c r="AC236" s="77">
        <f t="shared" si="236"/>
        <v>103.00128835859284</v>
      </c>
      <c r="AD236" s="77">
        <f t="shared" si="236"/>
        <v>102.39000293099862</v>
      </c>
      <c r="AE236" s="77">
        <f t="shared" si="236"/>
        <v>101.81647226028305</v>
      </c>
      <c r="AF236" s="77">
        <f t="shared" si="236"/>
        <v>101.25483926201534</v>
      </c>
      <c r="AG236" s="77">
        <f t="shared" si="236"/>
        <v>100.7077159354894</v>
      </c>
      <c r="AH236" s="77">
        <f t="shared" si="236"/>
        <v>100.20381439655259</v>
      </c>
      <c r="AI236" s="77">
        <f t="shared" si="236"/>
        <v>99.715519907833539</v>
      </c>
      <c r="AJ236" s="77">
        <f t="shared" si="236"/>
        <v>99.243371785166318</v>
      </c>
      <c r="AK236" s="77">
        <f t="shared" si="236"/>
        <v>98.789419378188114</v>
      </c>
      <c r="AL236" s="77">
        <f t="shared" si="236"/>
        <v>98.34690093249479</v>
      </c>
      <c r="AM236" s="77">
        <f t="shared" si="236"/>
        <v>97.902145707653318</v>
      </c>
      <c r="AN236" s="77">
        <f t="shared" si="236"/>
        <v>97.450226647852361</v>
      </c>
      <c r="AO236" s="77">
        <f t="shared" si="236"/>
        <v>97.028741308810652</v>
      </c>
      <c r="AP236" s="77">
        <f t="shared" si="236"/>
        <v>96.597804657656937</v>
      </c>
      <c r="AQ236" s="77">
        <f t="shared" si="236"/>
        <v>96.15792693512995</v>
      </c>
      <c r="AR236" s="77">
        <f t="shared" si="236"/>
        <v>95.709574658446058</v>
      </c>
      <c r="AS236" s="77">
        <f t="shared" si="236"/>
        <v>95.253175664428795</v>
      </c>
      <c r="AT236" s="77">
        <f t="shared" si="236"/>
        <v>94.877304226363577</v>
      </c>
      <c r="AU236" s="77">
        <f t="shared" si="236"/>
        <v>94.490910883779605</v>
      </c>
      <c r="AV236" s="77">
        <f t="shared" si="236"/>
        <v>94.094572040341461</v>
      </c>
      <c r="AW236" s="77">
        <f t="shared" si="236"/>
        <v>93.688814003859363</v>
      </c>
      <c r="AX236" s="77">
        <f t="shared" si="236"/>
        <v>93.274118843913556</v>
      </c>
      <c r="AY236" s="77">
        <f t="shared" si="237"/>
        <v>92.82484601461428</v>
      </c>
      <c r="AZ236" s="77">
        <f t="shared" si="237"/>
        <v>92.368345648668452</v>
      </c>
      <c r="BA236" s="77">
        <f t="shared" si="237"/>
        <v>91.904936846088802</v>
      </c>
      <c r="BB236" s="77">
        <f t="shared" si="237"/>
        <v>91.434916207004221</v>
      </c>
      <c r="BC236" s="77">
        <f t="shared" si="237"/>
        <v>90.958559979396128</v>
      </c>
      <c r="BD236" s="77">
        <f t="shared" si="237"/>
        <v>90.476125951046953</v>
      </c>
      <c r="BE236" s="77">
        <f t="shared" si="237"/>
        <v>89.987855121903209</v>
      </c>
      <c r="BF236" s="77">
        <f t="shared" si="237"/>
        <v>89.493973187159753</v>
      </c>
      <c r="BG236" s="77">
        <f t="shared" si="237"/>
        <v>88.994691856556273</v>
      </c>
      <c r="BH236" s="77">
        <f t="shared" si="237"/>
        <v>88.490210031421526</v>
      </c>
      <c r="BI236" s="77">
        <f t="shared" si="237"/>
        <v>87.745257480188599</v>
      </c>
      <c r="BJ236" s="77">
        <f t="shared" si="237"/>
        <v>86.99956798106146</v>
      </c>
      <c r="BK236" s="77">
        <f t="shared" si="237"/>
        <v>86.253151632694994</v>
      </c>
      <c r="BL236" s="77">
        <f t="shared" si="237"/>
        <v>85.506018308451843</v>
      </c>
      <c r="BM236" s="77">
        <f t="shared" si="237"/>
        <v>84.758177663333782</v>
      </c>
      <c r="BN236" s="77">
        <f t="shared" si="237"/>
        <v>84.00963914064225</v>
      </c>
      <c r="BO236" s="77">
        <f t="shared" si="237"/>
        <v>83.260411978380716</v>
      </c>
      <c r="BP236" s="77">
        <f t="shared" si="237"/>
        <v>82.510505215411058</v>
      </c>
      <c r="BQ236" s="77">
        <f t="shared" si="237"/>
        <v>81.759927697375673</v>
      </c>
      <c r="BR236" s="77">
        <f t="shared" si="237"/>
        <v>81.008688082395366</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26.510396703240438</v>
      </c>
      <c r="V237" s="77">
        <f t="shared" si="236"/>
        <v>26.34061095878026</v>
      </c>
      <c r="W237" s="77">
        <f t="shared" si="236"/>
        <v>26.128170226505961</v>
      </c>
      <c r="X237" s="77">
        <f t="shared" si="236"/>
        <v>25.935891472258845</v>
      </c>
      <c r="Y237" s="77">
        <f t="shared" si="236"/>
        <v>25.746255242143334</v>
      </c>
      <c r="Z237" s="77">
        <f t="shared" si="236"/>
        <v>25.564384311377079</v>
      </c>
      <c r="AA237" s="77">
        <f t="shared" si="236"/>
        <v>25.387852238371551</v>
      </c>
      <c r="AB237" s="77">
        <f t="shared" si="236"/>
        <v>25.21676472998864</v>
      </c>
      <c r="AC237" s="77">
        <f t="shared" si="236"/>
        <v>25.056520385047047</v>
      </c>
      <c r="AD237" s="77">
        <f t="shared" si="236"/>
        <v>24.907816557923326</v>
      </c>
      <c r="AE237" s="77">
        <f t="shared" si="236"/>
        <v>24.768297109465522</v>
      </c>
      <c r="AF237" s="77">
        <f t="shared" si="236"/>
        <v>24.631671938127695</v>
      </c>
      <c r="AG237" s="77">
        <f t="shared" si="236"/>
        <v>24.498576449685793</v>
      </c>
      <c r="AH237" s="77">
        <f t="shared" si="236"/>
        <v>24.375995272463328</v>
      </c>
      <c r="AI237" s="77">
        <f t="shared" si="236"/>
        <v>24.257210730973902</v>
      </c>
      <c r="AJ237" s="77">
        <f t="shared" si="236"/>
        <v>24.142354021422989</v>
      </c>
      <c r="AK237" s="77">
        <f t="shared" si="236"/>
        <v>24.031923677098646</v>
      </c>
      <c r="AL237" s="77">
        <f t="shared" si="236"/>
        <v>23.924274805594511</v>
      </c>
      <c r="AM237" s="77">
        <f t="shared" si="236"/>
        <v>23.816081805922522</v>
      </c>
      <c r="AN237" s="77">
        <f t="shared" si="236"/>
        <v>23.706146102061496</v>
      </c>
      <c r="AO237" s="77">
        <f t="shared" si="236"/>
        <v>23.603613831271552</v>
      </c>
      <c r="AP237" s="77">
        <f t="shared" si="236"/>
        <v>23.498782395117995</v>
      </c>
      <c r="AQ237" s="77">
        <f t="shared" si="236"/>
        <v>23.3917759168781</v>
      </c>
      <c r="AR237" s="77">
        <f t="shared" si="236"/>
        <v>23.282707883463782</v>
      </c>
      <c r="AS237" s="77">
        <f t="shared" si="236"/>
        <v>23.171682372234301</v>
      </c>
      <c r="AT237" s="77">
        <f t="shared" si="236"/>
        <v>23.080246328082602</v>
      </c>
      <c r="AU237" s="77">
        <f t="shared" si="236"/>
        <v>22.986250681820433</v>
      </c>
      <c r="AV237" s="77">
        <f t="shared" si="236"/>
        <v>22.889835651792652</v>
      </c>
      <c r="AW237" s="77">
        <f t="shared" si="236"/>
        <v>22.791129269818914</v>
      </c>
      <c r="AX237" s="77">
        <f t="shared" si="236"/>
        <v>22.690248806143671</v>
      </c>
      <c r="AY237" s="77">
        <f t="shared" si="237"/>
        <v>22.580956835284105</v>
      </c>
      <c r="AZ237" s="77">
        <f t="shared" si="237"/>
        <v>22.469906663899049</v>
      </c>
      <c r="BA237" s="77">
        <f t="shared" si="237"/>
        <v>22.357175917580395</v>
      </c>
      <c r="BB237" s="77">
        <f t="shared" si="237"/>
        <v>22.242836748505013</v>
      </c>
      <c r="BC237" s="77">
        <f t="shared" si="237"/>
        <v>22.126956357902007</v>
      </c>
      <c r="BD237" s="77">
        <f t="shared" si="237"/>
        <v>22.009597456295971</v>
      </c>
      <c r="BE237" s="77">
        <f t="shared" si="237"/>
        <v>21.890818670332916</v>
      </c>
      <c r="BF237" s="77">
        <f t="shared" si="237"/>
        <v>21.770674903561538</v>
      </c>
      <c r="BG237" s="77">
        <f t="shared" si="237"/>
        <v>21.649217657370734</v>
      </c>
      <c r="BH237" s="77">
        <f t="shared" si="237"/>
        <v>21.526495317322258</v>
      </c>
      <c r="BI237" s="77">
        <f t="shared" si="237"/>
        <v>21.345275071601868</v>
      </c>
      <c r="BJ237" s="77">
        <f t="shared" si="237"/>
        <v>21.163875552881812</v>
      </c>
      <c r="BK237" s="77">
        <f t="shared" si="237"/>
        <v>20.982299217802733</v>
      </c>
      <c r="BL237" s="77">
        <f t="shared" si="237"/>
        <v>20.800548468199757</v>
      </c>
      <c r="BM237" s="77">
        <f t="shared" si="237"/>
        <v>20.618625652788644</v>
      </c>
      <c r="BN237" s="77">
        <f t="shared" si="237"/>
        <v>20.436533068786041</v>
      </c>
      <c r="BO237" s="77">
        <f t="shared" si="237"/>
        <v>20.254272963466963</v>
      </c>
      <c r="BP237" s="77">
        <f t="shared" si="237"/>
        <v>20.071847535662435</v>
      </c>
      <c r="BQ237" s="77">
        <f t="shared" si="237"/>
        <v>19.88925893720009</v>
      </c>
      <c r="BR237" s="77">
        <f t="shared" si="237"/>
        <v>19.706509274290283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14.035269866161268</v>
      </c>
      <c r="V238" s="77">
        <f t="shared" si="236"/>
        <v>13.945381028600629</v>
      </c>
      <c r="W238" s="77">
        <f t="shared" si="236"/>
        <v>13.832909569142227</v>
      </c>
      <c r="X238" s="77">
        <f t="shared" si="236"/>
        <v>13.731112367252083</v>
      </c>
      <c r="Y238" s="77">
        <f t="shared" si="236"/>
        <v>13.630714184008472</v>
      </c>
      <c r="Z238" s="77">
        <f t="shared" si="236"/>
        <v>13.534427145278409</v>
      </c>
      <c r="AA238" s="77">
        <f t="shared" si="236"/>
        <v>13.440966631940913</v>
      </c>
      <c r="AB238" s="77">
        <f t="shared" si="236"/>
        <v>13.350388607863675</v>
      </c>
      <c r="AC238" s="77">
        <f t="shared" si="236"/>
        <v>13.265551226855846</v>
      </c>
      <c r="AD238" s="77">
        <f t="shared" si="236"/>
        <v>13.186823685839558</v>
      </c>
      <c r="AE238" s="77">
        <f t="shared" si="236"/>
        <v>13.112958585569523</v>
      </c>
      <c r="AF238" s="77">
        <f t="shared" si="236"/>
        <v>13.04062578830125</v>
      </c>
      <c r="AG238" s="77">
        <f t="shared" si="236"/>
        <v>12.970161693811777</v>
      </c>
      <c r="AH238" s="77">
        <f t="shared" si="236"/>
        <v>12.905264139765791</v>
      </c>
      <c r="AI238" s="77">
        <f t="shared" si="236"/>
        <v>12.842376620035523</v>
      </c>
      <c r="AJ238" s="77">
        <f t="shared" si="236"/>
        <v>12.781568593187348</v>
      </c>
      <c r="AK238" s="77">
        <f t="shared" si="236"/>
        <v>12.72310399526544</v>
      </c>
      <c r="AL238" s="77">
        <f t="shared" si="236"/>
        <v>12.666111978915735</v>
      </c>
      <c r="AM238" s="77">
        <f t="shared" si="236"/>
        <v>12.608831887447307</v>
      </c>
      <c r="AN238" s="77">
        <f t="shared" si="236"/>
        <v>12.550629164610376</v>
      </c>
      <c r="AO238" s="77">
        <f t="shared" si="236"/>
        <v>12.496346005190457</v>
      </c>
      <c r="AP238" s="77">
        <f t="shared" si="236"/>
        <v>12.440845609879794</v>
      </c>
      <c r="AQ238" s="77">
        <f t="shared" si="236"/>
        <v>12.384193692658918</v>
      </c>
      <c r="AR238" s="77">
        <f t="shared" si="236"/>
        <v>12.326450336349421</v>
      </c>
      <c r="AS238" s="77">
        <f t="shared" si="236"/>
        <v>12.267670642119349</v>
      </c>
      <c r="AT238" s="77">
        <f t="shared" si="236"/>
        <v>12.219262103781389</v>
      </c>
      <c r="AU238" s="77">
        <f t="shared" si="236"/>
        <v>12.169498447797606</v>
      </c>
      <c r="AV238" s="77">
        <f t="shared" si="236"/>
        <v>12.11845390928157</v>
      </c>
      <c r="AW238" s="77">
        <f t="shared" si="236"/>
        <v>12.066196271494334</v>
      </c>
      <c r="AX238" s="77">
        <f t="shared" si="236"/>
        <v>12.01278762024875</v>
      </c>
      <c r="AY238" s="77">
        <f t="shared" si="237"/>
        <v>11.95492570583118</v>
      </c>
      <c r="AZ238" s="77">
        <f t="shared" si="237"/>
        <v>11.896132955895371</v>
      </c>
      <c r="BA238" s="77">
        <f t="shared" si="237"/>
        <v>11.836450467379359</v>
      </c>
      <c r="BB238" s="77">
        <f t="shared" si="237"/>
        <v>11.775916439457797</v>
      </c>
      <c r="BC238" s="77">
        <f t="shared" si="237"/>
        <v>11.714566450149244</v>
      </c>
      <c r="BD238" s="77">
        <f t="shared" si="237"/>
        <v>11.652433699980488</v>
      </c>
      <c r="BE238" s="77">
        <f t="shared" si="237"/>
        <v>11.589549227370441</v>
      </c>
      <c r="BF238" s="77">
        <f t="shared" si="237"/>
        <v>11.525942099636765</v>
      </c>
      <c r="BG238" s="77">
        <f t="shared" si="237"/>
        <v>11.461639582908283</v>
      </c>
      <c r="BH238" s="77">
        <f t="shared" si="237"/>
        <v>11.396667293716675</v>
      </c>
      <c r="BI238" s="77">
        <f t="shared" si="237"/>
        <v>11.300724743992898</v>
      </c>
      <c r="BJ238" s="77">
        <f t="shared" si="237"/>
        <v>11.204687282640368</v>
      </c>
      <c r="BK238" s="77">
        <f t="shared" si="237"/>
        <v>11.108556210266338</v>
      </c>
      <c r="BL238" s="77">
        <f t="shared" si="237"/>
        <v>11.012332798462657</v>
      </c>
      <c r="BM238" s="77">
        <f t="shared" si="237"/>
        <v>10.916018290698437</v>
      </c>
      <c r="BN238" s="77">
        <f t="shared" si="237"/>
        <v>10.819613903177869</v>
      </c>
      <c r="BO238" s="77">
        <f t="shared" si="237"/>
        <v>10.723120825664793</v>
      </c>
      <c r="BP238" s="77">
        <f t="shared" si="237"/>
        <v>10.626540222275576</v>
      </c>
      <c r="BQ238" s="77">
        <f t="shared" si="237"/>
        <v>10.529873232241812</v>
      </c>
      <c r="BR238" s="77">
        <f t="shared" si="237"/>
        <v>10.433120970644175</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9.811863814500283</v>
      </c>
      <c r="V239" s="77">
        <f t="shared" si="236"/>
        <v>9.894936582284485</v>
      </c>
      <c r="W239" s="77">
        <f t="shared" si="236"/>
        <v>9.9037070845984267</v>
      </c>
      <c r="X239" s="77">
        <f t="shared" si="236"/>
        <v>9.9475984653969558</v>
      </c>
      <c r="Y239" s="77">
        <f t="shared" si="236"/>
        <v>9.9960929545211368</v>
      </c>
      <c r="Z239" s="77">
        <f t="shared" si="236"/>
        <v>10.05811409933724</v>
      </c>
      <c r="AA239" s="77">
        <f t="shared" si="236"/>
        <v>10.12943519351388</v>
      </c>
      <c r="AB239" s="77">
        <f t="shared" si="236"/>
        <v>10.210240371655621</v>
      </c>
      <c r="AC239" s="77">
        <f t="shared" si="236"/>
        <v>10.309933648231837</v>
      </c>
      <c r="AD239" s="77">
        <f t="shared" si="236"/>
        <v>10.429729770043979</v>
      </c>
      <c r="AE239" s="77">
        <f t="shared" si="236"/>
        <v>10.56552449311673</v>
      </c>
      <c r="AF239" s="77">
        <f t="shared" si="236"/>
        <v>10.706360862147752</v>
      </c>
      <c r="AG239" s="77">
        <f t="shared" ref="M239:AX241" si="238">AG168+AG180+AG157</f>
        <v>10.85334571343135</v>
      </c>
      <c r="AH239" s="77">
        <f t="shared" si="238"/>
        <v>11.018645823574433</v>
      </c>
      <c r="AI239" s="77">
        <f t="shared" si="238"/>
        <v>11.190559430768765</v>
      </c>
      <c r="AJ239" s="77">
        <f t="shared" si="238"/>
        <v>11.369315070428087</v>
      </c>
      <c r="AK239" s="77">
        <f t="shared" si="238"/>
        <v>11.555781155711404</v>
      </c>
      <c r="AL239" s="77">
        <f t="shared" si="238"/>
        <v>11.747092389064774</v>
      </c>
      <c r="AM239" s="77">
        <f t="shared" si="238"/>
        <v>11.93745578588952</v>
      </c>
      <c r="AN239" s="77">
        <f t="shared" si="238"/>
        <v>12.124783503279689</v>
      </c>
      <c r="AO239" s="77">
        <f t="shared" si="238"/>
        <v>12.325007528408483</v>
      </c>
      <c r="AP239" s="77">
        <f t="shared" si="238"/>
        <v>12.521226554263786</v>
      </c>
      <c r="AQ239" s="77">
        <f t="shared" si="238"/>
        <v>12.713656795669936</v>
      </c>
      <c r="AR239" s="77">
        <f t="shared" si="238"/>
        <v>12.902495939581968</v>
      </c>
      <c r="AS239" s="77">
        <f t="shared" si="238"/>
        <v>13.087925282114883</v>
      </c>
      <c r="AT239" s="77">
        <f t="shared" si="238"/>
        <v>13.307478225610412</v>
      </c>
      <c r="AU239" s="77">
        <f t="shared" si="238"/>
        <v>13.522572505646972</v>
      </c>
      <c r="AV239" s="77">
        <f t="shared" si="238"/>
        <v>13.733452373629047</v>
      </c>
      <c r="AW239" s="77">
        <f t="shared" si="238"/>
        <v>13.940340852812323</v>
      </c>
      <c r="AX239" s="77">
        <f t="shared" si="238"/>
        <v>14.143442220475537</v>
      </c>
      <c r="AY239" s="77">
        <f t="shared" ref="AY239:BR239" si="239">AY168+AY180+AY157</f>
        <v>14.33189127965519</v>
      </c>
      <c r="AZ239" s="77">
        <f t="shared" si="239"/>
        <v>14.517277665771527</v>
      </c>
      <c r="BA239" s="77">
        <f t="shared" si="239"/>
        <v>14.699736597649609</v>
      </c>
      <c r="BB239" s="77">
        <f t="shared" si="239"/>
        <v>14.879393759774999</v>
      </c>
      <c r="BC239" s="77">
        <f t="shared" si="239"/>
        <v>15.056366212398364</v>
      </c>
      <c r="BD239" s="77">
        <f t="shared" si="239"/>
        <v>15.230763193249771</v>
      </c>
      <c r="BE239" s="77">
        <f t="shared" si="239"/>
        <v>15.402686826203585</v>
      </c>
      <c r="BF239" s="77">
        <f t="shared" si="239"/>
        <v>15.572232749736315</v>
      </c>
      <c r="BG239" s="77">
        <f t="shared" si="239"/>
        <v>15.739490675979315</v>
      </c>
      <c r="BH239" s="77">
        <f t="shared" si="239"/>
        <v>15.904544889492003</v>
      </c>
      <c r="BI239" s="77">
        <f t="shared" si="239"/>
        <v>15.967699486115109</v>
      </c>
      <c r="BJ239" s="77">
        <f t="shared" si="239"/>
        <v>16.030541800618447</v>
      </c>
      <c r="BK239" s="77">
        <f t="shared" si="239"/>
        <v>16.093076112313192</v>
      </c>
      <c r="BL239" s="77">
        <f t="shared" si="239"/>
        <v>16.155306605042774</v>
      </c>
      <c r="BM239" s="77">
        <f t="shared" si="239"/>
        <v>16.217237370120106</v>
      </c>
      <c r="BN239" s="77">
        <f t="shared" si="239"/>
        <v>16.278872409149912</v>
      </c>
      <c r="BO239" s="77">
        <f t="shared" si="239"/>
        <v>16.340215636741796</v>
      </c>
      <c r="BP239" s="77">
        <f t="shared" si="239"/>
        <v>16.401270883119022</v>
      </c>
      <c r="BQ239" s="77">
        <f t="shared" si="239"/>
        <v>16.462041896627923</v>
      </c>
      <c r="BR239" s="77">
        <f t="shared" si="239"/>
        <v>16.522532346152506</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3.3904849718932364</v>
      </c>
      <c r="V240" s="77">
        <f t="shared" si="238"/>
        <v>3.4191907281155833</v>
      </c>
      <c r="W240" s="77">
        <f t="shared" si="238"/>
        <v>3.4222213711059015</v>
      </c>
      <c r="X240" s="77">
        <f t="shared" si="238"/>
        <v>3.4373880173014117</v>
      </c>
      <c r="Y240" s="77">
        <f t="shared" si="238"/>
        <v>3.4541452654352671</v>
      </c>
      <c r="Z240" s="77">
        <f t="shared" si="238"/>
        <v>3.4755766431443478</v>
      </c>
      <c r="AA240" s="77">
        <f t="shared" si="238"/>
        <v>3.5002216140241433</v>
      </c>
      <c r="AB240" s="77">
        <f t="shared" si="238"/>
        <v>3.5281438057015131</v>
      </c>
      <c r="AC240" s="77">
        <f t="shared" si="238"/>
        <v>3.5625927709970706</v>
      </c>
      <c r="AD240" s="77">
        <f t="shared" si="238"/>
        <v>3.6039882651023714</v>
      </c>
      <c r="AE240" s="77">
        <f t="shared" si="238"/>
        <v>3.6509120684230161</v>
      </c>
      <c r="AF240" s="77">
        <f t="shared" si="238"/>
        <v>3.6995780101567388</v>
      </c>
      <c r="AG240" s="77">
        <f t="shared" si="238"/>
        <v>3.7503685570696019</v>
      </c>
      <c r="AH240" s="77">
        <f t="shared" si="238"/>
        <v>3.8074879331522751</v>
      </c>
      <c r="AI240" s="77">
        <f t="shared" si="238"/>
        <v>3.8668926000612229</v>
      </c>
      <c r="AJ240" s="77">
        <f t="shared" si="238"/>
        <v>3.9286615281022366</v>
      </c>
      <c r="AK240" s="77">
        <f t="shared" si="238"/>
        <v>3.9930947970380064</v>
      </c>
      <c r="AL240" s="77">
        <f t="shared" si="238"/>
        <v>4.0592023046330858</v>
      </c>
      <c r="AM240" s="77">
        <f t="shared" si="238"/>
        <v>4.1249822877570894</v>
      </c>
      <c r="AN240" s="77">
        <f t="shared" si="238"/>
        <v>4.1897132932661352</v>
      </c>
      <c r="AO240" s="77">
        <f t="shared" si="238"/>
        <v>4.258900611908687</v>
      </c>
      <c r="AP240" s="77">
        <f t="shared" si="238"/>
        <v>4.3267040049173389</v>
      </c>
      <c r="AQ240" s="77">
        <f t="shared" si="238"/>
        <v>4.3931981852239552</v>
      </c>
      <c r="AR240" s="77">
        <f t="shared" si="238"/>
        <v>4.4584514634637875</v>
      </c>
      <c r="AS240" s="77">
        <f t="shared" si="238"/>
        <v>4.5225264864249484</v>
      </c>
      <c r="AT240" s="77">
        <f t="shared" si="238"/>
        <v>4.5983929038079969</v>
      </c>
      <c r="AU240" s="77">
        <f t="shared" si="238"/>
        <v>4.6727186321091185</v>
      </c>
      <c r="AV240" s="77">
        <f t="shared" si="238"/>
        <v>4.7455880722873882</v>
      </c>
      <c r="AW240" s="77">
        <f t="shared" si="238"/>
        <v>4.8170782899249494</v>
      </c>
      <c r="AX240" s="77">
        <f t="shared" si="238"/>
        <v>4.8872598729403443</v>
      </c>
      <c r="AY240" s="77">
        <f t="shared" ref="AY240:BR240" si="241">AY169+AY181+AY158</f>
        <v>4.9523783575825586</v>
      </c>
      <c r="AZ240" s="77">
        <f t="shared" si="241"/>
        <v>5.0164385369739746</v>
      </c>
      <c r="BA240" s="77">
        <f t="shared" si="241"/>
        <v>5.0794871359166249</v>
      </c>
      <c r="BB240" s="77">
        <f t="shared" si="241"/>
        <v>5.1415675846259656</v>
      </c>
      <c r="BC240" s="77">
        <f t="shared" si="241"/>
        <v>5.2027203332171021</v>
      </c>
      <c r="BD240" s="77">
        <f t="shared" si="241"/>
        <v>5.2629831287367894</v>
      </c>
      <c r="BE240" s="77">
        <f t="shared" si="241"/>
        <v>5.3223912600422567</v>
      </c>
      <c r="BF240" s="77">
        <f t="shared" si="241"/>
        <v>5.3809777749645233</v>
      </c>
      <c r="BG240" s="77">
        <f t="shared" si="241"/>
        <v>5.4387736734888046</v>
      </c>
      <c r="BH240" s="77">
        <f t="shared" si="241"/>
        <v>5.4958080801053546</v>
      </c>
      <c r="BI240" s="77">
        <f t="shared" si="241"/>
        <v>5.5176311215585176</v>
      </c>
      <c r="BJ240" s="77">
        <f t="shared" si="241"/>
        <v>5.539346254070618</v>
      </c>
      <c r="BK240" s="77">
        <f t="shared" si="241"/>
        <v>5.5609549563556389</v>
      </c>
      <c r="BL240" s="77">
        <f t="shared" si="241"/>
        <v>5.5824586741387332</v>
      </c>
      <c r="BM240" s="77">
        <f t="shared" si="241"/>
        <v>5.6038588211711691</v>
      </c>
      <c r="BN240" s="77">
        <f t="shared" si="241"/>
        <v>5.6251567802055966</v>
      </c>
      <c r="BO240" s="77">
        <f t="shared" si="241"/>
        <v>5.6463539039335418</v>
      </c>
      <c r="BP240" s="77">
        <f t="shared" si="241"/>
        <v>5.667451515886869</v>
      </c>
      <c r="BQ240" s="77">
        <f t="shared" si="241"/>
        <v>5.6884509113049102</v>
      </c>
      <c r="BR240" s="77">
        <f t="shared" si="241"/>
        <v>5.7093533579688209</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19.698111967192869</v>
      </c>
      <c r="V241" s="77">
        <f t="shared" si="238"/>
        <v>19.571955476882749</v>
      </c>
      <c r="W241" s="77">
        <f t="shared" si="238"/>
        <v>19.414104903103141</v>
      </c>
      <c r="X241" s="77">
        <f t="shared" si="238"/>
        <v>19.271235353753504</v>
      </c>
      <c r="Y241" s="77">
        <f t="shared" si="238"/>
        <v>19.130329288270325</v>
      </c>
      <c r="Z241" s="77">
        <f t="shared" si="238"/>
        <v>18.995193100082943</v>
      </c>
      <c r="AA241" s="77">
        <f t="shared" si="238"/>
        <v>18.864023861885972</v>
      </c>
      <c r="AB241" s="77">
        <f t="shared" si="238"/>
        <v>18.736900117415463</v>
      </c>
      <c r="AC241" s="77">
        <f t="shared" si="238"/>
        <v>18.617833206267235</v>
      </c>
      <c r="AD241" s="77">
        <f t="shared" si="238"/>
        <v>18.507341286081257</v>
      </c>
      <c r="AE241" s="77">
        <f t="shared" si="238"/>
        <v>18.403673666615308</v>
      </c>
      <c r="AF241" s="77">
        <f t="shared" si="238"/>
        <v>18.302156591911537</v>
      </c>
      <c r="AG241" s="77">
        <f t="shared" si="238"/>
        <v>18.203262189726438</v>
      </c>
      <c r="AH241" s="77">
        <f t="shared" si="238"/>
        <v>18.112180272657152</v>
      </c>
      <c r="AI241" s="77">
        <f t="shared" si="238"/>
        <v>18.023919382998557</v>
      </c>
      <c r="AJ241" s="77">
        <f t="shared" si="238"/>
        <v>17.93857700392202</v>
      </c>
      <c r="AK241" s="77">
        <f t="shared" si="238"/>
        <v>17.856523562344865</v>
      </c>
      <c r="AL241" s="77">
        <f t="shared" si="238"/>
        <v>17.776536848159967</v>
      </c>
      <c r="AM241" s="77">
        <f t="shared" si="238"/>
        <v>17.696145828536149</v>
      </c>
      <c r="AN241" s="77">
        <f t="shared" si="238"/>
        <v>17.614459921377247</v>
      </c>
      <c r="AO241" s="77">
        <f t="shared" si="238"/>
        <v>17.538275012758959</v>
      </c>
      <c r="AP241" s="77">
        <f t="shared" si="238"/>
        <v>17.460381747329929</v>
      </c>
      <c r="AQ241" s="77">
        <f t="shared" si="238"/>
        <v>17.38087235283917</v>
      </c>
      <c r="AR241" s="77">
        <f t="shared" si="238"/>
        <v>17.299831153860275</v>
      </c>
      <c r="AS241" s="77">
        <f t="shared" si="238"/>
        <v>17.217335483354304</v>
      </c>
      <c r="AT241" s="77">
        <f t="shared" si="238"/>
        <v>17.149395442482817</v>
      </c>
      <c r="AU241" s="77">
        <f t="shared" si="238"/>
        <v>17.079553531581709</v>
      </c>
      <c r="AV241" s="77">
        <f t="shared" si="238"/>
        <v>17.007913937573846</v>
      </c>
      <c r="AW241" s="77">
        <f t="shared" si="238"/>
        <v>16.934571792386048</v>
      </c>
      <c r="AX241" s="77">
        <f t="shared" si="238"/>
        <v>16.859614231734597</v>
      </c>
      <c r="AY241" s="77">
        <f t="shared" ref="AY241:BR241" si="242">AY170+AY182+AY159</f>
        <v>16.778406639739419</v>
      </c>
      <c r="AZ241" s="77">
        <f t="shared" si="242"/>
        <v>16.695892645912561</v>
      </c>
      <c r="BA241" s="77">
        <f t="shared" si="242"/>
        <v>16.612129928666665</v>
      </c>
      <c r="BB241" s="77">
        <f t="shared" si="242"/>
        <v>16.527172099483845</v>
      </c>
      <c r="BC241" s="77">
        <f t="shared" si="242"/>
        <v>16.441069091126334</v>
      </c>
      <c r="BD241" s="77">
        <f t="shared" si="242"/>
        <v>16.353867499612619</v>
      </c>
      <c r="BE241" s="77">
        <f t="shared" si="242"/>
        <v>16.265610886502735</v>
      </c>
      <c r="BF241" s="77">
        <f t="shared" si="242"/>
        <v>16.1763400469708</v>
      </c>
      <c r="BG241" s="77">
        <f t="shared" si="242"/>
        <v>16.086093248272348</v>
      </c>
      <c r="BH241" s="77">
        <f t="shared" si="242"/>
        <v>15.994906442499076</v>
      </c>
      <c r="BI241" s="77">
        <f t="shared" si="242"/>
        <v>15.860253735077084</v>
      </c>
      <c r="BJ241" s="77">
        <f t="shared" si="242"/>
        <v>15.725467821816654</v>
      </c>
      <c r="BK241" s="77">
        <f t="shared" si="242"/>
        <v>15.590550528083998</v>
      </c>
      <c r="BL241" s="77">
        <f t="shared" si="242"/>
        <v>15.455503638523005</v>
      </c>
      <c r="BM241" s="77">
        <f t="shared" si="242"/>
        <v>15.320328898308084</v>
      </c>
      <c r="BN241" s="77">
        <f t="shared" si="242"/>
        <v>15.185028014348081</v>
      </c>
      <c r="BO241" s="77">
        <f t="shared" si="242"/>
        <v>15.04960265644355</v>
      </c>
      <c r="BP241" s="77">
        <f t="shared" si="242"/>
        <v>14.914054458399519</v>
      </c>
      <c r="BQ241" s="77">
        <f t="shared" si="242"/>
        <v>14.778385019095936</v>
      </c>
      <c r="BR241" s="77">
        <f t="shared" si="242"/>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29" t="s">
        <v>465</v>
      </c>
      <c r="C245" s="230"/>
      <c r="D245" s="230"/>
      <c r="E245" s="231"/>
      <c r="F245" s="231"/>
      <c r="G245" s="230"/>
      <c r="H245" s="230"/>
      <c r="I245" s="230"/>
      <c r="J245" s="230"/>
      <c r="K245" s="230"/>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338.05067610284186</v>
      </c>
      <c r="S245" s="142">
        <f t="shared" si="243"/>
        <v>340.04146202400329</v>
      </c>
      <c r="T245" s="142">
        <f t="shared" si="243"/>
        <v>340.04146202400324</v>
      </c>
      <c r="U245" s="142">
        <f t="shared" si="243"/>
        <v>347.72621564864789</v>
      </c>
      <c r="V245" s="142">
        <f t="shared" si="243"/>
        <v>350.67026172502841</v>
      </c>
      <c r="W245" s="142">
        <f t="shared" si="243"/>
        <v>350.98108275114748</v>
      </c>
      <c r="X245" s="142">
        <f t="shared" si="243"/>
        <v>352.53656538250164</v>
      </c>
      <c r="Y245" s="142">
        <f t="shared" si="243"/>
        <v>354.25517924646971</v>
      </c>
      <c r="Z245" s="142">
        <f t="shared" si="243"/>
        <v>356.45316918852615</v>
      </c>
      <c r="AA245" s="142">
        <f t="shared" si="243"/>
        <v>358.98074342343494</v>
      </c>
      <c r="AB245" s="142">
        <f t="shared" si="243"/>
        <v>361.8444275645171</v>
      </c>
      <c r="AC245" s="142">
        <f t="shared" si="243"/>
        <v>365.37749390592222</v>
      </c>
      <c r="AD245" s="142">
        <f t="shared" si="243"/>
        <v>369.62299230201285</v>
      </c>
      <c r="AE245" s="142">
        <f t="shared" si="243"/>
        <v>374.43547095559552</v>
      </c>
      <c r="AF245" s="142">
        <f t="shared" si="243"/>
        <v>379.42662233669</v>
      </c>
      <c r="AG245" s="142">
        <f t="shared" si="243"/>
        <v>384.63567201989008</v>
      </c>
      <c r="AH245" s="142">
        <f t="shared" si="243"/>
        <v>390.49380283306073</v>
      </c>
      <c r="AI245" s="142">
        <f t="shared" si="243"/>
        <v>396.58631177716677</v>
      </c>
      <c r="AJ245" s="142">
        <f t="shared" si="243"/>
        <v>402.92129800197876</v>
      </c>
      <c r="AK245" s="142">
        <f t="shared" ref="AK245:AT245" si="244">SUM(AK220:AK241)</f>
        <v>409.52953751775397</v>
      </c>
      <c r="AL245" s="142">
        <f t="shared" si="244"/>
        <v>416.30948600080683</v>
      </c>
      <c r="AM245" s="142">
        <f t="shared" si="244"/>
        <v>423.05584375987667</v>
      </c>
      <c r="AN245" s="142">
        <f t="shared" si="244"/>
        <v>429.69461896973218</v>
      </c>
      <c r="AO245" s="142">
        <f t="shared" si="244"/>
        <v>436.79043112695808</v>
      </c>
      <c r="AP245" s="142">
        <f t="shared" si="244"/>
        <v>443.74430865612783</v>
      </c>
      <c r="AQ245" s="142">
        <f t="shared" si="244"/>
        <v>450.56391407315692</v>
      </c>
      <c r="AR245" s="142">
        <f t="shared" si="244"/>
        <v>457.25625327805085</v>
      </c>
      <c r="AS245" s="142">
        <f t="shared" si="244"/>
        <v>463.82775128986577</v>
      </c>
      <c r="AT245" s="142">
        <f t="shared" si="244"/>
        <v>471.60856802556054</v>
      </c>
      <c r="AU245" s="142">
        <f t="shared" si="243"/>
        <v>479.23137256288516</v>
      </c>
      <c r="AV245" s="142">
        <f t="shared" si="243"/>
        <v>486.70482101633041</v>
      </c>
      <c r="AW245" s="142">
        <f t="shared" si="243"/>
        <v>494.03681718828994</v>
      </c>
      <c r="AX245" s="142">
        <f t="shared" si="243"/>
        <v>501.23460053565208</v>
      </c>
      <c r="AY245" s="142">
        <f t="shared" ref="AY245:BR245" si="245">SUM(AY220:AY241)</f>
        <v>507.91311538562877</v>
      </c>
      <c r="AZ245" s="142">
        <f t="shared" si="245"/>
        <v>514.48309104934992</v>
      </c>
      <c r="BA245" s="142">
        <f t="shared" si="245"/>
        <v>520.94931959600956</v>
      </c>
      <c r="BB245" s="142">
        <f t="shared" si="245"/>
        <v>527.31625520387195</v>
      </c>
      <c r="BC245" s="142">
        <f t="shared" si="245"/>
        <v>533.58804641379879</v>
      </c>
      <c r="BD245" s="142">
        <f t="shared" si="245"/>
        <v>539.76856454149527</v>
      </c>
      <c r="BE245" s="142">
        <f t="shared" si="245"/>
        <v>545.86142879214344</v>
      </c>
      <c r="BF245" s="142">
        <f t="shared" si="245"/>
        <v>551.87002853254808</v>
      </c>
      <c r="BG245" s="142">
        <f t="shared" si="245"/>
        <v>557.79754310360954</v>
      </c>
      <c r="BH245" s="142">
        <f t="shared" si="245"/>
        <v>563.64695949652889</v>
      </c>
      <c r="BI245" s="142">
        <f t="shared" si="245"/>
        <v>565.88511825002843</v>
      </c>
      <c r="BJ245" s="142">
        <f t="shared" si="245"/>
        <v>568.11220992373853</v>
      </c>
      <c r="BK245" s="142">
        <f t="shared" si="245"/>
        <v>570.32838617372556</v>
      </c>
      <c r="BL245" s="142">
        <f t="shared" si="245"/>
        <v>572.53379527274205</v>
      </c>
      <c r="BM245" s="142">
        <f t="shared" si="245"/>
        <v>574.72858221431545</v>
      </c>
      <c r="BN245" s="142">
        <f t="shared" si="245"/>
        <v>576.91288881277455</v>
      </c>
      <c r="BO245" s="142">
        <f t="shared" si="245"/>
        <v>579.08685379939368</v>
      </c>
      <c r="BP245" s="142">
        <f t="shared" si="245"/>
        <v>581.25061291485065</v>
      </c>
      <c r="BQ245" s="142">
        <f t="shared" si="245"/>
        <v>583.40429899815695</v>
      </c>
      <c r="BR245" s="142">
        <f t="shared" si="245"/>
        <v>585.54804207222833</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125.22862793988226</v>
      </c>
      <c r="V248" s="6">
        <f t="shared" ref="V248:AE256" si="251">INDEX($L$233:$AX$241,MATCH($D248,$B$233:$B$241,0),MATCH(V$247,$L$104:$AX$104,0))</f>
        <v>124.42660162316926</v>
      </c>
      <c r="W248" s="6">
        <f t="shared" si="251"/>
        <v>123.42308358007631</v>
      </c>
      <c r="X248" s="6">
        <f t="shared" si="251"/>
        <v>122.51480578831422</v>
      </c>
      <c r="Y248" s="6">
        <f t="shared" si="251"/>
        <v>121.61901063402462</v>
      </c>
      <c r="Z248" s="6">
        <f t="shared" si="251"/>
        <v>120.7598968539874</v>
      </c>
      <c r="AA248" s="6">
        <f t="shared" si="251"/>
        <v>119.92600253179631</v>
      </c>
      <c r="AB248" s="6">
        <f t="shared" si="251"/>
        <v>119.1178270008045</v>
      </c>
      <c r="AC248" s="6">
        <f t="shared" si="251"/>
        <v>118.3608719209996</v>
      </c>
      <c r="AD248" s="6">
        <f t="shared" si="251"/>
        <v>117.65843142384037</v>
      </c>
      <c r="AE248" s="6">
        <f t="shared" si="251"/>
        <v>116.9993756844306</v>
      </c>
      <c r="AF248" s="6">
        <f t="shared" ref="AF248:AO256" si="252">INDEX($L$233:$AX$241,MATCH($D248,$B$233:$B$241,0),MATCH(AF$247,$L$104:$AX$104,0))</f>
        <v>116.35399180201604</v>
      </c>
      <c r="AG248" s="6">
        <f t="shared" si="252"/>
        <v>115.72528127802261</v>
      </c>
      <c r="AH248" s="6">
        <f t="shared" si="252"/>
        <v>115.14623778777759</v>
      </c>
      <c r="AI248" s="6">
        <f t="shared" si="252"/>
        <v>114.58512867584301</v>
      </c>
      <c r="AJ248" s="6">
        <f t="shared" si="252"/>
        <v>114.04257368099479</v>
      </c>
      <c r="AK248" s="6">
        <f t="shared" si="252"/>
        <v>113.52092775251363</v>
      </c>
      <c r="AL248" s="6">
        <f t="shared" si="252"/>
        <v>113.01242082111446</v>
      </c>
      <c r="AM248" s="6">
        <f t="shared" si="252"/>
        <v>112.50134356137781</v>
      </c>
      <c r="AN248" s="6">
        <f t="shared" si="252"/>
        <v>111.98203419342563</v>
      </c>
      <c r="AO248" s="6">
        <f t="shared" si="252"/>
        <v>109.45735829667788</v>
      </c>
      <c r="AP248" s="6">
        <f>INDEX($L$233:$BR$241,MATCH($D248,$B$233:$B$241,0),MATCH(AP$247,$L$104:$BR$104,0))</f>
        <v>107.1831839189567</v>
      </c>
      <c r="AQ248" s="6">
        <f t="shared" ref="AQ248:AR256" si="253">INDEX($L$233:$BR$241,MATCH($D248,$B$233:$B$241,0),MATCH(AQ$247,$L$104:$BR$104,0))</f>
        <v>101.68589716400054</v>
      </c>
      <c r="AR248" s="6">
        <f t="shared" si="253"/>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11.695534280196457</v>
      </c>
      <c r="V249" s="6">
        <f t="shared" si="251"/>
        <v>11.620630271144794</v>
      </c>
      <c r="W249" s="6">
        <f t="shared" si="251"/>
        <v>11.526908253528951</v>
      </c>
      <c r="X249" s="6">
        <f t="shared" si="251"/>
        <v>11.442081052079502</v>
      </c>
      <c r="Y249" s="6">
        <f t="shared" si="251"/>
        <v>11.3584196472763</v>
      </c>
      <c r="Z249" s="6">
        <f t="shared" si="251"/>
        <v>11.278184042763902</v>
      </c>
      <c r="AA249" s="6">
        <f t="shared" si="251"/>
        <v>11.200303770563451</v>
      </c>
      <c r="AB249" s="6">
        <f t="shared" si="251"/>
        <v>11.124825465142202</v>
      </c>
      <c r="AC249" s="6">
        <f t="shared" si="251"/>
        <v>11.054130814645216</v>
      </c>
      <c r="AD249" s="6">
        <f t="shared" si="251"/>
        <v>10.98852746939202</v>
      </c>
      <c r="AE249" s="6">
        <f t="shared" si="251"/>
        <v>10.926975976577395</v>
      </c>
      <c r="AF249" s="6">
        <f t="shared" si="252"/>
        <v>10.866701345729489</v>
      </c>
      <c r="AG249" s="6">
        <f t="shared" si="252"/>
        <v>10.807983897437913</v>
      </c>
      <c r="AH249" s="6">
        <f t="shared" si="252"/>
        <v>10.753905025048313</v>
      </c>
      <c r="AI249" s="6">
        <f t="shared" si="252"/>
        <v>10.701501106219851</v>
      </c>
      <c r="AJ249" s="6">
        <f t="shared" si="252"/>
        <v>10.65083002049826</v>
      </c>
      <c r="AK249" s="6">
        <f t="shared" si="252"/>
        <v>10.602111704734188</v>
      </c>
      <c r="AL249" s="6">
        <f t="shared" si="252"/>
        <v>10.554620485308297</v>
      </c>
      <c r="AM249" s="6">
        <f t="shared" si="252"/>
        <v>10.506889214037415</v>
      </c>
      <c r="AN249" s="6">
        <f t="shared" si="252"/>
        <v>10.458389117734933</v>
      </c>
      <c r="AO249" s="6">
        <f t="shared" si="252"/>
        <v>10.222600911934467</v>
      </c>
      <c r="AP249" s="6">
        <f t="shared" ref="AP249:AP256" si="254">INDEX($L$233:$BR$241,MATCH($D249,$B$233:$B$241,0),MATCH(AP$247,$L$104:$BR$104,0))</f>
        <v>10.01020790858262</v>
      </c>
      <c r="AQ249" s="6">
        <f t="shared" si="253"/>
        <v>9.4967973031296484</v>
      </c>
      <c r="AR249" s="6">
        <f t="shared" si="253"/>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8.7407449590741351</v>
      </c>
      <c r="V250" s="6">
        <f t="shared" si="251"/>
        <v>8.6847648880617854</v>
      </c>
      <c r="W250" s="6">
        <f t="shared" si="251"/>
        <v>8.6147210376994252</v>
      </c>
      <c r="X250" s="6">
        <f t="shared" si="251"/>
        <v>8.5513247946806601</v>
      </c>
      <c r="Y250" s="6">
        <f t="shared" si="251"/>
        <v>8.4887998184988653</v>
      </c>
      <c r="Z250" s="6">
        <f t="shared" si="251"/>
        <v>8.4288351397695216</v>
      </c>
      <c r="AA250" s="6">
        <f t="shared" si="251"/>
        <v>8.3706307362477386</v>
      </c>
      <c r="AB250" s="6">
        <f t="shared" si="251"/>
        <v>8.3142214605511686</v>
      </c>
      <c r="AC250" s="6">
        <f t="shared" si="251"/>
        <v>8.2613872851162498</v>
      </c>
      <c r="AD250" s="6">
        <f t="shared" si="251"/>
        <v>8.21235813470871</v>
      </c>
      <c r="AE250" s="6">
        <f t="shared" si="251"/>
        <v>8.166357166505497</v>
      </c>
      <c r="AF250" s="6">
        <f t="shared" si="252"/>
        <v>8.121310470636633</v>
      </c>
      <c r="AG250" s="6">
        <f t="shared" si="252"/>
        <v>8.0774275467899344</v>
      </c>
      <c r="AH250" s="6">
        <f t="shared" si="252"/>
        <v>8.0370112973132279</v>
      </c>
      <c r="AI250" s="6">
        <f t="shared" si="252"/>
        <v>7.9978468368993747</v>
      </c>
      <c r="AJ250" s="6">
        <f t="shared" si="252"/>
        <v>7.9599774222594846</v>
      </c>
      <c r="AK250" s="6">
        <f t="shared" si="252"/>
        <v>7.9235674248427417</v>
      </c>
      <c r="AL250" s="6">
        <f t="shared" si="252"/>
        <v>7.8880745070459</v>
      </c>
      <c r="AM250" s="6">
        <f t="shared" si="252"/>
        <v>7.8524021847085095</v>
      </c>
      <c r="AN250" s="6">
        <f t="shared" si="252"/>
        <v>7.8161552752374028</v>
      </c>
      <c r="AO250" s="6">
        <f t="shared" si="252"/>
        <v>7.6399371973040751</v>
      </c>
      <c r="AP250" s="6">
        <f t="shared" si="254"/>
        <v>7.4812036987811599</v>
      </c>
      <c r="AQ250" s="6">
        <f t="shared" si="253"/>
        <v>7.0975024454620268</v>
      </c>
      <c r="AR250" s="6">
        <f t="shared" si="253"/>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108.97782187508756</v>
      </c>
      <c r="V251" s="6">
        <f t="shared" si="251"/>
        <v>108.27987378989542</v>
      </c>
      <c r="W251" s="6">
        <f t="shared" si="251"/>
        <v>107.40658137786706</v>
      </c>
      <c r="X251" s="6">
        <f t="shared" si="251"/>
        <v>106.6161699756814</v>
      </c>
      <c r="Y251" s="6">
        <f t="shared" si="251"/>
        <v>105.83662135036545</v>
      </c>
      <c r="Z251" s="6">
        <f t="shared" si="251"/>
        <v>105.08899399045957</v>
      </c>
      <c r="AA251" s="6">
        <f t="shared" si="251"/>
        <v>104.36331338210847</v>
      </c>
      <c r="AB251" s="6">
        <f t="shared" si="251"/>
        <v>103.66001406062658</v>
      </c>
      <c r="AC251" s="6">
        <f t="shared" si="251"/>
        <v>103.00128835859284</v>
      </c>
      <c r="AD251" s="6">
        <f t="shared" si="251"/>
        <v>102.39000293099862</v>
      </c>
      <c r="AE251" s="6">
        <f t="shared" si="251"/>
        <v>101.81647226028305</v>
      </c>
      <c r="AF251" s="6">
        <f t="shared" si="252"/>
        <v>101.25483926201534</v>
      </c>
      <c r="AG251" s="6">
        <f t="shared" si="252"/>
        <v>100.7077159354894</v>
      </c>
      <c r="AH251" s="6">
        <f t="shared" si="252"/>
        <v>100.20381439655259</v>
      </c>
      <c r="AI251" s="6">
        <f t="shared" si="252"/>
        <v>99.715519907833539</v>
      </c>
      <c r="AJ251" s="6">
        <f t="shared" si="252"/>
        <v>99.243371785166318</v>
      </c>
      <c r="AK251" s="6">
        <f t="shared" si="252"/>
        <v>98.789419378188114</v>
      </c>
      <c r="AL251" s="6">
        <f t="shared" si="252"/>
        <v>98.34690093249479</v>
      </c>
      <c r="AM251" s="6">
        <f t="shared" si="252"/>
        <v>97.902145707653318</v>
      </c>
      <c r="AN251" s="6">
        <f t="shared" si="252"/>
        <v>97.450226647852361</v>
      </c>
      <c r="AO251" s="6">
        <f t="shared" si="252"/>
        <v>95.253175664428795</v>
      </c>
      <c r="AP251" s="6">
        <f t="shared" si="254"/>
        <v>93.274118843913556</v>
      </c>
      <c r="AQ251" s="6">
        <f t="shared" si="253"/>
        <v>88.490210031421526</v>
      </c>
      <c r="AR251" s="6">
        <f t="shared" si="253"/>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26.510396703240438</v>
      </c>
      <c r="V252" s="6">
        <f t="shared" si="251"/>
        <v>26.34061095878026</v>
      </c>
      <c r="W252" s="6">
        <f t="shared" si="251"/>
        <v>26.128170226505961</v>
      </c>
      <c r="X252" s="6">
        <f t="shared" si="251"/>
        <v>25.935891472258845</v>
      </c>
      <c r="Y252" s="6">
        <f t="shared" si="251"/>
        <v>25.746255242143334</v>
      </c>
      <c r="Z252" s="6">
        <f t="shared" si="251"/>
        <v>25.564384311377079</v>
      </c>
      <c r="AA252" s="6">
        <f t="shared" si="251"/>
        <v>25.387852238371551</v>
      </c>
      <c r="AB252" s="6">
        <f t="shared" si="251"/>
        <v>25.21676472998864</v>
      </c>
      <c r="AC252" s="6">
        <f t="shared" si="251"/>
        <v>25.056520385047047</v>
      </c>
      <c r="AD252" s="6">
        <f t="shared" si="251"/>
        <v>24.907816557923326</v>
      </c>
      <c r="AE252" s="6">
        <f t="shared" si="251"/>
        <v>24.768297109465522</v>
      </c>
      <c r="AF252" s="6">
        <f t="shared" si="252"/>
        <v>24.631671938127695</v>
      </c>
      <c r="AG252" s="6">
        <f t="shared" si="252"/>
        <v>24.498576449685793</v>
      </c>
      <c r="AH252" s="6">
        <f t="shared" si="252"/>
        <v>24.375995272463328</v>
      </c>
      <c r="AI252" s="6">
        <f t="shared" si="252"/>
        <v>24.257210730973902</v>
      </c>
      <c r="AJ252" s="6">
        <f t="shared" si="252"/>
        <v>24.142354021422989</v>
      </c>
      <c r="AK252" s="6">
        <f t="shared" si="252"/>
        <v>24.031923677098646</v>
      </c>
      <c r="AL252" s="6">
        <f t="shared" si="252"/>
        <v>23.924274805594511</v>
      </c>
      <c r="AM252" s="6">
        <f t="shared" si="252"/>
        <v>23.816081805922522</v>
      </c>
      <c r="AN252" s="6">
        <f t="shared" si="252"/>
        <v>23.706146102061496</v>
      </c>
      <c r="AO252" s="6">
        <f t="shared" si="252"/>
        <v>23.171682372234301</v>
      </c>
      <c r="AP252" s="6">
        <f t="shared" si="254"/>
        <v>22.690248806143671</v>
      </c>
      <c r="AQ252" s="6">
        <f t="shared" si="253"/>
        <v>21.526495317322258</v>
      </c>
      <c r="AR252" s="6">
        <f t="shared" si="253"/>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14.035269866161268</v>
      </c>
      <c r="V253" s="6">
        <f t="shared" si="251"/>
        <v>13.945381028600629</v>
      </c>
      <c r="W253" s="6">
        <f t="shared" si="251"/>
        <v>13.832909569142227</v>
      </c>
      <c r="X253" s="6">
        <f t="shared" si="251"/>
        <v>13.731112367252083</v>
      </c>
      <c r="Y253" s="6">
        <f t="shared" si="251"/>
        <v>13.630714184008472</v>
      </c>
      <c r="Z253" s="6">
        <f t="shared" si="251"/>
        <v>13.534427145278409</v>
      </c>
      <c r="AA253" s="6">
        <f t="shared" si="251"/>
        <v>13.440966631940913</v>
      </c>
      <c r="AB253" s="6">
        <f t="shared" si="251"/>
        <v>13.350388607863675</v>
      </c>
      <c r="AC253" s="6">
        <f t="shared" si="251"/>
        <v>13.265551226855846</v>
      </c>
      <c r="AD253" s="6">
        <f t="shared" si="251"/>
        <v>13.186823685839558</v>
      </c>
      <c r="AE253" s="6">
        <f t="shared" si="251"/>
        <v>13.112958585569523</v>
      </c>
      <c r="AF253" s="6">
        <f t="shared" si="252"/>
        <v>13.04062578830125</v>
      </c>
      <c r="AG253" s="6">
        <f t="shared" si="252"/>
        <v>12.970161693811777</v>
      </c>
      <c r="AH253" s="6">
        <f t="shared" si="252"/>
        <v>12.905264139765791</v>
      </c>
      <c r="AI253" s="6">
        <f t="shared" si="252"/>
        <v>12.842376620035523</v>
      </c>
      <c r="AJ253" s="6">
        <f t="shared" si="252"/>
        <v>12.781568593187348</v>
      </c>
      <c r="AK253" s="6">
        <f t="shared" si="252"/>
        <v>12.72310399526544</v>
      </c>
      <c r="AL253" s="6">
        <f t="shared" si="252"/>
        <v>12.666111978915735</v>
      </c>
      <c r="AM253" s="6">
        <f t="shared" si="252"/>
        <v>12.608831887447307</v>
      </c>
      <c r="AN253" s="6">
        <f t="shared" si="252"/>
        <v>12.550629164610376</v>
      </c>
      <c r="AO253" s="6">
        <f t="shared" si="252"/>
        <v>12.267670642119349</v>
      </c>
      <c r="AP253" s="6">
        <f t="shared" si="254"/>
        <v>12.01278762024875</v>
      </c>
      <c r="AQ253" s="6">
        <f t="shared" si="253"/>
        <v>11.396667293716675</v>
      </c>
      <c r="AR253" s="6">
        <f t="shared" si="253"/>
        <v>10.433120970644175</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9.811863814500283</v>
      </c>
      <c r="V254" s="6">
        <f t="shared" si="251"/>
        <v>9.894936582284485</v>
      </c>
      <c r="W254" s="6">
        <f t="shared" si="251"/>
        <v>9.9037070845984267</v>
      </c>
      <c r="X254" s="6">
        <f t="shared" si="251"/>
        <v>9.9475984653969558</v>
      </c>
      <c r="Y254" s="6">
        <f t="shared" si="251"/>
        <v>9.9960929545211368</v>
      </c>
      <c r="Z254" s="6">
        <f t="shared" si="251"/>
        <v>10.05811409933724</v>
      </c>
      <c r="AA254" s="6">
        <f t="shared" si="251"/>
        <v>10.12943519351388</v>
      </c>
      <c r="AB254" s="6">
        <f t="shared" si="251"/>
        <v>10.210240371655621</v>
      </c>
      <c r="AC254" s="6">
        <f t="shared" si="251"/>
        <v>10.309933648231837</v>
      </c>
      <c r="AD254" s="6">
        <f t="shared" si="251"/>
        <v>10.429729770043979</v>
      </c>
      <c r="AE254" s="6">
        <f t="shared" si="251"/>
        <v>10.56552449311673</v>
      </c>
      <c r="AF254" s="6">
        <f t="shared" si="252"/>
        <v>10.706360862147752</v>
      </c>
      <c r="AG254" s="6">
        <f t="shared" si="252"/>
        <v>10.85334571343135</v>
      </c>
      <c r="AH254" s="6">
        <f t="shared" si="252"/>
        <v>11.018645823574433</v>
      </c>
      <c r="AI254" s="6">
        <f t="shared" si="252"/>
        <v>11.190559430768765</v>
      </c>
      <c r="AJ254" s="6">
        <f t="shared" si="252"/>
        <v>11.369315070428087</v>
      </c>
      <c r="AK254" s="6">
        <f t="shared" si="252"/>
        <v>11.555781155711404</v>
      </c>
      <c r="AL254" s="6">
        <f t="shared" si="252"/>
        <v>11.747092389064774</v>
      </c>
      <c r="AM254" s="6">
        <f t="shared" si="252"/>
        <v>11.93745578588952</v>
      </c>
      <c r="AN254" s="6">
        <f t="shared" si="252"/>
        <v>12.124783503279689</v>
      </c>
      <c r="AO254" s="6">
        <f t="shared" si="252"/>
        <v>13.087925282114883</v>
      </c>
      <c r="AP254" s="6">
        <f t="shared" si="254"/>
        <v>14.143442220475537</v>
      </c>
      <c r="AQ254" s="6">
        <f t="shared" si="253"/>
        <v>15.904544889492003</v>
      </c>
      <c r="AR254" s="6">
        <f t="shared" si="253"/>
        <v>16.522532346152506</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3.3904849718932364</v>
      </c>
      <c r="V255" s="6">
        <f t="shared" si="251"/>
        <v>3.4191907281155833</v>
      </c>
      <c r="W255" s="6">
        <f t="shared" si="251"/>
        <v>3.4222213711059015</v>
      </c>
      <c r="X255" s="6">
        <f t="shared" si="251"/>
        <v>3.4373880173014117</v>
      </c>
      <c r="Y255" s="6">
        <f t="shared" si="251"/>
        <v>3.4541452654352671</v>
      </c>
      <c r="Z255" s="6">
        <f t="shared" si="251"/>
        <v>3.4755766431443478</v>
      </c>
      <c r="AA255" s="6">
        <f t="shared" si="251"/>
        <v>3.5002216140241433</v>
      </c>
      <c r="AB255" s="6">
        <f t="shared" si="251"/>
        <v>3.5281438057015131</v>
      </c>
      <c r="AC255" s="6">
        <f t="shared" si="251"/>
        <v>3.5625927709970706</v>
      </c>
      <c r="AD255" s="6">
        <f t="shared" si="251"/>
        <v>3.6039882651023714</v>
      </c>
      <c r="AE255" s="6">
        <f t="shared" si="251"/>
        <v>3.6509120684230161</v>
      </c>
      <c r="AF255" s="6">
        <f t="shared" si="252"/>
        <v>3.6995780101567388</v>
      </c>
      <c r="AG255" s="6">
        <f t="shared" si="252"/>
        <v>3.7503685570696019</v>
      </c>
      <c r="AH255" s="6">
        <f t="shared" si="252"/>
        <v>3.8074879331522751</v>
      </c>
      <c r="AI255" s="6">
        <f t="shared" si="252"/>
        <v>3.8668926000612229</v>
      </c>
      <c r="AJ255" s="6">
        <f t="shared" si="252"/>
        <v>3.9286615281022366</v>
      </c>
      <c r="AK255" s="6">
        <f t="shared" si="252"/>
        <v>3.9930947970380064</v>
      </c>
      <c r="AL255" s="6">
        <f t="shared" si="252"/>
        <v>4.0592023046330858</v>
      </c>
      <c r="AM255" s="6">
        <f t="shared" si="252"/>
        <v>4.1249822877570894</v>
      </c>
      <c r="AN255" s="6">
        <f t="shared" si="252"/>
        <v>4.1897132932661352</v>
      </c>
      <c r="AO255" s="6">
        <f t="shared" si="252"/>
        <v>4.5225264864249484</v>
      </c>
      <c r="AP255" s="6">
        <f t="shared" si="254"/>
        <v>4.8872598729403443</v>
      </c>
      <c r="AQ255" s="6">
        <f t="shared" si="253"/>
        <v>5.4958080801053546</v>
      </c>
      <c r="AR255" s="6">
        <f t="shared" si="253"/>
        <v>5.7093533579688209</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19.698111967192869</v>
      </c>
      <c r="V256" s="6">
        <f t="shared" si="251"/>
        <v>19.571955476882749</v>
      </c>
      <c r="W256" s="6">
        <f t="shared" si="251"/>
        <v>19.414104903103141</v>
      </c>
      <c r="X256" s="6">
        <f t="shared" si="251"/>
        <v>19.271235353753504</v>
      </c>
      <c r="Y256" s="6">
        <f t="shared" si="251"/>
        <v>19.130329288270325</v>
      </c>
      <c r="Z256" s="6">
        <f t="shared" si="251"/>
        <v>18.995193100082943</v>
      </c>
      <c r="AA256" s="6">
        <f t="shared" si="251"/>
        <v>18.864023861885972</v>
      </c>
      <c r="AB256" s="6">
        <f t="shared" si="251"/>
        <v>18.736900117415463</v>
      </c>
      <c r="AC256" s="6">
        <f t="shared" si="251"/>
        <v>18.617833206267235</v>
      </c>
      <c r="AD256" s="6">
        <f t="shared" si="251"/>
        <v>18.507341286081257</v>
      </c>
      <c r="AE256" s="6">
        <f t="shared" si="251"/>
        <v>18.403673666615308</v>
      </c>
      <c r="AF256" s="6">
        <f t="shared" si="252"/>
        <v>18.302156591911537</v>
      </c>
      <c r="AG256" s="6">
        <f t="shared" si="252"/>
        <v>18.203262189726438</v>
      </c>
      <c r="AH256" s="6">
        <f t="shared" si="252"/>
        <v>18.112180272657152</v>
      </c>
      <c r="AI256" s="6">
        <f t="shared" si="252"/>
        <v>18.023919382998557</v>
      </c>
      <c r="AJ256" s="6">
        <f t="shared" si="252"/>
        <v>17.93857700392202</v>
      </c>
      <c r="AK256" s="6">
        <f t="shared" si="252"/>
        <v>17.856523562344865</v>
      </c>
      <c r="AL256" s="6">
        <f t="shared" si="252"/>
        <v>17.776536848159967</v>
      </c>
      <c r="AM256" s="6">
        <f t="shared" si="252"/>
        <v>17.696145828536149</v>
      </c>
      <c r="AN256" s="6">
        <f t="shared" si="252"/>
        <v>17.614459921377247</v>
      </c>
      <c r="AO256" s="6">
        <f t="shared" si="252"/>
        <v>17.217335483354304</v>
      </c>
      <c r="AP256" s="6">
        <f t="shared" si="254"/>
        <v>16.859614231734597</v>
      </c>
      <c r="AQ256" s="6">
        <f t="shared" si="253"/>
        <v>15.994906442499076</v>
      </c>
      <c r="AR256" s="6">
        <f t="shared" si="253"/>
        <v>14.642595903517593</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0" customFormat="1">
      <c r="B258" s="191" t="str">
        <f t="shared" ref="B258:B266" si="255">IF(A258="*","","COM_PROJ")</f>
        <v>COM_PROJ</v>
      </c>
      <c r="C258" s="191" t="str">
        <f t="shared" si="247"/>
        <v>-</v>
      </c>
      <c r="D258" s="191" t="str">
        <f>COM!B174</f>
        <v>CNC</v>
      </c>
      <c r="E258" s="191" t="str">
        <f t="shared" si="248"/>
        <v>-</v>
      </c>
      <c r="F258" s="191" t="str">
        <f t="shared" si="248"/>
        <v>-</v>
      </c>
      <c r="G258" s="191" t="str">
        <f t="shared" si="248"/>
        <v>-</v>
      </c>
      <c r="H258" s="191" t="str">
        <f t="shared" si="248"/>
        <v>-</v>
      </c>
      <c r="I258" s="191">
        <f t="shared" si="249"/>
        <v>0</v>
      </c>
      <c r="J258" s="191"/>
      <c r="K258" s="191"/>
      <c r="L258" s="192">
        <f t="shared" ref="L258:U266" si="256">INDEX($L$220:$AX$228,MATCH($D258,$B$220:$B$228,0),MATCH(L$247,$L$104:$AX$104,0))</f>
        <v>0</v>
      </c>
      <c r="M258" s="192">
        <f t="shared" si="256"/>
        <v>0</v>
      </c>
      <c r="N258" s="192">
        <f t="shared" si="256"/>
        <v>0</v>
      </c>
      <c r="O258" s="192">
        <f t="shared" si="256"/>
        <v>0</v>
      </c>
      <c r="P258" s="192">
        <f t="shared" si="256"/>
        <v>0</v>
      </c>
      <c r="Q258" s="192">
        <f t="shared" si="256"/>
        <v>0</v>
      </c>
      <c r="R258" s="192">
        <f t="shared" si="256"/>
        <v>1.7663141176431716</v>
      </c>
      <c r="S258" s="192">
        <f t="shared" si="256"/>
        <v>3.4029475996970713</v>
      </c>
      <c r="T258" s="192">
        <f t="shared" si="256"/>
        <v>4.4302493543804173</v>
      </c>
      <c r="U258" s="192">
        <f t="shared" si="256"/>
        <v>7.8096695115239028</v>
      </c>
      <c r="V258" s="192">
        <f t="shared" ref="V258:AE266" si="257">INDEX($L$220:$AX$228,MATCH($D258,$B$220:$B$228,0),MATCH(V$247,$L$104:$AX$104,0))</f>
        <v>9.7380730180887642</v>
      </c>
      <c r="W258" s="192">
        <f t="shared" si="257"/>
        <v>10.860509619133577</v>
      </c>
      <c r="X258" s="192">
        <f t="shared" si="257"/>
        <v>12.36390722550196</v>
      </c>
      <c r="Y258" s="192">
        <f t="shared" si="257"/>
        <v>13.917235381760324</v>
      </c>
      <c r="Z258" s="192">
        <f t="shared" si="257"/>
        <v>15.617289035028104</v>
      </c>
      <c r="AA258" s="192">
        <f t="shared" si="257"/>
        <v>17.418220519680553</v>
      </c>
      <c r="AB258" s="192">
        <f t="shared" si="257"/>
        <v>19.32202716912996</v>
      </c>
      <c r="AC258" s="192">
        <f t="shared" si="257"/>
        <v>21.430715623327153</v>
      </c>
      <c r="AD258" s="192">
        <f t="shared" si="257"/>
        <v>23.757462408106875</v>
      </c>
      <c r="AE258" s="192">
        <f t="shared" si="257"/>
        <v>26.257748223884533</v>
      </c>
      <c r="AF258" s="192">
        <f t="shared" ref="AF258:AO266" si="258">INDEX($L$220:$AX$228,MATCH($D258,$B$220:$B$228,0),MATCH(AF$247,$L$104:$AX$104,0))</f>
        <v>28.812721467643033</v>
      </c>
      <c r="AG258" s="192">
        <f t="shared" si="258"/>
        <v>31.434388145086068</v>
      </c>
      <c r="AH258" s="192">
        <f t="shared" si="258"/>
        <v>34.254722957522702</v>
      </c>
      <c r="AI258" s="192">
        <f t="shared" si="258"/>
        <v>37.146795283201065</v>
      </c>
      <c r="AJ258" s="192">
        <f t="shared" si="258"/>
        <v>40.113084077224983</v>
      </c>
      <c r="AK258" s="192">
        <f t="shared" si="258"/>
        <v>43.163009136716987</v>
      </c>
      <c r="AL258" s="192">
        <f t="shared" si="258"/>
        <v>46.265490184537072</v>
      </c>
      <c r="AM258" s="192">
        <f t="shared" si="258"/>
        <v>49.357689919007186</v>
      </c>
      <c r="AN258" s="192">
        <f t="shared" si="258"/>
        <v>52.416961220615228</v>
      </c>
      <c r="AO258" s="192">
        <f t="shared" si="258"/>
        <v>68.000801500707894</v>
      </c>
      <c r="AP258" s="192">
        <f>INDEX($L$220:$BR$228,MATCH($D258,$B$220:$B$228,0),MATCH(AP$247,$L$104:$BR$104,0))</f>
        <v>84.586647856906751</v>
      </c>
      <c r="AQ258" s="192">
        <f t="shared" ref="AQ258:AR266" si="259">INDEX($L$220:$BR$228,MATCH($D258,$B$220:$B$228,0),MATCH(AQ$247,$L$104:$BR$104,0))</f>
        <v>113.96258857124937</v>
      </c>
      <c r="AR258" s="192">
        <f t="shared" si="259"/>
        <v>130.93900116186123</v>
      </c>
      <c r="AS258" s="193"/>
      <c r="AT258" s="193"/>
      <c r="AU258" s="193"/>
      <c r="AV258" s="193"/>
      <c r="AW258" s="193"/>
      <c r="AX258" s="193"/>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0.16496217879515399</v>
      </c>
      <c r="S259" s="6">
        <f t="shared" si="256"/>
        <v>0.31781303493220059</v>
      </c>
      <c r="T259" s="6">
        <f t="shared" si="256"/>
        <v>0.4137562955560648</v>
      </c>
      <c r="U259" s="6">
        <f t="shared" si="256"/>
        <v>0.7293720213311059</v>
      </c>
      <c r="V259" s="6">
        <f t="shared" si="257"/>
        <v>0.90947228824377724</v>
      </c>
      <c r="W259" s="6">
        <f t="shared" si="257"/>
        <v>1.0143005208997224</v>
      </c>
      <c r="X259" s="6">
        <f t="shared" si="257"/>
        <v>1.1547080182212432</v>
      </c>
      <c r="Y259" s="6">
        <f t="shared" si="257"/>
        <v>1.2997787021277649</v>
      </c>
      <c r="Z259" s="6">
        <f t="shared" si="257"/>
        <v>1.4585525871974923</v>
      </c>
      <c r="AA259" s="6">
        <f t="shared" si="257"/>
        <v>1.626747801515015</v>
      </c>
      <c r="AB259" s="6">
        <f t="shared" si="257"/>
        <v>1.8045508829493231</v>
      </c>
      <c r="AC259" s="6">
        <f t="shared" si="257"/>
        <v>2.0014885840807062</v>
      </c>
      <c r="AD259" s="6">
        <f t="shared" si="257"/>
        <v>2.2187915061872387</v>
      </c>
      <c r="AE259" s="6">
        <f t="shared" si="257"/>
        <v>2.4523018380480548</v>
      </c>
      <c r="AF259" s="6">
        <f t="shared" si="258"/>
        <v>2.6909196177757657</v>
      </c>
      <c r="AG259" s="6">
        <f t="shared" si="258"/>
        <v>2.9357661277287725</v>
      </c>
      <c r="AH259" s="6">
        <f t="shared" si="258"/>
        <v>3.199166941289703</v>
      </c>
      <c r="AI259" s="6">
        <f t="shared" si="258"/>
        <v>3.4692675690951651</v>
      </c>
      <c r="AJ259" s="6">
        <f t="shared" si="258"/>
        <v>3.7462995293281232</v>
      </c>
      <c r="AK259" s="6">
        <f t="shared" si="258"/>
        <v>4.0311425693911591</v>
      </c>
      <c r="AL259" s="6">
        <f t="shared" si="258"/>
        <v>4.3208939948069096</v>
      </c>
      <c r="AM259" s="6">
        <f t="shared" si="258"/>
        <v>4.6096852128427024</v>
      </c>
      <c r="AN259" s="6">
        <f t="shared" si="258"/>
        <v>4.8954011307521021</v>
      </c>
      <c r="AO259" s="6">
        <f t="shared" si="258"/>
        <v>6.3508298231468414</v>
      </c>
      <c r="AP259" s="192">
        <f t="shared" ref="AP259:AP266" si="260">INDEX($L$220:$BR$228,MATCH($D259,$B$220:$B$228,0),MATCH(AP$247,$L$104:$BR$104,0))</f>
        <v>7.899839325336055</v>
      </c>
      <c r="AQ259" s="192">
        <f t="shared" si="259"/>
        <v>10.643359934717378</v>
      </c>
      <c r="AR259" s="192">
        <f t="shared" si="259"/>
        <v>12.228845767106883</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0.12328571728297376</v>
      </c>
      <c r="S260" s="6">
        <f t="shared" si="256"/>
        <v>0.23751994705495594</v>
      </c>
      <c r="T260" s="6">
        <f t="shared" si="256"/>
        <v>0.3092238599813768</v>
      </c>
      <c r="U260" s="6">
        <f t="shared" si="256"/>
        <v>0.54510163161460012</v>
      </c>
      <c r="V260" s="6">
        <f t="shared" si="257"/>
        <v>0.67970091219730777</v>
      </c>
      <c r="W260" s="6">
        <f t="shared" si="257"/>
        <v>0.75804507537996768</v>
      </c>
      <c r="X260" s="6">
        <f t="shared" si="257"/>
        <v>0.86297966793700664</v>
      </c>
      <c r="Y260" s="6">
        <f t="shared" si="257"/>
        <v>0.97139932784193805</v>
      </c>
      <c r="Z260" s="6">
        <f t="shared" si="257"/>
        <v>1.0900601775566656</v>
      </c>
      <c r="AA260" s="6">
        <f t="shared" si="257"/>
        <v>1.2157621281016378</v>
      </c>
      <c r="AB260" s="6">
        <f t="shared" si="257"/>
        <v>1.3486445899474655</v>
      </c>
      <c r="AC260" s="6">
        <f t="shared" si="257"/>
        <v>1.495827452839888</v>
      </c>
      <c r="AD260" s="6">
        <f t="shared" si="257"/>
        <v>1.6582304158418353</v>
      </c>
      <c r="AE260" s="6">
        <f t="shared" si="257"/>
        <v>1.832746107661078</v>
      </c>
      <c r="AF260" s="6">
        <f t="shared" si="258"/>
        <v>2.0110788888177349</v>
      </c>
      <c r="AG260" s="6">
        <f t="shared" si="258"/>
        <v>2.1940667580630455</v>
      </c>
      <c r="AH260" s="6">
        <f t="shared" si="258"/>
        <v>2.3909213247883256</v>
      </c>
      <c r="AI260" s="6">
        <f t="shared" si="258"/>
        <v>2.5927830477650113</v>
      </c>
      <c r="AJ260" s="6">
        <f t="shared" si="258"/>
        <v>2.7998249538375557</v>
      </c>
      <c r="AK260" s="6">
        <f t="shared" si="258"/>
        <v>3.0127045288026864</v>
      </c>
      <c r="AL260" s="6">
        <f t="shared" si="258"/>
        <v>3.2292524222474244</v>
      </c>
      <c r="AM260" s="6">
        <f t="shared" si="258"/>
        <v>3.4450826975299682</v>
      </c>
      <c r="AN260" s="6">
        <f t="shared" si="258"/>
        <v>3.6586146242776425</v>
      </c>
      <c r="AO260" s="6">
        <f t="shared" si="258"/>
        <v>4.7463401357048536</v>
      </c>
      <c r="AP260" s="192">
        <f t="shared" si="260"/>
        <v>5.904003964773711</v>
      </c>
      <c r="AQ260" s="192">
        <f t="shared" si="259"/>
        <v>7.9543945978182222</v>
      </c>
      <c r="AR260" s="192">
        <f t="shared" si="259"/>
        <v>9.1393192848936771</v>
      </c>
      <c r="AS260" s="3"/>
      <c r="AT260" s="3"/>
      <c r="AU260" s="3"/>
      <c r="AV260" s="3"/>
      <c r="AW260" s="3"/>
      <c r="AX260" s="3"/>
    </row>
    <row r="261" spans="1:50" s="190" customFormat="1">
      <c r="B261" s="191" t="str">
        <f t="shared" si="255"/>
        <v>COM_PROJ</v>
      </c>
      <c r="C261" s="191" t="str">
        <f t="shared" si="247"/>
        <v>-</v>
      </c>
      <c r="D261" s="191" t="str">
        <f>COM!B177</f>
        <v>CNL</v>
      </c>
      <c r="E261" s="191" t="str">
        <f t="shared" si="248"/>
        <v>-</v>
      </c>
      <c r="F261" s="191" t="str">
        <f t="shared" si="248"/>
        <v>-</v>
      </c>
      <c r="G261" s="191" t="str">
        <f t="shared" si="248"/>
        <v>-</v>
      </c>
      <c r="H261" s="191" t="str">
        <f t="shared" si="248"/>
        <v>-</v>
      </c>
      <c r="I261" s="191">
        <f t="shared" si="249"/>
        <v>0</v>
      </c>
      <c r="J261" s="191"/>
      <c r="K261" s="191"/>
      <c r="L261" s="192">
        <f t="shared" si="256"/>
        <v>0</v>
      </c>
      <c r="M261" s="192">
        <f t="shared" si="256"/>
        <v>0</v>
      </c>
      <c r="N261" s="192">
        <f t="shared" si="256"/>
        <v>0</v>
      </c>
      <c r="O261" s="192">
        <f t="shared" si="256"/>
        <v>0</v>
      </c>
      <c r="P261" s="192">
        <f t="shared" si="256"/>
        <v>0</v>
      </c>
      <c r="Q261" s="192">
        <f t="shared" si="256"/>
        <v>0</v>
      </c>
      <c r="R261" s="192">
        <f t="shared" si="256"/>
        <v>1.5371011281891316</v>
      </c>
      <c r="S261" s="192">
        <f t="shared" si="256"/>
        <v>2.9613501598697858</v>
      </c>
      <c r="T261" s="192">
        <f t="shared" si="256"/>
        <v>3.8553398926934275</v>
      </c>
      <c r="U261" s="192">
        <f t="shared" si="256"/>
        <v>6.7962157450030283</v>
      </c>
      <c r="V261" s="192">
        <f t="shared" si="257"/>
        <v>8.4743720683527251</v>
      </c>
      <c r="W261" s="192">
        <f t="shared" si="257"/>
        <v>9.4511510843574502</v>
      </c>
      <c r="X261" s="192">
        <f t="shared" si="257"/>
        <v>10.759454139733087</v>
      </c>
      <c r="Y261" s="192">
        <f t="shared" si="257"/>
        <v>12.111208302587499</v>
      </c>
      <c r="Z261" s="192">
        <f t="shared" si="257"/>
        <v>13.590647527082144</v>
      </c>
      <c r="AA261" s="192">
        <f t="shared" si="257"/>
        <v>15.157873757796017</v>
      </c>
      <c r="AB261" s="192">
        <f t="shared" si="257"/>
        <v>16.814625135986514</v>
      </c>
      <c r="AC261" s="192">
        <f t="shared" si="257"/>
        <v>18.64967099196981</v>
      </c>
      <c r="AD261" s="192">
        <f t="shared" si="257"/>
        <v>20.674477945711125</v>
      </c>
      <c r="AE261" s="192">
        <f t="shared" si="257"/>
        <v>22.850303926967033</v>
      </c>
      <c r="AF261" s="192">
        <f t="shared" si="258"/>
        <v>25.073720598014454</v>
      </c>
      <c r="AG261" s="192">
        <f t="shared" si="258"/>
        <v>27.35517595602888</v>
      </c>
      <c r="AH261" s="192">
        <f t="shared" si="258"/>
        <v>29.809518464399869</v>
      </c>
      <c r="AI261" s="192">
        <f t="shared" si="258"/>
        <v>32.326289173641769</v>
      </c>
      <c r="AJ261" s="192">
        <f t="shared" si="258"/>
        <v>34.907645347091119</v>
      </c>
      <c r="AK261" s="192">
        <f t="shared" si="258"/>
        <v>37.561784383296526</v>
      </c>
      <c r="AL261" s="192">
        <f t="shared" si="258"/>
        <v>40.261659264641409</v>
      </c>
      <c r="AM261" s="192">
        <f t="shared" si="258"/>
        <v>42.952587029393811</v>
      </c>
      <c r="AN261" s="192">
        <f t="shared" si="258"/>
        <v>45.614859454308174</v>
      </c>
      <c r="AO261" s="192">
        <f t="shared" si="258"/>
        <v>59.176398841204929</v>
      </c>
      <c r="AP261" s="192">
        <f t="shared" si="260"/>
        <v>73.60991487973503</v>
      </c>
      <c r="AQ261" s="192">
        <f t="shared" si="259"/>
        <v>99.173766270948889</v>
      </c>
      <c r="AR261" s="192">
        <f t="shared" si="259"/>
        <v>113.94716511602635</v>
      </c>
      <c r="AS261" s="193"/>
      <c r="AT261" s="193"/>
      <c r="AU261" s="193"/>
      <c r="AV261" s="193"/>
      <c r="AW261" s="193"/>
      <c r="AX261" s="193"/>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0.37392159230343008</v>
      </c>
      <c r="S262" s="6">
        <f t="shared" si="256"/>
        <v>0.72039031579598123</v>
      </c>
      <c r="T262" s="6">
        <f t="shared" si="256"/>
        <v>0.93786596412508894</v>
      </c>
      <c r="U262" s="6">
        <f t="shared" si="256"/>
        <v>1.6532756149903027</v>
      </c>
      <c r="V262" s="6">
        <f t="shared" si="257"/>
        <v>2.0615108787951302</v>
      </c>
      <c r="W262" s="6">
        <f t="shared" si="257"/>
        <v>2.2991261913434693</v>
      </c>
      <c r="X262" s="6">
        <f t="shared" si="257"/>
        <v>2.617389416000544</v>
      </c>
      <c r="Y262" s="6">
        <f t="shared" si="257"/>
        <v>2.9462227371840277</v>
      </c>
      <c r="Z262" s="6">
        <f t="shared" si="257"/>
        <v>3.3061172557645402</v>
      </c>
      <c r="AA262" s="6">
        <f t="shared" si="257"/>
        <v>3.6873672053879765</v>
      </c>
      <c r="AB262" s="6">
        <f t="shared" si="257"/>
        <v>4.0903954135018585</v>
      </c>
      <c r="AC262" s="6">
        <f t="shared" si="257"/>
        <v>4.5367962753810369</v>
      </c>
      <c r="AD262" s="6">
        <f t="shared" si="257"/>
        <v>5.0293592085316856</v>
      </c>
      <c r="AE262" s="6">
        <f t="shared" si="257"/>
        <v>5.5586596563459922</v>
      </c>
      <c r="AF262" s="6">
        <f t="shared" si="258"/>
        <v>6.0995372126402225</v>
      </c>
      <c r="AG262" s="6">
        <f t="shared" si="258"/>
        <v>6.654533500518153</v>
      </c>
      <c r="AH262" s="6">
        <f t="shared" si="258"/>
        <v>7.2515870332738412</v>
      </c>
      <c r="AI262" s="6">
        <f t="shared" si="258"/>
        <v>7.8638271089616714</v>
      </c>
      <c r="AJ262" s="6">
        <f t="shared" si="258"/>
        <v>8.4917785124035561</v>
      </c>
      <c r="AK262" s="6">
        <f t="shared" si="258"/>
        <v>9.1374353767517213</v>
      </c>
      <c r="AL262" s="6">
        <f t="shared" si="258"/>
        <v>9.7942181323807258</v>
      </c>
      <c r="AM262" s="6">
        <f t="shared" si="258"/>
        <v>10.448824375338296</v>
      </c>
      <c r="AN262" s="6">
        <f t="shared" si="258"/>
        <v>11.096459801539741</v>
      </c>
      <c r="AO262" s="6">
        <f t="shared" si="258"/>
        <v>14.395496090458636</v>
      </c>
      <c r="AP262" s="192">
        <f t="shared" si="260"/>
        <v>17.906653034323814</v>
      </c>
      <c r="AQ262" s="192">
        <f t="shared" si="259"/>
        <v>24.125421495493519</v>
      </c>
      <c r="AR262" s="192">
        <f t="shared" si="259"/>
        <v>27.719259739821005</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0.19796348261065</v>
      </c>
      <c r="S263" s="6">
        <f t="shared" si="256"/>
        <v>0.38139272694964443</v>
      </c>
      <c r="T263" s="6">
        <f t="shared" si="256"/>
        <v>0.49652979742751913</v>
      </c>
      <c r="U263" s="6">
        <f t="shared" si="256"/>
        <v>0.87528563526536463</v>
      </c>
      <c r="V263" s="6">
        <f t="shared" si="257"/>
        <v>1.0914156374121804</v>
      </c>
      <c r="W263" s="6">
        <f t="shared" si="257"/>
        <v>1.2172151519679375</v>
      </c>
      <c r="X263" s="6">
        <f t="shared" si="257"/>
        <v>1.3857116967967349</v>
      </c>
      <c r="Y263" s="6">
        <f t="shared" si="257"/>
        <v>1.5598043162116735</v>
      </c>
      <c r="Z263" s="6">
        <f t="shared" si="257"/>
        <v>1.7503415136807803</v>
      </c>
      <c r="AA263" s="6">
        <f t="shared" si="257"/>
        <v>1.9521848127201815</v>
      </c>
      <c r="AB263" s="6">
        <f t="shared" si="257"/>
        <v>2.1655580688005909</v>
      </c>
      <c r="AC263" s="6">
        <f t="shared" si="257"/>
        <v>2.4018938971586556</v>
      </c>
      <c r="AD263" s="6">
        <f t="shared" si="257"/>
        <v>2.6626690854828756</v>
      </c>
      <c r="AE263" s="6">
        <f t="shared" si="257"/>
        <v>2.9428940367921008</v>
      </c>
      <c r="AF263" s="6">
        <f t="shared" si="258"/>
        <v>3.2292482001083913</v>
      </c>
      <c r="AG263" s="6">
        <f t="shared" si="258"/>
        <v>3.5230771745398584</v>
      </c>
      <c r="AH263" s="6">
        <f t="shared" si="258"/>
        <v>3.8391723107452984</v>
      </c>
      <c r="AI263" s="6">
        <f t="shared" si="258"/>
        <v>4.1633075842135892</v>
      </c>
      <c r="AJ263" s="6">
        <f t="shared" si="258"/>
        <v>4.4957608292102691</v>
      </c>
      <c r="AK263" s="6">
        <f t="shared" si="258"/>
        <v>4.8375877899120026</v>
      </c>
      <c r="AL263" s="6">
        <f t="shared" si="258"/>
        <v>5.1853050769025586</v>
      </c>
      <c r="AM263" s="6">
        <f t="shared" si="258"/>
        <v>5.5318700634182232</v>
      </c>
      <c r="AN263" s="6">
        <f t="shared" si="258"/>
        <v>5.8747445244598637</v>
      </c>
      <c r="AO263" s="6">
        <f t="shared" si="258"/>
        <v>7.6213371964426306</v>
      </c>
      <c r="AP263" s="192">
        <f t="shared" si="260"/>
        <v>9.4802318709070921</v>
      </c>
      <c r="AQ263" s="192">
        <f t="shared" si="259"/>
        <v>12.772604088672528</v>
      </c>
      <c r="AR263" s="192">
        <f t="shared" si="259"/>
        <v>14.675272320276244</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2">
        <f t="shared" si="260"/>
        <v>0</v>
      </c>
      <c r="AQ264" s="192">
        <f t="shared" si="259"/>
        <v>0</v>
      </c>
      <c r="AR264" s="192">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2">
        <f t="shared" si="260"/>
        <v>0</v>
      </c>
      <c r="AQ265" s="192">
        <f t="shared" si="259"/>
        <v>0</v>
      </c>
      <c r="AR265" s="192">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0.27783625702001274</v>
      </c>
      <c r="S266" s="6">
        <f t="shared" si="256"/>
        <v>0.53527411375538358</v>
      </c>
      <c r="T266" s="6">
        <f t="shared" si="256"/>
        <v>0.69686579866596787</v>
      </c>
      <c r="U266" s="6">
        <f t="shared" si="256"/>
        <v>1.2284391116911484</v>
      </c>
      <c r="V266" s="6">
        <f t="shared" si="257"/>
        <v>1.5317715750035923</v>
      </c>
      <c r="W266" s="6">
        <f t="shared" si="257"/>
        <v>1.7083277044380716</v>
      </c>
      <c r="X266" s="6">
        <f t="shared" si="257"/>
        <v>1.9448079315924471</v>
      </c>
      <c r="Y266" s="6">
        <f t="shared" si="257"/>
        <v>2.1891420942126696</v>
      </c>
      <c r="Z266" s="6">
        <f t="shared" si="257"/>
        <v>2.4565557660160557</v>
      </c>
      <c r="AA266" s="6">
        <f t="shared" si="257"/>
        <v>2.7398372377810984</v>
      </c>
      <c r="AB266" s="6">
        <f t="shared" si="257"/>
        <v>3.0393006844519657</v>
      </c>
      <c r="AC266" s="6">
        <f t="shared" si="257"/>
        <v>3.3709914644119889</v>
      </c>
      <c r="AD266" s="6">
        <f t="shared" si="257"/>
        <v>3.7369822082209807</v>
      </c>
      <c r="AE266" s="6">
        <f t="shared" si="257"/>
        <v>4.1302701549101037</v>
      </c>
      <c r="AF266" s="6">
        <f t="shared" si="258"/>
        <v>4.5321602806479477</v>
      </c>
      <c r="AG266" s="6">
        <f t="shared" si="258"/>
        <v>4.944541096460469</v>
      </c>
      <c r="AH266" s="6">
        <f t="shared" si="258"/>
        <v>5.388171852736253</v>
      </c>
      <c r="AI266" s="6">
        <f t="shared" si="258"/>
        <v>5.8430867186547779</v>
      </c>
      <c r="AJ266" s="6">
        <f t="shared" si="258"/>
        <v>6.3096756269015639</v>
      </c>
      <c r="AK266" s="6">
        <f t="shared" si="258"/>
        <v>6.7894202851458596</v>
      </c>
      <c r="AL266" s="6">
        <f t="shared" si="258"/>
        <v>7.2774318529591859</v>
      </c>
      <c r="AM266" s="6">
        <f t="shared" si="258"/>
        <v>7.763826199016842</v>
      </c>
      <c r="AN266" s="6">
        <f t="shared" si="258"/>
        <v>8.2450409949341523</v>
      </c>
      <c r="AO266" s="6">
        <f t="shared" si="258"/>
        <v>10.696335365606982</v>
      </c>
      <c r="AP266" s="192">
        <f t="shared" si="260"/>
        <v>13.305242481892762</v>
      </c>
      <c r="AQ266" s="192">
        <f t="shared" si="259"/>
        <v>17.925995570479898</v>
      </c>
      <c r="AR266" s="192">
        <f t="shared" si="259"/>
        <v>20.596337660083165</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I80" zoomScale="70" zoomScaleNormal="70" workbookViewId="0">
      <selection activeCell="U126" sqref="U126:V127"/>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209</v>
      </c>
      <c r="BF1" s="165" t="s">
        <v>522</v>
      </c>
      <c r="BG1" s="165" t="s">
        <v>185</v>
      </c>
      <c r="BH1" s="165" t="s">
        <v>526</v>
      </c>
      <c r="BJ1" s="165"/>
    </row>
    <row r="2" spans="1:62" ht="15.75" thickBot="1">
      <c r="A2" t="s">
        <v>16</v>
      </c>
      <c r="B2" s="369" t="s">
        <v>280</v>
      </c>
      <c r="C2" s="369"/>
      <c r="BE2" s="165"/>
      <c r="BF2" s="165"/>
      <c r="BG2" s="165"/>
      <c r="BH2" s="165" t="s">
        <v>141</v>
      </c>
      <c r="BI2" s="165" t="s">
        <v>141</v>
      </c>
      <c r="BJ2" s="165" t="s">
        <v>528</v>
      </c>
    </row>
    <row r="3" spans="1:62">
      <c r="A3" t="s">
        <v>16</v>
      </c>
      <c r="C3" s="165" t="str">
        <f>INDEX($BF$4:$BF$7,MATCH($D$3,$BE$4:$BE$7,0))</f>
        <v>NDC-PAMS-reference</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603</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604</v>
      </c>
      <c r="BG5" s="165">
        <v>1</v>
      </c>
      <c r="BH5" s="163">
        <v>0.8</v>
      </c>
      <c r="BI5" s="163">
        <v>0.85</v>
      </c>
      <c r="BJ5" s="173">
        <v>1</v>
      </c>
    </row>
    <row r="6" spans="1:62">
      <c r="A6" t="s">
        <v>16</v>
      </c>
      <c r="B6" t="s">
        <v>9</v>
      </c>
      <c r="C6" t="s">
        <v>10</v>
      </c>
      <c r="D6" t="s">
        <v>387</v>
      </c>
      <c r="BE6" s="165">
        <v>2</v>
      </c>
      <c r="BF6" s="165" t="s">
        <v>595</v>
      </c>
      <c r="BG6" s="165">
        <v>1</v>
      </c>
      <c r="BH6" s="163">
        <v>0.92</v>
      </c>
      <c r="BI6" s="163">
        <v>0.93</v>
      </c>
      <c r="BJ6" s="173">
        <v>1</v>
      </c>
    </row>
    <row r="7" spans="1:62">
      <c r="A7" t="s">
        <v>16</v>
      </c>
      <c r="B7" s="3" t="s">
        <v>577</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605</v>
      </c>
      <c r="BG7" s="165">
        <v>1</v>
      </c>
      <c r="BH7" s="163">
        <v>0.8</v>
      </c>
      <c r="BI7" s="163">
        <v>0.65</v>
      </c>
      <c r="BJ7" s="173">
        <v>1</v>
      </c>
    </row>
    <row r="8" spans="1:62">
      <c r="A8" t="s">
        <v>16</v>
      </c>
      <c r="B8" s="3" t="s">
        <v>371</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372</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428</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744</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4"/>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4"/>
      <c r="AJ13" s="194"/>
      <c r="AK13" s="194"/>
      <c r="AL13" s="194"/>
      <c r="AM13" s="194"/>
      <c r="AN13" s="194"/>
      <c r="AO13" s="194"/>
      <c r="AP13" s="194"/>
      <c r="AQ13" s="194"/>
      <c r="AR13" s="194"/>
      <c r="AS13" s="194"/>
      <c r="AT13" s="194"/>
      <c r="AU13" s="194"/>
      <c r="AV13" s="194"/>
      <c r="AW13" s="194"/>
    </row>
    <row r="14" spans="1:62">
      <c r="A14" t="s">
        <v>16</v>
      </c>
      <c r="B14" s="3" t="s">
        <v>396</v>
      </c>
      <c r="C14" s="3" t="s">
        <v>745</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4"/>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4"/>
      <c r="AJ14" s="194"/>
      <c r="AK14" s="194"/>
      <c r="AL14" s="194"/>
      <c r="AM14" s="194"/>
      <c r="AN14" s="194"/>
      <c r="AO14" s="194"/>
      <c r="AP14" s="194"/>
      <c r="AQ14" s="194"/>
      <c r="AR14" s="194"/>
      <c r="AS14" s="194"/>
      <c r="AT14" s="194"/>
      <c r="AU14" s="194"/>
      <c r="AV14" s="194"/>
      <c r="AW14" s="194"/>
    </row>
    <row r="15" spans="1:62">
      <c r="A15" t="s">
        <v>16</v>
      </c>
      <c r="B15" s="3" t="s">
        <v>397</v>
      </c>
      <c r="C15" s="3" t="s">
        <v>746</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4"/>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4"/>
      <c r="AJ15" s="194"/>
      <c r="AK15" s="194"/>
      <c r="AL15" s="194"/>
      <c r="AM15" s="194"/>
      <c r="AN15" s="194"/>
      <c r="AO15" s="194"/>
      <c r="AP15" s="194"/>
      <c r="AQ15" s="194"/>
      <c r="AR15" s="194"/>
      <c r="AS15" s="194"/>
      <c r="AT15" s="194"/>
      <c r="AU15" s="194"/>
      <c r="AV15" s="194"/>
      <c r="AW15" s="194"/>
    </row>
    <row r="16" spans="1:62">
      <c r="A16" t="s">
        <v>16</v>
      </c>
      <c r="B16" s="3" t="s">
        <v>398</v>
      </c>
      <c r="C16" s="3" t="s">
        <v>747</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4"/>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4"/>
      <c r="AJ16" s="194"/>
      <c r="AK16" s="194"/>
      <c r="AL16" s="194"/>
      <c r="AM16" s="194"/>
      <c r="AN16" s="194"/>
      <c r="AO16" s="194"/>
      <c r="AP16" s="194"/>
      <c r="AQ16" s="194"/>
      <c r="AR16" s="194"/>
      <c r="AS16" s="194"/>
      <c r="AT16" s="194"/>
      <c r="AU16" s="194"/>
      <c r="AV16" s="194"/>
      <c r="AW16" s="194"/>
    </row>
    <row r="17" spans="1:49">
      <c r="A17" t="s">
        <v>16</v>
      </c>
      <c r="B17" s="3" t="s">
        <v>399</v>
      </c>
      <c r="C17" s="3" t="s">
        <v>748</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4"/>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4"/>
      <c r="AJ17" s="194"/>
      <c r="AK17" s="194"/>
      <c r="AL17" s="194"/>
      <c r="AM17" s="194"/>
      <c r="AN17" s="194"/>
      <c r="AO17" s="194"/>
      <c r="AP17" s="194"/>
      <c r="AQ17" s="194"/>
      <c r="AR17" s="194"/>
      <c r="AS17" s="194"/>
      <c r="AT17" s="194"/>
      <c r="AU17" s="194"/>
      <c r="AV17" s="194"/>
      <c r="AW17" s="194"/>
    </row>
    <row r="18" spans="1:49">
      <c r="A18" t="s">
        <v>16</v>
      </c>
      <c r="B18" s="3" t="s">
        <v>400</v>
      </c>
      <c r="C18" s="3" t="s">
        <v>749</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4"/>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4"/>
      <c r="AJ18" s="194"/>
      <c r="AK18" s="194"/>
      <c r="AL18" s="194"/>
      <c r="AM18" s="194"/>
      <c r="AN18" s="194"/>
      <c r="AO18" s="194"/>
      <c r="AP18" s="194"/>
      <c r="AQ18" s="194"/>
      <c r="AR18" s="194"/>
      <c r="AS18" s="194"/>
      <c r="AT18" s="194"/>
      <c r="AU18" s="194"/>
      <c r="AV18" s="194"/>
      <c r="AW18" s="194"/>
    </row>
    <row r="19" spans="1:49">
      <c r="A19" t="s">
        <v>16</v>
      </c>
      <c r="B19" s="3" t="s">
        <v>401</v>
      </c>
      <c r="C19" s="3" t="s">
        <v>750</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4"/>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4"/>
      <c r="AJ19" s="194"/>
      <c r="AK19" s="194"/>
      <c r="AL19" s="194"/>
      <c r="AM19" s="194"/>
      <c r="AN19" s="194"/>
      <c r="AO19" s="194"/>
      <c r="AP19" s="194"/>
      <c r="AQ19" s="194"/>
      <c r="AR19" s="194"/>
      <c r="AS19" s="194"/>
      <c r="AT19" s="194"/>
      <c r="AU19" s="194"/>
      <c r="AV19" s="194"/>
      <c r="AW19" s="194"/>
    </row>
    <row r="20" spans="1:49">
      <c r="A20" t="s">
        <v>16</v>
      </c>
      <c r="B20" s="3" t="s">
        <v>402</v>
      </c>
      <c r="C20" s="3" t="s">
        <v>751</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4"/>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4"/>
      <c r="AJ20" s="194"/>
      <c r="AK20" s="194"/>
      <c r="AL20" s="194"/>
      <c r="AM20" s="194"/>
      <c r="AN20" s="194"/>
      <c r="AO20" s="194"/>
      <c r="AP20" s="194"/>
      <c r="AQ20" s="194"/>
      <c r="AR20" s="194"/>
      <c r="AS20" s="194"/>
      <c r="AT20" s="194"/>
      <c r="AU20" s="194"/>
      <c r="AV20" s="194"/>
      <c r="AW20" s="194"/>
    </row>
    <row r="21" spans="1:49">
      <c r="A21" t="s">
        <v>16</v>
      </c>
      <c r="B21" s="3" t="s">
        <v>403</v>
      </c>
      <c r="C21" s="3" t="s">
        <v>752</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4"/>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4"/>
      <c r="AJ21" s="194"/>
      <c r="AK21" s="194"/>
      <c r="AL21" s="194"/>
      <c r="AM21" s="194"/>
      <c r="AN21" s="194"/>
      <c r="AO21" s="194"/>
      <c r="AP21" s="194"/>
      <c r="AQ21" s="194"/>
      <c r="AR21" s="194"/>
      <c r="AS21" s="194"/>
      <c r="AT21" s="194"/>
      <c r="AU21" s="194"/>
      <c r="AV21" s="194"/>
      <c r="AW21" s="194"/>
    </row>
    <row r="22" spans="1:49">
      <c r="A22" t="s">
        <v>16</v>
      </c>
      <c r="B22" s="3" t="s">
        <v>404</v>
      </c>
      <c r="C22" s="3" t="s">
        <v>753</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4"/>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4"/>
      <c r="AJ22" s="194"/>
      <c r="AK22" s="194"/>
      <c r="AL22" s="194"/>
      <c r="AM22" s="194"/>
      <c r="AN22" s="194"/>
      <c r="AO22" s="194"/>
      <c r="AP22" s="194"/>
      <c r="AQ22" s="194"/>
      <c r="AR22" s="194"/>
      <c r="AS22" s="194"/>
      <c r="AT22" s="194"/>
      <c r="AU22" s="194"/>
      <c r="AV22" s="194"/>
      <c r="AW22" s="194"/>
    </row>
    <row r="23" spans="1:49">
      <c r="A23" t="s">
        <v>16</v>
      </c>
      <c r="B23" s="3" t="s">
        <v>366</v>
      </c>
      <c r="C23" s="3" t="s">
        <v>754</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4"/>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4"/>
      <c r="AJ23" s="194"/>
      <c r="AK23" s="194"/>
      <c r="AL23" s="194"/>
      <c r="AM23" s="194"/>
      <c r="AN23" s="194"/>
      <c r="AO23" s="194"/>
      <c r="AP23" s="194"/>
      <c r="AQ23" s="194"/>
      <c r="AR23" s="194"/>
      <c r="AS23" s="194"/>
      <c r="AT23" s="194"/>
      <c r="AU23" s="194"/>
      <c r="AV23" s="194"/>
      <c r="AW23" s="194"/>
    </row>
    <row r="24" spans="1:49">
      <c r="A24" t="s">
        <v>16</v>
      </c>
      <c r="B24" s="3" t="s">
        <v>368</v>
      </c>
      <c r="C24" s="3" t="s">
        <v>755</v>
      </c>
      <c r="F24" s="293">
        <v>0</v>
      </c>
      <c r="G24" s="293">
        <v>0</v>
      </c>
      <c r="H24" s="293">
        <v>0</v>
      </c>
      <c r="I24" s="293">
        <v>0</v>
      </c>
      <c r="J24" s="293">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4"/>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4"/>
      <c r="AJ24" s="194"/>
      <c r="AK24" s="194"/>
      <c r="AL24" s="194"/>
      <c r="AM24" s="194"/>
      <c r="AN24" s="194"/>
      <c r="AO24" s="194"/>
      <c r="AP24" s="194"/>
      <c r="AQ24" s="194"/>
      <c r="AR24" s="194"/>
      <c r="AS24" s="194"/>
      <c r="AT24" s="194"/>
      <c r="AU24" s="194"/>
      <c r="AV24" s="194"/>
      <c r="AW24" s="194"/>
    </row>
    <row r="25" spans="1:49">
      <c r="A25" t="s">
        <v>16</v>
      </c>
      <c r="B25" s="3" t="s">
        <v>367</v>
      </c>
      <c r="C25" s="3" t="s">
        <v>756</v>
      </c>
      <c r="F25" s="37">
        <v>0.8</v>
      </c>
      <c r="G25" s="47">
        <f t="shared" si="18"/>
        <v>0.8</v>
      </c>
      <c r="H25" s="47">
        <f t="shared" si="19"/>
        <v>0.8</v>
      </c>
      <c r="I25" s="293">
        <v>0.4</v>
      </c>
      <c r="J25" s="293">
        <v>0.4</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4"/>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4"/>
      <c r="AJ25" s="194"/>
      <c r="AK25" s="194"/>
      <c r="AL25" s="194"/>
      <c r="AM25" s="194"/>
      <c r="AN25" s="194"/>
      <c r="AO25" s="194"/>
      <c r="AP25" s="194"/>
      <c r="AQ25" s="194"/>
      <c r="AR25" s="194"/>
      <c r="AS25" s="194"/>
      <c r="AT25" s="194"/>
      <c r="AU25" s="194"/>
      <c r="AV25" s="194"/>
      <c r="AW25" s="194"/>
    </row>
    <row r="26" spans="1:49" ht="15.75" thickBot="1">
      <c r="A26" t="s">
        <v>16</v>
      </c>
      <c r="B26" s="3"/>
      <c r="C26" s="3"/>
      <c r="P26" s="3"/>
      <c r="R26" s="3"/>
      <c r="T26" s="3"/>
      <c r="U26" s="3"/>
      <c r="V26" s="3"/>
      <c r="W26" s="3"/>
      <c r="X26" s="3"/>
      <c r="Y26" s="3"/>
      <c r="Z26" s="3"/>
      <c r="AA26" s="3"/>
      <c r="AB26" s="3"/>
      <c r="AD26" s="217" t="s">
        <v>781</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397</v>
      </c>
      <c r="C28" s="3" t="s">
        <v>746</v>
      </c>
      <c r="D28" t="s">
        <v>39</v>
      </c>
      <c r="F28" s="195">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6">
        <f t="shared" ref="P28:P36" si="37">$F28</f>
        <v>1.1310877688817864E-2</v>
      </c>
      <c r="Q28" s="196">
        <f>P28</f>
        <v>1.1310877688817864E-2</v>
      </c>
      <c r="R28" s="196">
        <f>Q28</f>
        <v>1.1310877688817864E-2</v>
      </c>
      <c r="S28" s="196">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7"/>
      <c r="Z28" s="196">
        <f>P28</f>
        <v>1.1310877688817864E-2</v>
      </c>
      <c r="AA28" s="196">
        <f>Q28</f>
        <v>1.1310877688817864E-2</v>
      </c>
      <c r="AB28" s="196">
        <f>R28</f>
        <v>1.1310877688817864E-2</v>
      </c>
      <c r="AC28" s="196">
        <f>S28</f>
        <v>1.1310877688817864E-2</v>
      </c>
      <c r="AD28" s="218">
        <f>AC28*$AD$27</f>
        <v>1.0745333804376971E-2</v>
      </c>
      <c r="AE28" s="218">
        <f t="shared" ref="AE28:AH28" si="41">AD28*$AD$27</f>
        <v>1.0208067114158122E-2</v>
      </c>
      <c r="AF28" s="218">
        <f t="shared" si="41"/>
        <v>9.6976637584502146E-3</v>
      </c>
      <c r="AG28" s="218">
        <f t="shared" si="41"/>
        <v>9.2127805705277035E-3</v>
      </c>
      <c r="AH28" s="218">
        <f t="shared" si="41"/>
        <v>8.7521415420013186E-3</v>
      </c>
      <c r="AI28" s="197"/>
      <c r="AM28" s="197"/>
      <c r="AP28" s="218">
        <v>9.7864749964441684E-3</v>
      </c>
      <c r="AQ28" s="218">
        <v>8.3185037469775437E-3</v>
      </c>
      <c r="AR28" s="56">
        <v>7.0707281849309118E-3</v>
      </c>
      <c r="AS28" s="197"/>
      <c r="AT28" s="197"/>
      <c r="AU28" s="197"/>
      <c r="AV28" s="197"/>
      <c r="AW28" s="197"/>
    </row>
    <row r="29" spans="1:49">
      <c r="A29" t="s">
        <v>16</v>
      </c>
      <c r="B29" s="3" t="s">
        <v>398</v>
      </c>
      <c r="C29" s="3" t="s">
        <v>747</v>
      </c>
      <c r="F29" s="195">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6">
        <f t="shared" si="37"/>
        <v>7.4488324862735031E-2</v>
      </c>
      <c r="Q29" s="196">
        <f t="shared" ref="Q29:R35" si="42">P29</f>
        <v>7.4488324862735031E-2</v>
      </c>
      <c r="R29" s="196">
        <f t="shared" si="42"/>
        <v>7.4488324862735031E-2</v>
      </c>
      <c r="S29" s="196">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7"/>
      <c r="Z29" s="196">
        <f t="shared" ref="Z29:Z36" si="44">P29</f>
        <v>7.4488324862735031E-2</v>
      </c>
      <c r="AA29" s="196">
        <f t="shared" ref="AA29:AA35" si="45">Q29</f>
        <v>7.4488324862735031E-2</v>
      </c>
      <c r="AB29" s="196">
        <f t="shared" ref="AB29:AB35" si="46">R29</f>
        <v>7.4488324862735031E-2</v>
      </c>
      <c r="AC29" s="196">
        <f t="shared" ref="AC29:AC35" si="47">S29</f>
        <v>7.4488324862735031E-2</v>
      </c>
      <c r="AD29" s="218">
        <f t="shared" ref="AD29:AH29" si="48">AC29*$AD$27</f>
        <v>7.0763908619598276E-2</v>
      </c>
      <c r="AE29" s="218">
        <f t="shared" si="48"/>
        <v>6.7225713188618363E-2</v>
      </c>
      <c r="AF29" s="218">
        <f t="shared" si="48"/>
        <v>6.3864427529187445E-2</v>
      </c>
      <c r="AG29" s="218">
        <f t="shared" si="48"/>
        <v>6.0671206152728072E-2</v>
      </c>
      <c r="AH29" s="218">
        <f t="shared" si="48"/>
        <v>5.7637645845091665E-2</v>
      </c>
      <c r="AI29" s="197"/>
      <c r="AM29" s="197"/>
      <c r="AP29" s="54">
        <v>6.5492845584742485E-2</v>
      </c>
      <c r="AQ29" s="218">
        <v>5.5668918747031108E-2</v>
      </c>
      <c r="AR29" s="56">
        <v>4.7318580934976442E-2</v>
      </c>
      <c r="AS29" s="197"/>
      <c r="AT29" s="197"/>
      <c r="AU29" s="197"/>
      <c r="AV29" s="197"/>
      <c r="AW29" s="197"/>
    </row>
    <row r="30" spans="1:49">
      <c r="A30" t="s">
        <v>16</v>
      </c>
      <c r="B30" s="3" t="s">
        <v>399</v>
      </c>
      <c r="C30" s="3" t="s">
        <v>748</v>
      </c>
      <c r="F30" s="195">
        <f t="shared" ref="F30:F35" si="49">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6">
        <f t="shared" si="37"/>
        <v>2.1367810388246332E-2</v>
      </c>
      <c r="Q30" s="196">
        <f t="shared" si="42"/>
        <v>2.1367810388246332E-2</v>
      </c>
      <c r="R30" s="196">
        <f t="shared" si="42"/>
        <v>2.1367810388246332E-2</v>
      </c>
      <c r="S30" s="196">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7"/>
      <c r="Z30" s="196">
        <f t="shared" si="44"/>
        <v>2.1367810388246332E-2</v>
      </c>
      <c r="AA30" s="196">
        <f t="shared" si="45"/>
        <v>2.1367810388246332E-2</v>
      </c>
      <c r="AB30" s="196">
        <f t="shared" si="46"/>
        <v>2.1367810388246332E-2</v>
      </c>
      <c r="AC30" s="196">
        <f t="shared" si="47"/>
        <v>2.1367810388246332E-2</v>
      </c>
      <c r="AD30" s="218">
        <f t="shared" ref="AD30:AH30" si="51">AC30*$AD$27</f>
        <v>2.0299419868834014E-2</v>
      </c>
      <c r="AE30" s="218">
        <f t="shared" si="51"/>
        <v>1.9284448875392313E-2</v>
      </c>
      <c r="AF30" s="218">
        <f t="shared" si="51"/>
        <v>1.8320226431622698E-2</v>
      </c>
      <c r="AG30" s="218">
        <f t="shared" si="51"/>
        <v>1.7404215110041563E-2</v>
      </c>
      <c r="AH30" s="218">
        <f t="shared" si="51"/>
        <v>1.6534004354539486E-2</v>
      </c>
      <c r="AI30" s="197"/>
      <c r="AM30" s="197"/>
      <c r="AP30" s="54">
        <v>2.1843528378332117E-2</v>
      </c>
      <c r="AQ30" s="218">
        <v>1.8566999121582297E-2</v>
      </c>
      <c r="AR30" s="56">
        <v>1.5781949253344953E-2</v>
      </c>
      <c r="AS30" s="197"/>
      <c r="AT30" s="197"/>
      <c r="AU30" s="197"/>
      <c r="AV30" s="197"/>
      <c r="AW30" s="197"/>
    </row>
    <row r="31" spans="1:49">
      <c r="A31" t="s">
        <v>16</v>
      </c>
      <c r="B31" s="3" t="s">
        <v>400</v>
      </c>
      <c r="C31" s="3" t="s">
        <v>749</v>
      </c>
      <c r="F31" s="195">
        <f t="shared" si="49"/>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6">
        <f t="shared" si="37"/>
        <v>1.4627762918736976E-2</v>
      </c>
      <c r="Q31" s="196">
        <f t="shared" si="42"/>
        <v>1.4627762918736976E-2</v>
      </c>
      <c r="R31" s="196">
        <f t="shared" si="42"/>
        <v>1.4627762918736976E-2</v>
      </c>
      <c r="S31" s="196">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7"/>
      <c r="Z31" s="196">
        <f t="shared" si="44"/>
        <v>1.4627762918736976E-2</v>
      </c>
      <c r="AA31" s="196">
        <f t="shared" si="45"/>
        <v>1.4627762918736976E-2</v>
      </c>
      <c r="AB31" s="196">
        <f t="shared" si="46"/>
        <v>1.4627762918736976E-2</v>
      </c>
      <c r="AC31" s="196">
        <f t="shared" si="47"/>
        <v>1.4627762918736976E-2</v>
      </c>
      <c r="AD31" s="218">
        <f t="shared" ref="AD31:AH31" si="53">AC31*$AD$27</f>
        <v>1.3896374772800127E-2</v>
      </c>
      <c r="AE31" s="218">
        <f t="shared" si="53"/>
        <v>1.3201556034160121E-2</v>
      </c>
      <c r="AF31" s="218">
        <f t="shared" si="53"/>
        <v>1.2541478232452115E-2</v>
      </c>
      <c r="AG31" s="218">
        <f t="shared" si="53"/>
        <v>1.1914404320829509E-2</v>
      </c>
      <c r="AH31" s="218">
        <f t="shared" si="53"/>
        <v>1.1318684104788033E-2</v>
      </c>
      <c r="AI31" s="197"/>
      <c r="AM31" s="197"/>
      <c r="AP31" s="54">
        <v>1.316775848625332E-2</v>
      </c>
      <c r="AQ31" s="218">
        <v>1.1192594713315322E-2</v>
      </c>
      <c r="AR31" s="56">
        <v>9.513705506318023E-3</v>
      </c>
      <c r="AS31" s="197"/>
      <c r="AT31" s="197"/>
      <c r="AU31" s="197"/>
      <c r="AV31" s="197"/>
      <c r="AW31" s="197"/>
    </row>
    <row r="32" spans="1:49">
      <c r="A32" t="s">
        <v>16</v>
      </c>
      <c r="B32" s="3" t="s">
        <v>401</v>
      </c>
      <c r="C32" s="3" t="s">
        <v>750</v>
      </c>
      <c r="F32" s="195">
        <f t="shared" si="49"/>
        <v>0.58639103006054849</v>
      </c>
      <c r="G32" s="48">
        <v>0.6</v>
      </c>
      <c r="H32" s="48">
        <v>0.60599999999999998</v>
      </c>
      <c r="I32" s="277">
        <v>0.61</v>
      </c>
      <c r="J32" s="48">
        <f>F32</f>
        <v>0.58639103006054849</v>
      </c>
      <c r="K32" s="48">
        <f t="shared" si="36"/>
        <v>0.58639103006054849</v>
      </c>
      <c r="L32" s="48">
        <f t="shared" si="36"/>
        <v>0.58639103006054849</v>
      </c>
      <c r="M32" s="48">
        <f t="shared" si="36"/>
        <v>0.58639103006054849</v>
      </c>
      <c r="N32" s="48">
        <f t="shared" si="36"/>
        <v>0.58639103006054849</v>
      </c>
      <c r="P32" s="196">
        <f t="shared" si="37"/>
        <v>0.58639103006054849</v>
      </c>
      <c r="Q32" s="196">
        <f t="shared" si="42"/>
        <v>0.58639103006054849</v>
      </c>
      <c r="R32" s="277">
        <f>I32</f>
        <v>0.61</v>
      </c>
      <c r="S32" s="196">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7"/>
      <c r="Z32" s="196">
        <f t="shared" si="44"/>
        <v>0.58639103006054849</v>
      </c>
      <c r="AA32" s="196">
        <f t="shared" si="45"/>
        <v>0.58639103006054849</v>
      </c>
      <c r="AB32" s="196">
        <f t="shared" si="46"/>
        <v>0.61</v>
      </c>
      <c r="AC32" s="196">
        <f t="shared" si="47"/>
        <v>0.58639103006054849</v>
      </c>
      <c r="AD32" s="218">
        <f t="shared" ref="AD32:AH32" si="55">AC32*$AD$27</f>
        <v>0.55707147855752104</v>
      </c>
      <c r="AE32" s="218">
        <f t="shared" si="55"/>
        <v>0.52921790462964491</v>
      </c>
      <c r="AF32" s="218">
        <f t="shared" si="55"/>
        <v>0.50275700939816259</v>
      </c>
      <c r="AG32" s="218">
        <f t="shared" si="55"/>
        <v>0.47761915892825446</v>
      </c>
      <c r="AH32" s="218">
        <f t="shared" si="55"/>
        <v>0.4537382009818417</v>
      </c>
      <c r="AI32" s="197"/>
      <c r="AM32" s="197"/>
      <c r="AP32" s="54">
        <v>0.43256392509058594</v>
      </c>
      <c r="AQ32" s="218">
        <v>0.36767933632699806</v>
      </c>
      <c r="AR32" s="56">
        <v>0.31252743587794835</v>
      </c>
      <c r="AS32" s="197"/>
      <c r="AT32" s="197"/>
      <c r="AU32" s="197"/>
      <c r="AV32" s="197"/>
      <c r="AW32" s="197"/>
    </row>
    <row r="33" spans="1:49">
      <c r="A33" t="s">
        <v>16</v>
      </c>
      <c r="B33" s="3" t="s">
        <v>402</v>
      </c>
      <c r="C33" s="3" t="s">
        <v>751</v>
      </c>
      <c r="F33" s="195">
        <f t="shared" si="49"/>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6">
        <f t="shared" si="37"/>
        <v>0.17957151280249187</v>
      </c>
      <c r="Q33" s="196">
        <f t="shared" si="42"/>
        <v>0.17957151280249187</v>
      </c>
      <c r="R33" s="196">
        <f t="shared" si="42"/>
        <v>0.17957151280249187</v>
      </c>
      <c r="S33" s="196">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7"/>
      <c r="Z33" s="196">
        <f t="shared" si="44"/>
        <v>0.17957151280249187</v>
      </c>
      <c r="AA33" s="196">
        <f t="shared" si="45"/>
        <v>0.17957151280249187</v>
      </c>
      <c r="AB33" s="196">
        <f t="shared" si="46"/>
        <v>0.17957151280249187</v>
      </c>
      <c r="AC33" s="196">
        <f t="shared" si="47"/>
        <v>0.17957151280249187</v>
      </c>
      <c r="AD33" s="218">
        <f t="shared" ref="AD33:AH33" si="57">AC33*$AD$27</f>
        <v>0.17059293716236726</v>
      </c>
      <c r="AE33" s="218">
        <f t="shared" si="57"/>
        <v>0.16206329030424887</v>
      </c>
      <c r="AF33" s="218">
        <f t="shared" si="57"/>
        <v>0.15396012578903642</v>
      </c>
      <c r="AG33" s="218">
        <f t="shared" si="57"/>
        <v>0.14626211949958459</v>
      </c>
      <c r="AH33" s="218">
        <f t="shared" si="57"/>
        <v>0.13894901352460537</v>
      </c>
      <c r="AI33" s="197"/>
      <c r="AM33" s="197"/>
      <c r="AP33" s="54">
        <v>0.15199325034036584</v>
      </c>
      <c r="AQ33" s="218">
        <v>0.12919426278931095</v>
      </c>
      <c r="AR33" s="56">
        <v>0.10981512337091431</v>
      </c>
      <c r="AS33" s="197"/>
      <c r="AT33" s="197"/>
      <c r="AU33" s="197"/>
      <c r="AV33" s="197"/>
      <c r="AW33" s="197"/>
    </row>
    <row r="34" spans="1:49">
      <c r="A34" t="s">
        <v>16</v>
      </c>
      <c r="B34" s="3" t="s">
        <v>403</v>
      </c>
      <c r="C34" s="3" t="s">
        <v>752</v>
      </c>
      <c r="F34" s="195">
        <f t="shared" si="49"/>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6">
        <f t="shared" si="37"/>
        <v>1.0141010242039481E-2</v>
      </c>
      <c r="Q34" s="196">
        <f t="shared" si="42"/>
        <v>1.0141010242039481E-2</v>
      </c>
      <c r="R34" s="196">
        <f t="shared" si="42"/>
        <v>1.0141010242039481E-2</v>
      </c>
      <c r="S34" s="196">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7"/>
      <c r="Z34" s="196">
        <f t="shared" si="44"/>
        <v>1.0141010242039481E-2</v>
      </c>
      <c r="AA34" s="196">
        <f t="shared" si="45"/>
        <v>1.0141010242039481E-2</v>
      </c>
      <c r="AB34" s="196">
        <f t="shared" si="46"/>
        <v>1.0141010242039481E-2</v>
      </c>
      <c r="AC34" s="196">
        <f t="shared" si="47"/>
        <v>1.0141010242039481E-2</v>
      </c>
      <c r="AD34" s="218">
        <f t="shared" ref="AD34:AH34" si="59">AC34*$AD$27</f>
        <v>9.6339597299375072E-3</v>
      </c>
      <c r="AE34" s="218">
        <f t="shared" si="59"/>
        <v>9.152261743440632E-3</v>
      </c>
      <c r="AF34" s="218">
        <f t="shared" si="59"/>
        <v>8.6946486562685995E-3</v>
      </c>
      <c r="AG34" s="218">
        <f t="shared" si="59"/>
        <v>8.2599162234551684E-3</v>
      </c>
      <c r="AH34" s="218">
        <f t="shared" si="59"/>
        <v>7.8469204122824099E-3</v>
      </c>
      <c r="AI34" s="197"/>
      <c r="AM34" s="197"/>
      <c r="AP34" s="54">
        <v>5.5938512554391424E-3</v>
      </c>
      <c r="AQ34" s="218">
        <v>4.7547735671232706E-3</v>
      </c>
      <c r="AR34" s="56">
        <v>4.0415575320547799E-3</v>
      </c>
      <c r="AS34" s="197"/>
      <c r="AT34" s="197"/>
      <c r="AU34" s="197"/>
      <c r="AV34" s="197"/>
      <c r="AW34" s="197"/>
    </row>
    <row r="35" spans="1:49">
      <c r="A35" t="s">
        <v>16</v>
      </c>
      <c r="B35" s="3" t="s">
        <v>404</v>
      </c>
      <c r="C35" s="3" t="s">
        <v>753</v>
      </c>
      <c r="F35" s="195">
        <f t="shared" si="49"/>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6">
        <f t="shared" si="37"/>
        <v>2.9052410444323504E-3</v>
      </c>
      <c r="Q35" s="196">
        <f t="shared" si="42"/>
        <v>2.9052410444323504E-3</v>
      </c>
      <c r="R35" s="196">
        <f t="shared" si="42"/>
        <v>2.9052410444323504E-3</v>
      </c>
      <c r="S35" s="196">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7"/>
      <c r="Z35" s="196">
        <f t="shared" si="44"/>
        <v>2.9052410444323504E-3</v>
      </c>
      <c r="AA35" s="196">
        <f t="shared" si="45"/>
        <v>2.9052410444323504E-3</v>
      </c>
      <c r="AB35" s="196">
        <f t="shared" si="46"/>
        <v>2.9052410444323504E-3</v>
      </c>
      <c r="AC35" s="196">
        <f t="shared" si="47"/>
        <v>2.9052410444323504E-3</v>
      </c>
      <c r="AD35" s="218">
        <f t="shared" ref="AD35:AH35" si="61">AC35*$AD$27</f>
        <v>2.7599789922107326E-3</v>
      </c>
      <c r="AE35" s="218">
        <f t="shared" si="61"/>
        <v>2.6219800426001958E-3</v>
      </c>
      <c r="AF35" s="218">
        <f t="shared" si="61"/>
        <v>2.4908810404701857E-3</v>
      </c>
      <c r="AG35" s="218">
        <f t="shared" si="61"/>
        <v>2.3663369884466762E-3</v>
      </c>
      <c r="AH35" s="218">
        <f t="shared" si="61"/>
        <v>2.2480201390243423E-3</v>
      </c>
      <c r="AI35" s="197"/>
      <c r="AM35" s="197"/>
      <c r="AP35" s="54">
        <v>4.9746960538483084E-3</v>
      </c>
      <c r="AQ35" s="218">
        <v>4.2284916457710616E-3</v>
      </c>
      <c r="AR35" s="56">
        <v>3.5942178989054022E-3</v>
      </c>
      <c r="AS35" s="197"/>
      <c r="AT35" s="197"/>
      <c r="AU35" s="197"/>
      <c r="AV35" s="197"/>
      <c r="AW35" s="197"/>
    </row>
    <row r="36" spans="1:49">
      <c r="A36" t="s">
        <v>16</v>
      </c>
      <c r="B36" s="3" t="s">
        <v>366</v>
      </c>
      <c r="C36" s="3" t="s">
        <v>754</v>
      </c>
      <c r="D36" t="s">
        <v>39</v>
      </c>
      <c r="F36" s="195">
        <f>F59/F$60</f>
        <v>9.9196429991951662E-2</v>
      </c>
      <c r="G36" s="48">
        <f t="shared" ref="G36:I36" si="62">1-SUM(G28:G35)</f>
        <v>8.5587460052500175E-2</v>
      </c>
      <c r="H36" s="48">
        <f t="shared" si="62"/>
        <v>7.958746005250017E-2</v>
      </c>
      <c r="I36" s="48">
        <f t="shared" si="62"/>
        <v>7.5587460052500166E-2</v>
      </c>
      <c r="J36" s="48">
        <f>1-SUM(J28:J35)</f>
        <v>9.9196429991951662E-2</v>
      </c>
      <c r="K36" s="48">
        <f>1-SUM(K28:K35)</f>
        <v>9.9196429991951662E-2</v>
      </c>
      <c r="L36" s="48">
        <f>1-SUM(L28:L35)</f>
        <v>9.9196429991951662E-2</v>
      </c>
      <c r="M36" s="48">
        <f>1-SUM(M28:M35)</f>
        <v>9.9196429991951662E-2</v>
      </c>
      <c r="N36" s="48">
        <f>1-SUM(N28:N35)</f>
        <v>9.9196429991951662E-2</v>
      </c>
      <c r="P36" s="196">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7"/>
      <c r="Z36" s="196">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7"/>
      <c r="AJ36" s="197"/>
      <c r="AK36" s="197"/>
      <c r="AL36" s="197"/>
      <c r="AM36" s="197"/>
      <c r="AN36" s="197"/>
      <c r="AO36" s="197"/>
      <c r="AP36" s="197"/>
      <c r="AQ36" s="197"/>
      <c r="AR36" s="197"/>
      <c r="AS36" s="197"/>
      <c r="AT36" s="197"/>
      <c r="AU36" s="197"/>
      <c r="AV36" s="197"/>
      <c r="AW36" s="197"/>
    </row>
    <row r="37" spans="1:49">
      <c r="A37" t="s">
        <v>16</v>
      </c>
    </row>
    <row r="38" spans="1:49" ht="15.75" thickBot="1">
      <c r="A38" t="s">
        <v>16</v>
      </c>
      <c r="B38" s="9" t="s">
        <v>417</v>
      </c>
      <c r="C38" s="9"/>
      <c r="D38" s="9"/>
    </row>
    <row r="39" spans="1:49">
      <c r="A39" t="s">
        <v>16</v>
      </c>
      <c r="B39" s="3" t="s">
        <v>396</v>
      </c>
      <c r="C39" s="3" t="s">
        <v>745</v>
      </c>
      <c r="D39" t="s">
        <v>39</v>
      </c>
      <c r="F39" s="195">
        <f>F46/F$48</f>
        <v>0.16642758048548645</v>
      </c>
      <c r="G39" s="294">
        <v>0.19</v>
      </c>
      <c r="H39" s="294">
        <f>G39</f>
        <v>0.19</v>
      </c>
      <c r="I39" s="294">
        <f>H39</f>
        <v>0.19</v>
      </c>
      <c r="J39" s="294">
        <v>0.19</v>
      </c>
      <c r="K39" s="48">
        <f>IF($D$4,AE39,U39)</f>
        <v>0.19</v>
      </c>
      <c r="L39" s="48">
        <f>IF($D$4,AF39,V39)</f>
        <v>0.19</v>
      </c>
      <c r="M39" s="48">
        <f>IF($D$4,AG39,W39)</f>
        <v>0.19</v>
      </c>
      <c r="N39" s="48">
        <f>IF($D$4,AH39,X39)</f>
        <v>0.19</v>
      </c>
      <c r="P39" s="196">
        <f>F39</f>
        <v>0.16642758048548645</v>
      </c>
      <c r="Q39" s="196">
        <f t="shared" ref="Q39:T39" si="67">G39</f>
        <v>0.19</v>
      </c>
      <c r="R39" s="196">
        <f t="shared" si="67"/>
        <v>0.19</v>
      </c>
      <c r="S39" s="196">
        <f t="shared" si="67"/>
        <v>0.19</v>
      </c>
      <c r="T39" s="196">
        <f t="shared" si="67"/>
        <v>0.19</v>
      </c>
      <c r="U39" s="25">
        <f>T39</f>
        <v>0.19</v>
      </c>
      <c r="V39" s="25">
        <f>U39</f>
        <v>0.19</v>
      </c>
      <c r="W39" s="25">
        <f t="shared" ref="W39:X39" si="68">V39</f>
        <v>0.19</v>
      </c>
      <c r="X39" s="25">
        <f t="shared" si="68"/>
        <v>0.19</v>
      </c>
      <c r="Y39" s="197"/>
      <c r="Z39" s="196">
        <f>P39</f>
        <v>0.16642758048548645</v>
      </c>
      <c r="AA39" s="196">
        <f>Q39</f>
        <v>0.19</v>
      </c>
      <c r="AB39" s="196">
        <f>R39</f>
        <v>0.19</v>
      </c>
      <c r="AC39" s="196">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7"/>
      <c r="AJ39" s="197"/>
      <c r="AK39" s="197"/>
      <c r="AL39" s="197"/>
      <c r="AM39" s="197"/>
      <c r="AN39" s="197"/>
      <c r="AO39" s="197"/>
      <c r="AP39" s="197"/>
      <c r="AQ39" s="197"/>
      <c r="AR39" s="197"/>
      <c r="AS39" s="197"/>
      <c r="AT39" s="197"/>
      <c r="AU39" s="197"/>
      <c r="AV39" s="197"/>
      <c r="AW39" s="197"/>
    </row>
    <row r="40" spans="1:49">
      <c r="A40" t="s">
        <v>16</v>
      </c>
      <c r="B40" s="3" t="s">
        <v>368</v>
      </c>
      <c r="C40" s="3" t="s">
        <v>755</v>
      </c>
      <c r="D40" t="s">
        <v>39</v>
      </c>
      <c r="F40" s="195">
        <f>F47/F$48</f>
        <v>0.83357241951451344</v>
      </c>
      <c r="G40" s="48">
        <f t="shared" ref="G40" si="70">1-G39</f>
        <v>0.81</v>
      </c>
      <c r="H40" s="48">
        <f t="shared" ref="H40:N40" si="71">1-H39</f>
        <v>0.81</v>
      </c>
      <c r="I40" s="48">
        <f t="shared" si="71"/>
        <v>0.81</v>
      </c>
      <c r="J40" s="48">
        <f t="shared" si="71"/>
        <v>0.81</v>
      </c>
      <c r="K40" s="48">
        <f t="shared" si="71"/>
        <v>0.81</v>
      </c>
      <c r="L40" s="48">
        <f t="shared" si="71"/>
        <v>0.81</v>
      </c>
      <c r="M40" s="48">
        <f t="shared" si="71"/>
        <v>0.81</v>
      </c>
      <c r="N40" s="48">
        <f t="shared" si="71"/>
        <v>0.81</v>
      </c>
      <c r="P40" s="196">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7"/>
      <c r="Z40" s="196">
        <f>P40</f>
        <v>0.83357241951451344</v>
      </c>
      <c r="AA40" s="196">
        <f t="shared" ref="AA40" si="74">Q40</f>
        <v>0.81</v>
      </c>
      <c r="AB40" s="196">
        <f t="shared" ref="AB40" si="75">R40</f>
        <v>0.81</v>
      </c>
      <c r="AC40" s="196">
        <f t="shared" ref="AC40" si="76">S40</f>
        <v>0.81</v>
      </c>
      <c r="AD40" s="48">
        <f>1-AD39</f>
        <v>0.81950000000000001</v>
      </c>
      <c r="AE40" s="48">
        <f>1-AE39</f>
        <v>0.82852499999999996</v>
      </c>
      <c r="AF40" s="48">
        <f>1-AF39</f>
        <v>0.83709875</v>
      </c>
      <c r="AG40" s="48">
        <f>1-AG39</f>
        <v>0.84524381250000002</v>
      </c>
      <c r="AH40" s="48">
        <f>1-AH39</f>
        <v>0.85298162187500004</v>
      </c>
      <c r="AI40" s="197"/>
      <c r="AJ40" s="197"/>
      <c r="AK40" s="197"/>
      <c r="AL40" s="197"/>
      <c r="AM40" s="197"/>
      <c r="AN40" s="197"/>
      <c r="AO40" s="197"/>
      <c r="AP40" s="197"/>
      <c r="AQ40" s="197"/>
      <c r="AR40" s="197"/>
      <c r="AS40" s="197"/>
      <c r="AT40" s="197"/>
      <c r="AU40" s="197"/>
      <c r="AV40" s="197"/>
      <c r="AW40" s="197"/>
    </row>
    <row r="41" spans="1:49">
      <c r="A41" t="s">
        <v>16</v>
      </c>
    </row>
    <row r="42" spans="1:49" ht="15.75" thickBot="1">
      <c r="A42" t="s">
        <v>16</v>
      </c>
      <c r="B42" s="9" t="s">
        <v>193</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18.640659659915396</v>
      </c>
      <c r="J43" s="35">
        <f t="shared" si="78"/>
        <v>20.949335350447488</v>
      </c>
      <c r="K43" s="35">
        <f t="shared" si="78"/>
        <v>28.083124176699719</v>
      </c>
      <c r="L43" s="35">
        <f t="shared" si="78"/>
        <v>37.533574095253329</v>
      </c>
      <c r="M43" s="35">
        <f t="shared" si="78"/>
        <v>46.687918963279856</v>
      </c>
      <c r="N43" s="35">
        <f t="shared" si="78"/>
        <v>50.155089588725303</v>
      </c>
      <c r="O43" s="35"/>
      <c r="P43" s="35">
        <f>$F43</f>
        <v>18.931145021834741</v>
      </c>
      <c r="Q43" s="35">
        <f>G43</f>
        <v>19.16679090850425</v>
      </c>
      <c r="R43" s="35">
        <f>H43</f>
        <v>18.454471209495399</v>
      </c>
      <c r="S43" s="35">
        <f>I43</f>
        <v>18.640659659915396</v>
      </c>
      <c r="T43" s="255">
        <f>R43*(1+(R13+T13)/2*((T7/R7)^(1/(T$4-R$4))-1))^(T$4-R$4)</f>
        <v>20.949315343702175</v>
      </c>
      <c r="U43" s="255">
        <f>T43*(1+(T13+U13)/2*((U7/T7)^(1/(U$4-T$4))-1))^(U$4-T$4)</f>
        <v>28.083097357141792</v>
      </c>
      <c r="V43" s="255">
        <f>S43*(1+(S13+V13)/2*((V7/S7)^(1/(V$4-S$4))-1))^(V$4-S$4)</f>
        <v>37.52614974900834</v>
      </c>
      <c r="W43" s="255">
        <f>T43*(1+(T13+W13)/2*((W7/T7)^(1/(W$4-T$4))-1))^(W$4-T$4)</f>
        <v>46.685846643130326</v>
      </c>
      <c r="X43" s="255">
        <f>U43*(1+(U13+X13)/2*((X7/U7)^(1/(X$4-U$4))-1))^(X$4-U$4)</f>
        <v>50.139845950972003</v>
      </c>
      <c r="Z43" s="35">
        <f>P43</f>
        <v>18.931145021834741</v>
      </c>
      <c r="AA43" s="35">
        <f>Q43</f>
        <v>19.16679090850425</v>
      </c>
      <c r="AB43" s="35">
        <f>R43</f>
        <v>18.454471209495399</v>
      </c>
      <c r="AC43" s="35">
        <f>S43</f>
        <v>18.640659659915396</v>
      </c>
      <c r="AD43" s="255">
        <f>AB43*(1+(AB13+AD13)/2*((AD7/AB7)^(1/(AD$4-AB$4))-1))^(AD$4-AB$4)</f>
        <v>20.949315343702175</v>
      </c>
      <c r="AE43" s="255">
        <f>AD43*(1+(AD13+AE13)/2*((AE7/AD7)^(1/(AE$4-AD$4))-1))^(AE$4-AD$4)</f>
        <v>28.083097357141792</v>
      </c>
      <c r="AF43" s="255">
        <f>AC43*(1+(AC13+AF13)/2*((AF7/AC7)^(1/(AF$4-AC$4))-1))^(AF$4-AC$4)</f>
        <v>37.52614974900834</v>
      </c>
      <c r="AG43" s="255">
        <f>AD43*(1+(AD13+AG13)/2*((AG7/AD7)^(1/(AG$4-AD$4))-1))^(AG$4-AD$4)</f>
        <v>46.685846643130326</v>
      </c>
      <c r="AH43" s="255">
        <f>AE43*(1+(AE13+AH13)/2*((AH7/AE7)^(1/(AH$4-AE$4))-1))^(AH$4-AE$4)</f>
        <v>50.139845950972003</v>
      </c>
    </row>
    <row r="44" spans="1:49">
      <c r="A44" t="s">
        <v>16</v>
      </c>
    </row>
    <row r="45" spans="1:49" ht="15.75" thickBot="1">
      <c r="A45" t="s">
        <v>16</v>
      </c>
      <c r="B45" s="9" t="s">
        <v>395</v>
      </c>
      <c r="C45" s="9"/>
      <c r="D45" s="9"/>
    </row>
    <row r="46" spans="1:49">
      <c r="A46" t="s">
        <v>16</v>
      </c>
      <c r="B46" s="3" t="s">
        <v>396</v>
      </c>
      <c r="C46" s="3" t="s">
        <v>745</v>
      </c>
      <c r="D46" t="s">
        <v>137</v>
      </c>
      <c r="F46" s="37">
        <f>F64*F93</f>
        <v>5.4191590500230697</v>
      </c>
      <c r="G46" s="6">
        <f t="shared" ref="G46:N46" si="79">G39*G$48</f>
        <v>6.263725567965813</v>
      </c>
      <c r="H46" s="6">
        <f t="shared" si="79"/>
        <v>6.0309388102583563</v>
      </c>
      <c r="I46" s="6">
        <f t="shared" si="79"/>
        <v>6.0917853736148864</v>
      </c>
      <c r="J46" s="6">
        <f t="shared" si="79"/>
        <v>6.8462627934374565</v>
      </c>
      <c r="K46" s="6">
        <f t="shared" si="79"/>
        <v>9.1775917926826427</v>
      </c>
      <c r="L46" s="6">
        <f t="shared" ref="L46:M46" si="80">L39*L$48</f>
        <v>12.266007848672484</v>
      </c>
      <c r="M46" s="6">
        <f t="shared" si="80"/>
        <v>15.257656491450375</v>
      </c>
      <c r="N46" s="6">
        <f t="shared" si="79"/>
        <v>16.39073116204986</v>
      </c>
      <c r="P46" s="6">
        <f t="shared" ref="P46" si="81">P39*P$48</f>
        <v>5.4191590500230697</v>
      </c>
      <c r="Q46" s="6">
        <f>$G46</f>
        <v>6.263725567965813</v>
      </c>
      <c r="R46" s="6">
        <f t="shared" ref="R46:X47" si="82">R39*R$48</f>
        <v>6.0299454950865155</v>
      </c>
      <c r="S46" s="6">
        <f t="shared" si="82"/>
        <v>6.0908959928898438</v>
      </c>
      <c r="T46" s="254">
        <f t="shared" si="82"/>
        <v>6.845128654616043</v>
      </c>
      <c r="U46" s="254">
        <f t="shared" si="82"/>
        <v>9.1760714503508893</v>
      </c>
      <c r="V46" s="254">
        <f t="shared" ref="V46:W46" si="83">V39*V$48</f>
        <v>12.261791122463769</v>
      </c>
      <c r="W46" s="254">
        <f t="shared" si="83"/>
        <v>15.254466381306896</v>
      </c>
      <c r="X46" s="254">
        <f t="shared" si="82"/>
        <v>16.38305074061574</v>
      </c>
      <c r="Y46" s="6"/>
      <c r="Z46" s="6">
        <f t="shared" ref="Z46:AH47" si="84">Z39*Z$48</f>
        <v>5.4191590500230697</v>
      </c>
      <c r="AA46" s="6">
        <f t="shared" si="84"/>
        <v>6.263725567965813</v>
      </c>
      <c r="AB46" s="6">
        <f t="shared" si="84"/>
        <v>6.0299454950865155</v>
      </c>
      <c r="AC46" s="6">
        <f t="shared" si="84"/>
        <v>6.0908959928898438</v>
      </c>
      <c r="AD46" s="254">
        <f t="shared" si="84"/>
        <v>6.5028722218852408</v>
      </c>
      <c r="AE46" s="254">
        <f t="shared" si="84"/>
        <v>8.2814044839416763</v>
      </c>
      <c r="AF46" s="254">
        <f t="shared" ref="AF46:AG46" si="85">AF39*AF$48</f>
        <v>10.512953163622372</v>
      </c>
      <c r="AG46" s="254">
        <f t="shared" si="85"/>
        <v>12.424858207989349</v>
      </c>
      <c r="AH46" s="254">
        <f t="shared" si="84"/>
        <v>12.676892361183713</v>
      </c>
      <c r="AI46" s="6"/>
      <c r="AJ46" s="6"/>
      <c r="AK46" s="6"/>
      <c r="AL46" s="6"/>
      <c r="AM46" s="6"/>
      <c r="AN46" s="6"/>
      <c r="AO46" s="6"/>
      <c r="AP46" s="6"/>
      <c r="AQ46" s="6"/>
      <c r="AR46" s="6"/>
      <c r="AS46" s="6"/>
      <c r="AT46" s="6"/>
      <c r="AU46" s="6"/>
      <c r="AV46" s="6"/>
      <c r="AW46" s="6"/>
    </row>
    <row r="47" spans="1:49">
      <c r="A47" t="s">
        <v>16</v>
      </c>
      <c r="B47" s="3" t="s">
        <v>368</v>
      </c>
      <c r="C47" s="3" t="s">
        <v>755</v>
      </c>
      <c r="D47" t="s">
        <v>137</v>
      </c>
      <c r="F47" s="37">
        <f>F103</f>
        <v>27.142505514316699</v>
      </c>
      <c r="G47" s="6">
        <f t="shared" ref="G47" si="86">G40*G$48</f>
        <v>26.703251105538467</v>
      </c>
      <c r="H47" s="6">
        <f t="shared" ref="H47:N47" si="87">H40*H$48</f>
        <v>25.710844401627732</v>
      </c>
      <c r="I47" s="6">
        <f t="shared" si="87"/>
        <v>25.970242908568729</v>
      </c>
      <c r="J47" s="6">
        <f t="shared" si="87"/>
        <v>29.186699277286003</v>
      </c>
      <c r="K47" s="6">
        <f t="shared" si="87"/>
        <v>39.125522905647053</v>
      </c>
      <c r="L47" s="6">
        <f t="shared" si="87"/>
        <v>52.291928196972172</v>
      </c>
      <c r="M47" s="6">
        <f t="shared" si="87"/>
        <v>65.045798726709492</v>
      </c>
      <c r="N47" s="6">
        <f t="shared" si="87"/>
        <v>69.876274954002042</v>
      </c>
      <c r="P47" s="6">
        <f>P40*P$48</f>
        <v>27.142505514316699</v>
      </c>
      <c r="Q47" s="6">
        <f>$G47</f>
        <v>26.703251105538467</v>
      </c>
      <c r="R47" s="6">
        <f t="shared" si="82"/>
        <v>25.706609742210937</v>
      </c>
      <c r="S47" s="6">
        <f t="shared" si="82"/>
        <v>25.966451338109337</v>
      </c>
      <c r="T47" s="254">
        <f t="shared" si="82"/>
        <v>29.181864264415765</v>
      </c>
      <c r="U47" s="254">
        <f t="shared" si="82"/>
        <v>39.119041446232735</v>
      </c>
      <c r="V47" s="254">
        <f t="shared" ref="V47:W47" si="88">V40*V$48</f>
        <v>52.273951627345546</v>
      </c>
      <c r="W47" s="254">
        <f t="shared" si="88"/>
        <v>65.032198783466242</v>
      </c>
      <c r="X47" s="254">
        <f t="shared" si="82"/>
        <v>69.843532104730272</v>
      </c>
      <c r="Y47" s="6"/>
      <c r="Z47" s="6">
        <f t="shared" si="84"/>
        <v>27.142505514316699</v>
      </c>
      <c r="AA47" s="6">
        <f t="shared" si="84"/>
        <v>26.703251105538467</v>
      </c>
      <c r="AB47" s="6">
        <f t="shared" si="84"/>
        <v>25.706609742210937</v>
      </c>
      <c r="AC47" s="6">
        <f t="shared" si="84"/>
        <v>25.966451338109337</v>
      </c>
      <c r="AD47" s="254">
        <f t="shared" si="84"/>
        <v>29.524120697146564</v>
      </c>
      <c r="AE47" s="254">
        <f t="shared" si="84"/>
        <v>40.013708412641947</v>
      </c>
      <c r="AF47" s="254">
        <f t="shared" ref="AF47:AG47" si="89">AF40*AF$48</f>
        <v>54.022789586186938</v>
      </c>
      <c r="AG47" s="254">
        <f t="shared" si="89"/>
        <v>67.861806956783795</v>
      </c>
      <c r="AH47" s="254">
        <f t="shared" si="84"/>
        <v>73.549690484162284</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32.062028282183611</v>
      </c>
      <c r="J48" s="35">
        <f t="shared" si="90"/>
        <v>36.032962070723457</v>
      </c>
      <c r="K48" s="35">
        <f t="shared" si="90"/>
        <v>48.303114698329694</v>
      </c>
      <c r="L48" s="35">
        <f t="shared" si="90"/>
        <v>64.557936045644652</v>
      </c>
      <c r="M48" s="35">
        <f t="shared" si="90"/>
        <v>80.303455218159868</v>
      </c>
      <c r="N48" s="35">
        <f t="shared" si="90"/>
        <v>86.267006116051903</v>
      </c>
      <c r="P48" s="35">
        <f>$F48</f>
        <v>32.561664564339772</v>
      </c>
      <c r="Q48" s="35">
        <f>$G48</f>
        <v>32.966976673504277</v>
      </c>
      <c r="R48" s="35">
        <f>P48*(1+(P21+R21)/2*((R7/P7)^(1/(R$4-P$4))-1))^(R$4-P$4)</f>
        <v>31.736555237297448</v>
      </c>
      <c r="S48" s="35">
        <f>Q48*(1+(Q21+S21)/2*((S7/Q7)^(1/(S$4-Q$4))-1))^(S$4-Q$4)</f>
        <v>32.057347330999178</v>
      </c>
      <c r="T48" s="255">
        <f>R48*(1+(R21+T21)/2*((T7/R7)^(1/(T$4-R$4))-1))^(T$4-R$4)</f>
        <v>36.026992919031805</v>
      </c>
      <c r="U48" s="255">
        <f>T48*(1+(T21+U21)/2*((U7/T7)^(1/(U$4-T$4))-1))^(U$4-T$4)</f>
        <v>48.295112896583625</v>
      </c>
      <c r="V48" s="255">
        <f>S48*(1+(S21+V21)/2*((V7/S7)^(1/(V$4-S$4))-1))^(V$4-S$4)</f>
        <v>64.535742749809316</v>
      </c>
      <c r="W48" s="255">
        <f>T48*(1+(T21+W21)/2*((W7/T7)^(1/(W$4-T$4))-1))^(W$4-T$4)</f>
        <v>80.28666516477314</v>
      </c>
      <c r="X48" s="255">
        <f>U48*(1+(U21+X21)/2*((X7/U7)^(1/(X$4-U$4))-1))^(X$4-U$4)</f>
        <v>86.226582845346002</v>
      </c>
      <c r="Y48" s="3"/>
      <c r="Z48" s="35">
        <f>P48</f>
        <v>32.561664564339772</v>
      </c>
      <c r="AA48" s="35">
        <f>Q48</f>
        <v>32.966976673504277</v>
      </c>
      <c r="AB48" s="35">
        <f>R48</f>
        <v>31.736555237297448</v>
      </c>
      <c r="AC48" s="35">
        <f>S48</f>
        <v>32.057347330999178</v>
      </c>
      <c r="AD48" s="255">
        <f>AB48*(1+(AB21+AD21)/2*((AD7/AB7)^(1/(AD$4-AB$4))-1))^(AD$4-AB$4)</f>
        <v>36.026992919031805</v>
      </c>
      <c r="AE48" s="255">
        <f>AD48*(1+(AD21+AE21)/2*((AE7/AD7)^(1/(AE$4-AD$4))-1))^(AE$4-AD$4)</f>
        <v>48.295112896583625</v>
      </c>
      <c r="AF48" s="255">
        <f>AC48*(1+(AC21+AF21)/2*((AF7/AC7)^(1/(AF$4-AC$4))-1))^(AF$4-AC$4)</f>
        <v>64.535742749809316</v>
      </c>
      <c r="AG48" s="255">
        <f>AD48*(1+(AD21+AG21)/2*((AG7/AD7)^(1/(AG$4-AD$4))-1))^(AG$4-AD$4)</f>
        <v>80.28666516477314</v>
      </c>
      <c r="AH48" s="255">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194</v>
      </c>
      <c r="C50" s="9"/>
      <c r="D50" s="9"/>
    </row>
    <row r="51" spans="1:49">
      <c r="A51" t="s">
        <v>16</v>
      </c>
      <c r="B51" s="3" t="s">
        <v>397</v>
      </c>
      <c r="C51" s="3" t="s">
        <v>746</v>
      </c>
      <c r="D51" t="s">
        <v>137</v>
      </c>
      <c r="F51" s="37">
        <f>F65*F94</f>
        <v>2.508551055458172</v>
      </c>
      <c r="G51" s="6">
        <f t="shared" ref="G51" si="91">G28*G$60</f>
        <v>2.539776305544069</v>
      </c>
      <c r="H51" s="6">
        <f t="shared" ref="H51:N59" si="92">H28*H$60</f>
        <v>2.4453873855547426</v>
      </c>
      <c r="I51" s="6">
        <f t="shared" si="92"/>
        <v>2.4700590698758176</v>
      </c>
      <c r="J51" s="6">
        <f t="shared" si="92"/>
        <v>2.7759798598499685</v>
      </c>
      <c r="K51" s="6">
        <f t="shared" si="92"/>
        <v>3.7212725755769114</v>
      </c>
      <c r="L51" s="6">
        <f t="shared" ref="L51:M51" si="93">L28*L$60</f>
        <v>4.9735442205513296</v>
      </c>
      <c r="M51" s="6">
        <f t="shared" si="93"/>
        <v>6.1865792194502198</v>
      </c>
      <c r="N51" s="6">
        <f t="shared" si="92"/>
        <v>6.6460112570730461</v>
      </c>
      <c r="P51" s="6">
        <f t="shared" ref="P51:X51" si="94">P28*P$60</f>
        <v>2.508551055458172</v>
      </c>
      <c r="Q51" s="6">
        <f t="shared" si="94"/>
        <v>2.539776305544069</v>
      </c>
      <c r="R51" s="6">
        <f t="shared" si="94"/>
        <v>2.4453873855547426</v>
      </c>
      <c r="S51" s="6">
        <f t="shared" si="94"/>
        <v>2.4700590698758176</v>
      </c>
      <c r="T51" s="254">
        <f t="shared" si="94"/>
        <v>2.7759798598499685</v>
      </c>
      <c r="U51" s="254">
        <f t="shared" si="94"/>
        <v>3.7212725755769114</v>
      </c>
      <c r="V51" s="254">
        <f t="shared" ref="V51:W51" si="95">V28*V$60</f>
        <v>4.9735442205513296</v>
      </c>
      <c r="W51" s="254">
        <f t="shared" si="95"/>
        <v>6.1865792194502198</v>
      </c>
      <c r="X51" s="254">
        <f t="shared" si="94"/>
        <v>6.6460112570730461</v>
      </c>
      <c r="Y51" s="6"/>
      <c r="Z51" s="6">
        <f>P51</f>
        <v>2.508551055458172</v>
      </c>
      <c r="AA51" s="6">
        <f>Q51</f>
        <v>2.539776305544069</v>
      </c>
      <c r="AB51" s="6">
        <f>R51</f>
        <v>2.4453873855547426</v>
      </c>
      <c r="AC51" s="6">
        <f>S51</f>
        <v>2.4700590698758176</v>
      </c>
      <c r="AD51" s="254">
        <f t="shared" ref="AD51:AH59" si="96">AD28*AD$60</f>
        <v>2.6371783483333711</v>
      </c>
      <c r="AE51" s="254">
        <f t="shared" si="96"/>
        <v>3.3584452921189967</v>
      </c>
      <c r="AF51" s="254">
        <f t="shared" ref="AF51:AG51" si="97">AF28*AF$60</f>
        <v>4.2633489955005288</v>
      </c>
      <c r="AG51" s="254">
        <f t="shared" si="97"/>
        <v>5.0387837757209324</v>
      </c>
      <c r="AH51" s="254">
        <f t="shared" si="96"/>
        <v>5.1409938436979452</v>
      </c>
      <c r="AI51" s="6"/>
      <c r="AJ51" s="6"/>
      <c r="AK51" s="6"/>
      <c r="AL51" s="6"/>
      <c r="AM51" s="6"/>
      <c r="AN51" s="6"/>
      <c r="AO51" s="6"/>
      <c r="AP51" s="6"/>
      <c r="AQ51" s="6"/>
      <c r="AR51" s="6"/>
      <c r="AS51" s="6"/>
      <c r="AT51" s="6"/>
      <c r="AU51" s="6"/>
      <c r="AV51" s="6"/>
      <c r="AW51" s="6"/>
    </row>
    <row r="52" spans="1:49">
      <c r="A52" t="s">
        <v>16</v>
      </c>
      <c r="B52" s="3" t="s">
        <v>398</v>
      </c>
      <c r="C52" s="3" t="s">
        <v>747</v>
      </c>
      <c r="D52" t="s">
        <v>137</v>
      </c>
      <c r="F52" s="37">
        <f t="shared" ref="F52:F58" si="98">F66*F95</f>
        <v>16.520182703280053</v>
      </c>
      <c r="G52" s="6">
        <f t="shared" ref="G52" si="99">G29*G$60</f>
        <v>16.725818078032439</v>
      </c>
      <c r="H52" s="6">
        <f t="shared" si="92"/>
        <v>16.104215340469594</v>
      </c>
      <c r="I52" s="6">
        <f t="shared" si="92"/>
        <v>16.266691895090634</v>
      </c>
      <c r="J52" s="6">
        <f t="shared" si="92"/>
        <v>18.281347858384027</v>
      </c>
      <c r="K52" s="6">
        <f t="shared" si="92"/>
        <v>24.506618154521821</v>
      </c>
      <c r="L52" s="6">
        <f t="shared" ref="L52:M52" si="100">L29*L$60</f>
        <v>32.75351284064012</v>
      </c>
      <c r="M52" s="6">
        <f t="shared" si="100"/>
        <v>40.742012721350214</v>
      </c>
      <c r="N52" s="6">
        <f t="shared" si="92"/>
        <v>43.767624332784237</v>
      </c>
      <c r="P52" s="6">
        <f t="shared" ref="P52:P59" si="101">P29*P$60</f>
        <v>16.520182703280053</v>
      </c>
      <c r="Q52" s="6">
        <f t="shared" ref="Q52:X59" si="102">Q29*Q$60</f>
        <v>16.725818078032439</v>
      </c>
      <c r="R52" s="6">
        <f t="shared" si="102"/>
        <v>16.104215340469594</v>
      </c>
      <c r="S52" s="6">
        <f t="shared" si="102"/>
        <v>16.266691895090634</v>
      </c>
      <c r="T52" s="254">
        <f t="shared" si="102"/>
        <v>18.281347858384027</v>
      </c>
      <c r="U52" s="254">
        <f t="shared" si="102"/>
        <v>24.506618154521821</v>
      </c>
      <c r="V52" s="254">
        <f t="shared" ref="V52:W52" si="103">V29*V$60</f>
        <v>32.75351284064012</v>
      </c>
      <c r="W52" s="254">
        <f t="shared" si="103"/>
        <v>40.742012721350214</v>
      </c>
      <c r="X52" s="254">
        <f t="shared" si="102"/>
        <v>43.767624332784237</v>
      </c>
      <c r="Y52" s="6"/>
      <c r="Z52" s="6">
        <f t="shared" ref="Z52:Z59" si="104">P52</f>
        <v>16.520182703280053</v>
      </c>
      <c r="AA52" s="6">
        <f t="shared" ref="AA52:AA60" si="105">Q52</f>
        <v>16.725818078032439</v>
      </c>
      <c r="AB52" s="6">
        <f t="shared" ref="AB52:AB60" si="106">R52</f>
        <v>16.104215340469594</v>
      </c>
      <c r="AC52" s="6">
        <f t="shared" ref="AC52:AC60" si="107">S52</f>
        <v>16.266691895090634</v>
      </c>
      <c r="AD52" s="254">
        <f t="shared" si="96"/>
        <v>17.367263879604167</v>
      </c>
      <c r="AE52" s="254">
        <f t="shared" si="96"/>
        <v>22.117201762370787</v>
      </c>
      <c r="AF52" s="254">
        <f t="shared" ref="AF52:AG52" si="108">AF29*AF$60</f>
        <v>28.076488290030191</v>
      </c>
      <c r="AG52" s="254">
        <f t="shared" si="108"/>
        <v>33.183151044948346</v>
      </c>
      <c r="AH52" s="254">
        <f t="shared" si="96"/>
        <v>33.856260325870089</v>
      </c>
      <c r="AI52" s="6"/>
      <c r="AJ52" s="6"/>
      <c r="AK52" s="6"/>
      <c r="AL52" s="6"/>
      <c r="AM52" s="6"/>
      <c r="AN52" s="6"/>
      <c r="AO52" s="6"/>
      <c r="AP52" s="6"/>
      <c r="AQ52" s="6"/>
      <c r="AR52" s="6"/>
      <c r="AS52" s="6"/>
      <c r="AT52" s="6"/>
      <c r="AU52" s="6"/>
      <c r="AV52" s="6"/>
      <c r="AW52" s="6"/>
    </row>
    <row r="53" spans="1:49">
      <c r="A53" t="s">
        <v>16</v>
      </c>
      <c r="B53" s="3" t="s">
        <v>399</v>
      </c>
      <c r="C53" s="3" t="s">
        <v>748</v>
      </c>
      <c r="D53" t="s">
        <v>137</v>
      </c>
      <c r="F53" s="37">
        <f t="shared" si="98"/>
        <v>4.7389994637867545</v>
      </c>
      <c r="G53" s="6">
        <f t="shared" ref="G53" si="109">G30*G$60</f>
        <v>4.7979882745154434</v>
      </c>
      <c r="H53" s="6">
        <f t="shared" si="92"/>
        <v>4.6196745661922405</v>
      </c>
      <c r="I53" s="6">
        <f t="shared" si="92"/>
        <v>4.6662827859109095</v>
      </c>
      <c r="J53" s="6">
        <f t="shared" si="92"/>
        <v>5.2442094167021382</v>
      </c>
      <c r="K53" s="6">
        <f t="shared" si="92"/>
        <v>7.0299979352193773</v>
      </c>
      <c r="L53" s="6">
        <f t="shared" ref="L53:M53" si="110">L30*L$60</f>
        <v>9.3957120557817841</v>
      </c>
      <c r="M53" s="6">
        <f t="shared" si="110"/>
        <v>11.687302731932668</v>
      </c>
      <c r="N53" s="6">
        <f t="shared" si="92"/>
        <v>12.555233314889596</v>
      </c>
      <c r="P53" s="6">
        <f t="shared" si="101"/>
        <v>4.7389994637867545</v>
      </c>
      <c r="Q53" s="6">
        <f t="shared" si="102"/>
        <v>4.7979882745154434</v>
      </c>
      <c r="R53" s="6">
        <f t="shared" si="102"/>
        <v>4.6196745661922405</v>
      </c>
      <c r="S53" s="6">
        <f t="shared" si="102"/>
        <v>4.6662827859109095</v>
      </c>
      <c r="T53" s="254">
        <f t="shared" si="102"/>
        <v>5.2442094167021382</v>
      </c>
      <c r="U53" s="254">
        <f t="shared" si="102"/>
        <v>7.0299979352193773</v>
      </c>
      <c r="V53" s="254">
        <f t="shared" ref="V53:W53" si="111">V30*V$60</f>
        <v>9.3957120557817841</v>
      </c>
      <c r="W53" s="254">
        <f t="shared" si="111"/>
        <v>11.687302731932668</v>
      </c>
      <c r="X53" s="254">
        <f t="shared" si="102"/>
        <v>12.555233314889596</v>
      </c>
      <c r="Y53" s="6"/>
      <c r="Z53" s="6">
        <f t="shared" si="104"/>
        <v>4.7389994637867545</v>
      </c>
      <c r="AA53" s="6">
        <f t="shared" si="105"/>
        <v>4.7979882745154434</v>
      </c>
      <c r="AB53" s="6">
        <f t="shared" si="106"/>
        <v>4.6196745661922405</v>
      </c>
      <c r="AC53" s="6">
        <f t="shared" si="107"/>
        <v>4.6662827859109095</v>
      </c>
      <c r="AD53" s="254">
        <f t="shared" si="96"/>
        <v>4.9819941880271097</v>
      </c>
      <c r="AE53" s="254">
        <f t="shared" si="96"/>
        <v>6.3445670774287564</v>
      </c>
      <c r="AF53" s="254">
        <f t="shared" ref="AF53:AG53" si="112">AF30*AF$60</f>
        <v>8.0540551724679439</v>
      </c>
      <c r="AG53" s="254">
        <f t="shared" si="112"/>
        <v>9.5189585873976093</v>
      </c>
      <c r="AH53" s="254">
        <f t="shared" si="96"/>
        <v>9.7120475246479643</v>
      </c>
      <c r="AI53" s="6"/>
      <c r="AJ53" s="6"/>
      <c r="AK53" s="6"/>
      <c r="AL53" s="6"/>
      <c r="AM53" s="6"/>
      <c r="AN53" s="6"/>
      <c r="AO53" s="6"/>
      <c r="AP53" s="6"/>
      <c r="AQ53" s="6"/>
      <c r="AR53" s="6"/>
      <c r="AS53" s="6"/>
      <c r="AT53" s="6"/>
      <c r="AU53" s="6"/>
      <c r="AV53" s="6"/>
      <c r="AW53" s="6"/>
    </row>
    <row r="54" spans="1:49">
      <c r="A54" t="s">
        <v>16</v>
      </c>
      <c r="B54" s="3" t="s">
        <v>400</v>
      </c>
      <c r="C54" s="3" t="s">
        <v>749</v>
      </c>
      <c r="D54" t="s">
        <v>137</v>
      </c>
      <c r="F54" s="37">
        <f t="shared" si="98"/>
        <v>3.2441770761137643</v>
      </c>
      <c r="G54" s="6">
        <f t="shared" ref="G54" si="113">G31*G$60</f>
        <v>3.284559048927981</v>
      </c>
      <c r="H54" s="6">
        <f t="shared" si="92"/>
        <v>3.1624908255995221</v>
      </c>
      <c r="I54" s="6">
        <f t="shared" si="92"/>
        <v>3.1943974166690543</v>
      </c>
      <c r="J54" s="6">
        <f t="shared" si="92"/>
        <v>3.5900286763084908</v>
      </c>
      <c r="K54" s="6">
        <f t="shared" si="92"/>
        <v>4.8125260027655594</v>
      </c>
      <c r="L54" s="6">
        <f t="shared" ref="L54:M54" si="114">L31*L$60</f>
        <v>6.432023024703299</v>
      </c>
      <c r="M54" s="6">
        <f t="shared" si="114"/>
        <v>8.000777356965715</v>
      </c>
      <c r="N54" s="6">
        <f t="shared" si="92"/>
        <v>8.5949366351853822</v>
      </c>
      <c r="P54" s="6">
        <f t="shared" si="101"/>
        <v>3.2441770761137643</v>
      </c>
      <c r="Q54" s="6">
        <f t="shared" si="102"/>
        <v>3.284559048927981</v>
      </c>
      <c r="R54" s="6">
        <f t="shared" si="102"/>
        <v>3.1624908255995221</v>
      </c>
      <c r="S54" s="6">
        <f t="shared" si="102"/>
        <v>3.1943974166690543</v>
      </c>
      <c r="T54" s="254">
        <f t="shared" si="102"/>
        <v>3.5900286763084908</v>
      </c>
      <c r="U54" s="254">
        <f t="shared" si="102"/>
        <v>4.8125260027655594</v>
      </c>
      <c r="V54" s="254">
        <f t="shared" ref="V54:W54" si="115">V31*V$60</f>
        <v>6.432023024703299</v>
      </c>
      <c r="W54" s="254">
        <f t="shared" si="115"/>
        <v>8.000777356965715</v>
      </c>
      <c r="X54" s="254">
        <f t="shared" si="102"/>
        <v>8.5949366351853822</v>
      </c>
      <c r="Y54" s="6"/>
      <c r="Z54" s="6">
        <f t="shared" si="104"/>
        <v>3.2441770761137643</v>
      </c>
      <c r="AA54" s="6">
        <f t="shared" si="105"/>
        <v>3.284559048927981</v>
      </c>
      <c r="AB54" s="6">
        <f t="shared" si="106"/>
        <v>3.1624908255995221</v>
      </c>
      <c r="AC54" s="6">
        <f t="shared" si="107"/>
        <v>3.1943974166690543</v>
      </c>
      <c r="AD54" s="254">
        <f t="shared" si="96"/>
        <v>3.4105239854183775</v>
      </c>
      <c r="AE54" s="254">
        <f t="shared" si="96"/>
        <v>4.3433005696129499</v>
      </c>
      <c r="AF54" s="254">
        <f t="shared" ref="AF54:AG54" si="116">AF31*AF$60</f>
        <v>5.5135649117371868</v>
      </c>
      <c r="AG54" s="254">
        <f t="shared" si="116"/>
        <v>6.516393908395929</v>
      </c>
      <c r="AH54" s="254">
        <f t="shared" si="96"/>
        <v>6.6485768108557295</v>
      </c>
      <c r="AI54" s="6"/>
      <c r="AJ54" s="6"/>
      <c r="AK54" s="6"/>
      <c r="AL54" s="6"/>
      <c r="AM54" s="6"/>
      <c r="AN54" s="6"/>
      <c r="AO54" s="6"/>
      <c r="AP54" s="6"/>
      <c r="AQ54" s="6"/>
      <c r="AR54" s="6"/>
      <c r="AS54" s="6"/>
      <c r="AT54" s="6"/>
      <c r="AU54" s="6"/>
      <c r="AV54" s="6"/>
      <c r="AW54" s="6"/>
    </row>
    <row r="55" spans="1:49">
      <c r="A55" t="s">
        <v>16</v>
      </c>
      <c r="B55" s="3" t="s">
        <v>401</v>
      </c>
      <c r="C55" s="3" t="s">
        <v>750</v>
      </c>
      <c r="D55" t="s">
        <v>137</v>
      </c>
      <c r="F55" s="37">
        <f>F69*F98</f>
        <v>130.05107807184956</v>
      </c>
      <c r="G55" s="6">
        <f>G32*G$60</f>
        <v>134.72568842583829</v>
      </c>
      <c r="H55" s="6">
        <f t="shared" si="92"/>
        <v>131.01589429361536</v>
      </c>
      <c r="I55" s="6">
        <f t="shared" si="92"/>
        <v>133.21123913432774</v>
      </c>
      <c r="J55" s="6">
        <f t="shared" si="92"/>
        <v>143.91541790377966</v>
      </c>
      <c r="K55" s="6">
        <f t="shared" si="92"/>
        <v>192.92232828986374</v>
      </c>
      <c r="L55" s="6">
        <f t="shared" ref="L55:M55" si="117">L32*L$60</f>
        <v>257.8439798198886</v>
      </c>
      <c r="M55" s="6">
        <f t="shared" si="117"/>
        <v>320.73148175150561</v>
      </c>
      <c r="N55" s="6">
        <f t="shared" si="92"/>
        <v>344.54986554066159</v>
      </c>
      <c r="P55" s="6">
        <f t="shared" si="101"/>
        <v>130.05107807184956</v>
      </c>
      <c r="Q55" s="6">
        <f t="shared" si="102"/>
        <v>131.66989201940638</v>
      </c>
      <c r="R55" s="6">
        <f t="shared" si="102"/>
        <v>131.88068567509137</v>
      </c>
      <c r="S55" s="6">
        <f t="shared" si="102"/>
        <v>128.0555339862631</v>
      </c>
      <c r="T55" s="254">
        <f t="shared" si="102"/>
        <v>143.91541790377966</v>
      </c>
      <c r="U55" s="254">
        <f t="shared" si="102"/>
        <v>192.92232828986374</v>
      </c>
      <c r="V55" s="254">
        <f t="shared" ref="V55:W55" si="118">V32*V$60</f>
        <v>257.8439798198886</v>
      </c>
      <c r="W55" s="254">
        <f t="shared" si="118"/>
        <v>320.73148175150561</v>
      </c>
      <c r="X55" s="254">
        <f t="shared" si="102"/>
        <v>344.54986554066159</v>
      </c>
      <c r="Y55" s="6"/>
      <c r="Z55" s="6">
        <f t="shared" si="104"/>
        <v>130.05107807184956</v>
      </c>
      <c r="AA55" s="6">
        <f t="shared" si="105"/>
        <v>131.66989201940638</v>
      </c>
      <c r="AB55" s="6">
        <f t="shared" si="106"/>
        <v>131.88068567509137</v>
      </c>
      <c r="AC55" s="6">
        <f t="shared" si="107"/>
        <v>128.0555339862631</v>
      </c>
      <c r="AD55" s="254">
        <f t="shared" si="96"/>
        <v>136.71951644047903</v>
      </c>
      <c r="AE55" s="254">
        <f t="shared" si="96"/>
        <v>174.11223500317791</v>
      </c>
      <c r="AF55" s="254">
        <f t="shared" ref="AF55:AG55" si="119">AF32*AF$60</f>
        <v>221.02525354426686</v>
      </c>
      <c r="AG55" s="254">
        <f t="shared" si="119"/>
        <v>261.2262009886681</v>
      </c>
      <c r="AH55" s="254">
        <f t="shared" si="96"/>
        <v>266.52508836880941</v>
      </c>
      <c r="AI55" s="6"/>
      <c r="AJ55" s="6"/>
      <c r="AK55" s="6"/>
      <c r="AL55" s="6"/>
      <c r="AM55" s="6"/>
      <c r="AN55" s="6"/>
      <c r="AO55" s="6"/>
      <c r="AP55" s="6"/>
      <c r="AQ55" s="6"/>
      <c r="AR55" s="6"/>
      <c r="AS55" s="6"/>
      <c r="AT55" s="6"/>
      <c r="AU55" s="6"/>
      <c r="AV55" s="6"/>
      <c r="AW55" s="6"/>
    </row>
    <row r="56" spans="1:49">
      <c r="A56" t="s">
        <v>16</v>
      </c>
      <c r="B56" s="3" t="s">
        <v>402</v>
      </c>
      <c r="C56" s="3" t="s">
        <v>751</v>
      </c>
      <c r="D56" t="s">
        <v>137</v>
      </c>
      <c r="F56" s="37">
        <f t="shared" si="98"/>
        <v>39.825760684889083</v>
      </c>
      <c r="G56" s="6">
        <f t="shared" ref="G56" si="120">G33*G$60</f>
        <v>40.321492806641579</v>
      </c>
      <c r="H56" s="6">
        <f t="shared" si="92"/>
        <v>38.822974157550945</v>
      </c>
      <c r="I56" s="6">
        <f t="shared" si="92"/>
        <v>39.21466185843564</v>
      </c>
      <c r="J56" s="6">
        <f t="shared" si="92"/>
        <v>44.071460823532846</v>
      </c>
      <c r="K56" s="6">
        <f t="shared" si="92"/>
        <v>59.07892953412447</v>
      </c>
      <c r="L56" s="6">
        <f t="shared" ref="L56:M56" si="121">L33*L$60</f>
        <v>78.959996230658021</v>
      </c>
      <c r="M56" s="6">
        <f t="shared" si="121"/>
        <v>98.218141869522995</v>
      </c>
      <c r="N56" s="6">
        <f t="shared" si="92"/>
        <v>105.51208565493091</v>
      </c>
      <c r="P56" s="6">
        <f t="shared" si="101"/>
        <v>39.825760684889083</v>
      </c>
      <c r="Q56" s="6">
        <f t="shared" si="102"/>
        <v>40.321492806641579</v>
      </c>
      <c r="R56" s="6">
        <f t="shared" si="102"/>
        <v>38.822974157550945</v>
      </c>
      <c r="S56" s="6">
        <f t="shared" si="102"/>
        <v>39.21466185843564</v>
      </c>
      <c r="T56" s="254">
        <f t="shared" si="102"/>
        <v>44.071460823532846</v>
      </c>
      <c r="U56" s="254">
        <f t="shared" si="102"/>
        <v>59.07892953412447</v>
      </c>
      <c r="V56" s="254">
        <f t="shared" ref="V56:W56" si="122">V33*V$60</f>
        <v>78.959996230658021</v>
      </c>
      <c r="W56" s="254">
        <f t="shared" si="122"/>
        <v>98.218141869522995</v>
      </c>
      <c r="X56" s="254">
        <f t="shared" si="102"/>
        <v>105.51208565493091</v>
      </c>
      <c r="Y56" s="6"/>
      <c r="Z56" s="6">
        <f t="shared" si="104"/>
        <v>39.825760684889083</v>
      </c>
      <c r="AA56" s="6">
        <f t="shared" si="105"/>
        <v>40.321492806641579</v>
      </c>
      <c r="AB56" s="6">
        <f t="shared" si="106"/>
        <v>38.822974157550945</v>
      </c>
      <c r="AC56" s="6">
        <f t="shared" si="107"/>
        <v>39.21466185843564</v>
      </c>
      <c r="AD56" s="254">
        <f t="shared" si="96"/>
        <v>41.867847798263455</v>
      </c>
      <c r="AE56" s="254">
        <f t="shared" si="96"/>
        <v>53.318682984825443</v>
      </c>
      <c r="AF56" s="254">
        <f t="shared" ref="AF56:AG56" si="123">AF33*AF$60</f>
        <v>67.684935668951326</v>
      </c>
      <c r="AG56" s="254">
        <f t="shared" si="123"/>
        <v>79.995739515898293</v>
      </c>
      <c r="AH56" s="254">
        <f t="shared" si="96"/>
        <v>81.618426723313064</v>
      </c>
      <c r="AI56" s="6"/>
      <c r="AJ56" s="6"/>
      <c r="AK56" s="6"/>
      <c r="AL56" s="6"/>
      <c r="AM56" s="6"/>
      <c r="AN56" s="6"/>
      <c r="AO56" s="6"/>
      <c r="AP56" s="6"/>
      <c r="AQ56" s="6"/>
      <c r="AR56" s="6"/>
      <c r="AS56" s="6"/>
      <c r="AT56" s="6"/>
      <c r="AU56" s="6"/>
      <c r="AV56" s="6"/>
      <c r="AW56" s="6"/>
    </row>
    <row r="57" spans="1:49">
      <c r="A57" t="s">
        <v>16</v>
      </c>
      <c r="B57" s="3" t="s">
        <v>403</v>
      </c>
      <c r="C57" s="3" t="s">
        <v>752</v>
      </c>
      <c r="D57" t="s">
        <v>137</v>
      </c>
      <c r="F57" s="37">
        <f t="shared" si="98"/>
        <v>2.2490953086010257</v>
      </c>
      <c r="G57" s="6">
        <f t="shared" ref="G57" si="124">G34*G$60</f>
        <v>2.2770909769870764</v>
      </c>
      <c r="H57" s="6">
        <f t="shared" si="92"/>
        <v>2.1924645641939198</v>
      </c>
      <c r="I57" s="6">
        <f t="shared" si="92"/>
        <v>2.2145844924852267</v>
      </c>
      <c r="J57" s="6">
        <f t="shared" si="92"/>
        <v>2.4888643450069905</v>
      </c>
      <c r="K57" s="6">
        <f t="shared" si="92"/>
        <v>3.3363868251934181</v>
      </c>
      <c r="L57" s="6">
        <f t="shared" ref="L57:M57" si="125">L34*L$60</f>
        <v>4.4591378553858814</v>
      </c>
      <c r="M57" s="6">
        <f t="shared" si="125"/>
        <v>5.5467104281091615</v>
      </c>
      <c r="N57" s="6">
        <f t="shared" si="92"/>
        <v>5.9586240856726436</v>
      </c>
      <c r="P57" s="6">
        <f t="shared" si="101"/>
        <v>2.2490953086010257</v>
      </c>
      <c r="Q57" s="6">
        <f t="shared" si="102"/>
        <v>2.2770909769870764</v>
      </c>
      <c r="R57" s="6">
        <f t="shared" si="102"/>
        <v>2.1924645641939198</v>
      </c>
      <c r="S57" s="6">
        <f t="shared" si="102"/>
        <v>2.2145844924852267</v>
      </c>
      <c r="T57" s="254">
        <f t="shared" si="102"/>
        <v>2.4888643450069905</v>
      </c>
      <c r="U57" s="254">
        <f t="shared" si="102"/>
        <v>3.3363868251934181</v>
      </c>
      <c r="V57" s="254">
        <f t="shared" ref="V57:W57" si="126">V34*V$60</f>
        <v>4.4591378553858814</v>
      </c>
      <c r="W57" s="254">
        <f t="shared" si="126"/>
        <v>5.5467104281091615</v>
      </c>
      <c r="X57" s="254">
        <f t="shared" si="102"/>
        <v>5.9586240856726436</v>
      </c>
      <c r="Y57" s="6"/>
      <c r="Z57" s="6">
        <f t="shared" si="104"/>
        <v>2.2490953086010257</v>
      </c>
      <c r="AA57" s="6">
        <f t="shared" si="105"/>
        <v>2.2770909769870764</v>
      </c>
      <c r="AB57" s="6">
        <f t="shared" si="106"/>
        <v>2.1924645641939198</v>
      </c>
      <c r="AC57" s="6">
        <f t="shared" si="107"/>
        <v>2.2145844924852267</v>
      </c>
      <c r="AD57" s="254">
        <f t="shared" si="96"/>
        <v>2.3644188697197861</v>
      </c>
      <c r="AE57" s="254">
        <f t="shared" si="96"/>
        <v>3.0110862341282676</v>
      </c>
      <c r="AF57" s="254">
        <f t="shared" ref="AF57:AG57" si="127">AF34*AF$60</f>
        <v>3.8223970781243763</v>
      </c>
      <c r="AG57" s="254">
        <f t="shared" si="127"/>
        <v>4.5176297792986562</v>
      </c>
      <c r="AH57" s="254">
        <f t="shared" si="96"/>
        <v>4.6092684102440833</v>
      </c>
      <c r="AI57" s="6"/>
      <c r="AJ57" s="6"/>
      <c r="AK57" s="6"/>
      <c r="AL57" s="6"/>
      <c r="AM57" s="6"/>
      <c r="AN57" s="6"/>
      <c r="AO57" s="6"/>
      <c r="AP57" s="6"/>
      <c r="AQ57" s="6"/>
      <c r="AR57" s="6"/>
      <c r="AS57" s="6"/>
      <c r="AT57" s="6"/>
      <c r="AU57" s="6"/>
      <c r="AV57" s="6"/>
      <c r="AW57" s="6"/>
    </row>
    <row r="58" spans="1:49">
      <c r="A58" t="s">
        <v>16</v>
      </c>
      <c r="B58" s="3" t="s">
        <v>404</v>
      </c>
      <c r="C58" s="3" t="s">
        <v>753</v>
      </c>
      <c r="D58" t="s">
        <v>137</v>
      </c>
      <c r="F58" s="37">
        <f t="shared" si="98"/>
        <v>0.64433067785501452</v>
      </c>
      <c r="G58" s="6">
        <f t="shared" ref="G58" si="128">G35*G$60</f>
        <v>0.65235099959024967</v>
      </c>
      <c r="H58" s="6">
        <f t="shared" si="92"/>
        <v>0.62810685408386391</v>
      </c>
      <c r="I58" s="6">
        <f t="shared" si="92"/>
        <v>0.63444386805367525</v>
      </c>
      <c r="J58" s="6">
        <f t="shared" si="92"/>
        <v>0.71302076189249108</v>
      </c>
      <c r="K58" s="6">
        <f t="shared" si="92"/>
        <v>0.95582271522347628</v>
      </c>
      <c r="L58" s="6">
        <f t="shared" ref="L58:M58" si="129">L35*L$60</f>
        <v>1.2774733494050514</v>
      </c>
      <c r="M58" s="6">
        <f t="shared" si="129"/>
        <v>1.5890459049652672</v>
      </c>
      <c r="N58" s="6">
        <f t="shared" si="92"/>
        <v>1.7070527342804307</v>
      </c>
      <c r="P58" s="6">
        <f t="shared" si="101"/>
        <v>0.64433067785501452</v>
      </c>
      <c r="Q58" s="6">
        <f t="shared" si="102"/>
        <v>0.65235099959024967</v>
      </c>
      <c r="R58" s="6">
        <f t="shared" si="102"/>
        <v>0.62810685408386391</v>
      </c>
      <c r="S58" s="6">
        <f t="shared" si="102"/>
        <v>0.63444386805367525</v>
      </c>
      <c r="T58" s="254">
        <f t="shared" si="102"/>
        <v>0.71302076189249108</v>
      </c>
      <c r="U58" s="254">
        <f t="shared" si="102"/>
        <v>0.95582271522347628</v>
      </c>
      <c r="V58" s="254">
        <f t="shared" ref="V58:W58" si="130">V35*V$60</f>
        <v>1.2774733494050514</v>
      </c>
      <c r="W58" s="254">
        <f t="shared" si="130"/>
        <v>1.5890459049652672</v>
      </c>
      <c r="X58" s="254">
        <f t="shared" si="102"/>
        <v>1.7070527342804307</v>
      </c>
      <c r="Y58" s="6"/>
      <c r="Z58" s="6">
        <f t="shared" si="104"/>
        <v>0.64433067785501452</v>
      </c>
      <c r="AA58" s="6">
        <f t="shared" si="105"/>
        <v>0.65235099959024967</v>
      </c>
      <c r="AB58" s="6">
        <f t="shared" si="106"/>
        <v>0.62810685408386391</v>
      </c>
      <c r="AC58" s="6">
        <f t="shared" si="107"/>
        <v>0.63444386805367525</v>
      </c>
      <c r="AD58" s="254">
        <f t="shared" si="96"/>
        <v>0.67736907690557524</v>
      </c>
      <c r="AE58" s="254">
        <f t="shared" si="96"/>
        <v>0.86262917667218164</v>
      </c>
      <c r="AF58" s="254">
        <f t="shared" ref="AF58:AG58" si="131">AF35*AF$60</f>
        <v>1.0950570618151625</v>
      </c>
      <c r="AG58" s="254">
        <f t="shared" si="131"/>
        <v>1.2942303720352772</v>
      </c>
      <c r="AH58" s="254">
        <f t="shared" si="96"/>
        <v>1.3204834085202004</v>
      </c>
      <c r="AI58" s="6"/>
      <c r="AJ58" s="6"/>
      <c r="AK58" s="6"/>
      <c r="AL58" s="6"/>
      <c r="AM58" s="6"/>
      <c r="AN58" s="6"/>
      <c r="AO58" s="6"/>
      <c r="AP58" s="6"/>
      <c r="AQ58" s="6"/>
      <c r="AR58" s="6"/>
      <c r="AS58" s="6"/>
      <c r="AT58" s="6"/>
      <c r="AU58" s="6"/>
      <c r="AV58" s="6"/>
      <c r="AW58" s="6"/>
    </row>
    <row r="59" spans="1:49">
      <c r="A59" t="s">
        <v>16</v>
      </c>
      <c r="B59" s="3" t="s">
        <v>366</v>
      </c>
      <c r="C59" s="3" t="s">
        <v>754</v>
      </c>
      <c r="D59" t="s">
        <v>137</v>
      </c>
      <c r="F59" s="37">
        <f>F102</f>
        <v>22</v>
      </c>
      <c r="G59" s="6">
        <f t="shared" ref="G59" si="132">G36*G$60</f>
        <v>19.218049126986699</v>
      </c>
      <c r="H59" s="6">
        <f t="shared" si="92"/>
        <v>17.206637381742077</v>
      </c>
      <c r="I59" s="6">
        <f t="shared" si="92"/>
        <v>16.506720027229584</v>
      </c>
      <c r="J59" s="6">
        <f t="shared" si="92"/>
        <v>24.345351386737054</v>
      </c>
      <c r="K59" s="6">
        <f t="shared" si="92"/>
        <v>32.635571233266909</v>
      </c>
      <c r="L59" s="6">
        <f t="shared" ref="L59:M59" si="133">L36*L$60</f>
        <v>43.617997175722103</v>
      </c>
      <c r="M59" s="6">
        <f t="shared" si="133"/>
        <v>54.256317618796132</v>
      </c>
      <c r="N59" s="6">
        <f t="shared" si="92"/>
        <v>58.285537915393242</v>
      </c>
      <c r="P59" s="6">
        <f t="shared" si="101"/>
        <v>22</v>
      </c>
      <c r="Q59" s="6">
        <f t="shared" si="102"/>
        <v>22.273845533418598</v>
      </c>
      <c r="R59" s="6">
        <f t="shared" si="102"/>
        <v>16.341846000266067</v>
      </c>
      <c r="S59" s="6">
        <f t="shared" si="102"/>
        <v>21.662425175294217</v>
      </c>
      <c r="T59" s="254">
        <f t="shared" si="102"/>
        <v>24.345351386737054</v>
      </c>
      <c r="U59" s="254">
        <f t="shared" si="102"/>
        <v>32.635571233266909</v>
      </c>
      <c r="V59" s="254">
        <f t="shared" ref="V59:W59" si="134">V36*V$60</f>
        <v>43.617997175722103</v>
      </c>
      <c r="W59" s="254">
        <f t="shared" si="134"/>
        <v>54.256317618796132</v>
      </c>
      <c r="X59" s="254">
        <f t="shared" si="102"/>
        <v>58.285537915393242</v>
      </c>
      <c r="Y59" s="6"/>
      <c r="Z59" s="6">
        <f t="shared" si="104"/>
        <v>22</v>
      </c>
      <c r="AA59" s="6">
        <f t="shared" si="105"/>
        <v>22.273845533418598</v>
      </c>
      <c r="AB59" s="6">
        <f t="shared" si="106"/>
        <v>16.341846000266067</v>
      </c>
      <c r="AC59" s="6">
        <f t="shared" si="107"/>
        <v>21.662425175294217</v>
      </c>
      <c r="AD59" s="254">
        <f t="shared" si="96"/>
        <v>35.39933406239382</v>
      </c>
      <c r="AE59" s="254">
        <f t="shared" si="96"/>
        <v>61.530990968900106</v>
      </c>
      <c r="AF59" s="254">
        <f t="shared" ref="AF59:AG59" si="135">AF36*AF$60</f>
        <v>100.09129813895515</v>
      </c>
      <c r="AG59" s="254">
        <f t="shared" si="135"/>
        <v>145.6430039824954</v>
      </c>
      <c r="AH59" s="254">
        <f t="shared" si="96"/>
        <v>177.9672437698697</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218.37908054807826</v>
      </c>
      <c r="J60" s="35">
        <f t="shared" si="136"/>
        <v>245.42568103219364</v>
      </c>
      <c r="K60" s="35">
        <f t="shared" si="136"/>
        <v>328.99945326575568</v>
      </c>
      <c r="L60" s="35">
        <f t="shared" si="136"/>
        <v>439.71337657273619</v>
      </c>
      <c r="M60" s="35">
        <f t="shared" si="136"/>
        <v>546.95836960259794</v>
      </c>
      <c r="N60" s="35">
        <f t="shared" si="136"/>
        <v>587.57697147087106</v>
      </c>
      <c r="P60" s="61">
        <f>$F60</f>
        <v>221.78217504183343</v>
      </c>
      <c r="Q60" s="35">
        <f>P60*(1+(P22+Q22)/2*((Q7/P7)^(1/(Q$4-P$4))-1))^(Q$4-P$4)</f>
        <v>224.5428140430638</v>
      </c>
      <c r="R60" s="35">
        <f t="shared" ref="R60:X60" si="137">Q60*(1+(Q22+R22)/2*((R7/Q7)^(1/(R$4-Q$4))-1))^(R$4-Q$4)</f>
        <v>216.19784536900227</v>
      </c>
      <c r="S60" s="35">
        <f t="shared" si="137"/>
        <v>218.37908054807826</v>
      </c>
      <c r="T60" s="35">
        <f t="shared" si="137"/>
        <v>245.42568103219364</v>
      </c>
      <c r="U60" s="35">
        <f t="shared" si="137"/>
        <v>328.99945326575568</v>
      </c>
      <c r="V60" s="35">
        <f t="shared" si="137"/>
        <v>439.71337657273619</v>
      </c>
      <c r="W60" s="35">
        <f t="shared" si="137"/>
        <v>546.95836960259794</v>
      </c>
      <c r="X60" s="35">
        <f t="shared" si="137"/>
        <v>587.57697147087106</v>
      </c>
      <c r="Z60" s="61">
        <f>P60</f>
        <v>221.78217504183343</v>
      </c>
      <c r="AA60" s="61">
        <f t="shared" si="105"/>
        <v>224.5428140430638</v>
      </c>
      <c r="AB60" s="61">
        <f t="shared" si="106"/>
        <v>216.19784536900227</v>
      </c>
      <c r="AC60" s="61">
        <f t="shared" si="107"/>
        <v>218.37908054807826</v>
      </c>
      <c r="AD60" s="255">
        <f>AB60*(1+(AB22+AD22)/2*((AD7/AB7)^(1/(AD$4-AB$4))-1))^(AD$4-AB$4)</f>
        <v>245.42544664914467</v>
      </c>
      <c r="AE60" s="255">
        <f>AD60*(1+(AD22+AE22)/2*((AE7/AD7)^(1/(AE$4-AD$4))-1))^(AE$4-AD$4)</f>
        <v>328.99913906923541</v>
      </c>
      <c r="AF60" s="255">
        <f>AC60*(1+(AC22+AF22)/2*((AF7/AC7)^(1/(AF$4-AC$4))-1))^(AF$4-AC$4)</f>
        <v>439.62639886184871</v>
      </c>
      <c r="AG60" s="255">
        <f>AD60*(1+(AD22+AG22)/2*((AG7/AD7)^(1/(AG$4-AD$4))-1))^(AG$4-AD$4)</f>
        <v>546.93409195485845</v>
      </c>
      <c r="AH60" s="255">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765</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8"/>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8"/>
      <c r="AJ63" s="198"/>
      <c r="AK63" s="198"/>
      <c r="AL63" s="198"/>
      <c r="AM63" s="198"/>
      <c r="AN63" s="198"/>
      <c r="AO63" s="198"/>
      <c r="AP63" s="198"/>
      <c r="AQ63" s="198"/>
      <c r="AR63" s="198"/>
      <c r="AS63" s="198"/>
      <c r="AT63" s="198"/>
      <c r="AU63" s="198"/>
      <c r="AV63" s="198"/>
      <c r="AW63" s="198"/>
    </row>
    <row r="64" spans="1:49">
      <c r="A64" t="s">
        <v>16</v>
      </c>
      <c r="B64" t="s">
        <v>396</v>
      </c>
      <c r="C64" t="s">
        <v>405</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8"/>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8"/>
      <c r="AJ64" s="198"/>
      <c r="AK64" s="198"/>
      <c r="AL64" s="198"/>
      <c r="AM64" s="198"/>
      <c r="AN64" s="198"/>
      <c r="AO64" s="198"/>
      <c r="AP64" s="198"/>
      <c r="AQ64" s="198"/>
      <c r="AR64" s="198"/>
      <c r="AS64" s="198"/>
      <c r="AT64" s="198"/>
      <c r="AU64" s="198"/>
      <c r="AV64" s="198"/>
      <c r="AW64" s="198"/>
    </row>
    <row r="65" spans="1:50">
      <c r="A65" t="s">
        <v>16</v>
      </c>
      <c r="B65" t="s">
        <v>397</v>
      </c>
      <c r="C65" t="s">
        <v>406</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8"/>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8"/>
      <c r="AJ65" s="198"/>
      <c r="AK65" s="198"/>
      <c r="AL65" s="198"/>
      <c r="AM65" s="198"/>
      <c r="AN65" s="198"/>
      <c r="AO65" s="198"/>
      <c r="AP65" s="198"/>
      <c r="AQ65" s="198"/>
      <c r="AR65" s="198"/>
      <c r="AS65" s="198"/>
      <c r="AT65" s="198"/>
      <c r="AU65" s="198"/>
      <c r="AV65" s="198"/>
      <c r="AW65" s="198"/>
    </row>
    <row r="66" spans="1:50">
      <c r="A66" t="s">
        <v>16</v>
      </c>
      <c r="B66" t="s">
        <v>398</v>
      </c>
      <c r="C66" t="s">
        <v>407</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8"/>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8"/>
      <c r="AJ66" s="198"/>
      <c r="AK66" s="198"/>
      <c r="AL66" s="198"/>
      <c r="AM66" s="198"/>
      <c r="AN66" s="198"/>
      <c r="AO66" s="198"/>
      <c r="AP66" s="198"/>
      <c r="AQ66" s="198"/>
      <c r="AR66" s="198"/>
      <c r="AS66" s="198"/>
      <c r="AT66" s="198"/>
      <c r="AU66" s="198"/>
      <c r="AV66" s="198"/>
      <c r="AW66" s="198"/>
    </row>
    <row r="67" spans="1:50">
      <c r="A67" t="s">
        <v>16</v>
      </c>
      <c r="B67" t="s">
        <v>399</v>
      </c>
      <c r="C67" t="s">
        <v>408</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8"/>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8"/>
      <c r="AJ67" s="198"/>
      <c r="AK67" s="198"/>
      <c r="AL67" s="198"/>
      <c r="AM67" s="198"/>
      <c r="AN67" s="198"/>
      <c r="AO67" s="198"/>
      <c r="AP67" s="198"/>
      <c r="AQ67" s="198"/>
      <c r="AR67" s="198"/>
      <c r="AS67" s="198"/>
      <c r="AT67" s="198"/>
      <c r="AU67" s="198"/>
      <c r="AV67" s="198"/>
      <c r="AW67" s="198"/>
    </row>
    <row r="68" spans="1:50">
      <c r="A68" t="s">
        <v>16</v>
      </c>
      <c r="B68" t="s">
        <v>400</v>
      </c>
      <c r="C68" t="s">
        <v>409</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8"/>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8"/>
      <c r="AJ68" s="198"/>
      <c r="AK68" s="198"/>
      <c r="AL68" s="198"/>
      <c r="AM68" s="198"/>
      <c r="AN68" s="198"/>
      <c r="AO68" s="198"/>
      <c r="AP68" s="198"/>
      <c r="AQ68" s="198"/>
      <c r="AR68" s="198"/>
      <c r="AS68" s="198"/>
      <c r="AT68" s="198"/>
      <c r="AU68" s="198"/>
      <c r="AV68" s="198"/>
      <c r="AW68" s="198"/>
    </row>
    <row r="69" spans="1:50">
      <c r="A69" t="s">
        <v>16</v>
      </c>
      <c r="B69" t="s">
        <v>401</v>
      </c>
      <c r="C69" t="s">
        <v>410</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8"/>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8"/>
      <c r="AJ69" s="198"/>
      <c r="AK69" s="198"/>
      <c r="AL69" s="198"/>
      <c r="AM69" s="198"/>
      <c r="AN69" s="198"/>
      <c r="AO69" s="198"/>
      <c r="AP69" s="198"/>
      <c r="AQ69" s="198"/>
      <c r="AR69" s="198"/>
      <c r="AS69" s="198"/>
      <c r="AT69" s="198"/>
      <c r="AU69" s="198"/>
      <c r="AV69" s="198"/>
      <c r="AW69" s="198"/>
    </row>
    <row r="70" spans="1:50">
      <c r="A70" t="s">
        <v>16</v>
      </c>
      <c r="B70" t="s">
        <v>402</v>
      </c>
      <c r="C70" t="s">
        <v>411</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8"/>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8"/>
      <c r="AJ70" s="198"/>
      <c r="AK70" s="198"/>
      <c r="AL70" s="198"/>
      <c r="AM70" s="198"/>
      <c r="AN70" s="198"/>
      <c r="AO70" s="198"/>
      <c r="AP70" s="198"/>
      <c r="AQ70" s="198"/>
      <c r="AR70" s="198"/>
      <c r="AS70" s="198"/>
      <c r="AT70" s="198"/>
      <c r="AU70" s="198"/>
      <c r="AV70" s="198"/>
      <c r="AW70" s="198"/>
    </row>
    <row r="71" spans="1:50">
      <c r="A71" t="s">
        <v>16</v>
      </c>
      <c r="B71" t="s">
        <v>403</v>
      </c>
      <c r="C71" t="s">
        <v>412</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8"/>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8"/>
      <c r="AJ71" s="198"/>
      <c r="AK71" s="198"/>
      <c r="AL71" s="198"/>
      <c r="AM71" s="198"/>
      <c r="AN71" s="198"/>
      <c r="AO71" s="198"/>
      <c r="AP71" s="198"/>
      <c r="AQ71" s="198"/>
      <c r="AR71" s="198"/>
      <c r="AS71" s="198"/>
      <c r="AT71" s="198"/>
      <c r="AU71" s="198"/>
      <c r="AV71" s="198"/>
      <c r="AW71" s="198"/>
    </row>
    <row r="72" spans="1:50">
      <c r="A72" t="s">
        <v>16</v>
      </c>
      <c r="B72" t="s">
        <v>404</v>
      </c>
      <c r="C72" t="s">
        <v>413</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8"/>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8"/>
      <c r="AJ72" s="198"/>
      <c r="AK72" s="198"/>
      <c r="AL72" s="198"/>
      <c r="AM72" s="198"/>
      <c r="AN72" s="198"/>
      <c r="AO72" s="198"/>
      <c r="AP72" s="198"/>
      <c r="AQ72" s="198"/>
      <c r="AR72" s="198"/>
      <c r="AS72" s="198"/>
      <c r="AT72" s="198"/>
      <c r="AU72" s="198"/>
      <c r="AV72" s="198"/>
      <c r="AW72" s="198"/>
    </row>
    <row r="73" spans="1:50">
      <c r="A73" t="s">
        <v>16</v>
      </c>
      <c r="P73" s="47">
        <f>SUM(P86:P88)/P89</f>
        <v>0.38076006063089379</v>
      </c>
      <c r="Q73" s="47"/>
      <c r="R73" s="47"/>
      <c r="S73" s="47"/>
    </row>
    <row r="74" spans="1:50">
      <c r="A74" t="s">
        <v>16</v>
      </c>
      <c r="P74" s="2" t="s">
        <v>32</v>
      </c>
      <c r="Z74" s="2" t="s">
        <v>185</v>
      </c>
      <c r="AM74" t="s">
        <v>460</v>
      </c>
    </row>
    <row r="75" spans="1:50" ht="15.75" thickBot="1">
      <c r="A75" t="s">
        <v>16</v>
      </c>
      <c r="B75" s="9" t="s">
        <v>196</v>
      </c>
      <c r="C75" s="9"/>
      <c r="D75" s="9"/>
      <c r="E75" s="219"/>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608</v>
      </c>
    </row>
    <row r="76" spans="1:50">
      <c r="A76" t="s">
        <v>16</v>
      </c>
      <c r="B76" s="3" t="s">
        <v>139</v>
      </c>
      <c r="C76" s="3" t="s">
        <v>744</v>
      </c>
      <c r="D76" t="s">
        <v>137</v>
      </c>
      <c r="E76" s="220"/>
      <c r="F76" s="199">
        <f t="shared" ref="F76" si="173">F63*F92</f>
        <v>18.931145021834741</v>
      </c>
      <c r="G76" s="199">
        <f t="shared" ref="G76:N85" si="174">G63*G92</f>
        <v>19.16679090850425</v>
      </c>
      <c r="H76" s="199">
        <f t="shared" si="174"/>
        <v>18.454471209495399</v>
      </c>
      <c r="I76" s="199">
        <f>I63*I92</f>
        <v>18.640659659915396</v>
      </c>
      <c r="J76" s="199">
        <f t="shared" si="174"/>
        <v>20.949335350447488</v>
      </c>
      <c r="K76" s="199">
        <f t="shared" si="174"/>
        <v>28.083124176699723</v>
      </c>
      <c r="L76" s="199">
        <f t="shared" ref="L76:M76" si="175">L63*L92</f>
        <v>37.533574095253329</v>
      </c>
      <c r="M76" s="199">
        <f t="shared" si="175"/>
        <v>46.687918963279856</v>
      </c>
      <c r="N76" s="199">
        <f t="shared" si="174"/>
        <v>50.155089588725303</v>
      </c>
      <c r="O76" s="5"/>
      <c r="P76" s="199">
        <f>P43</f>
        <v>18.931145021834741</v>
      </c>
      <c r="Q76" s="199">
        <f t="shared" ref="Q76:X76" si="176">Q43</f>
        <v>19.16679090850425</v>
      </c>
      <c r="R76" s="199">
        <f t="shared" si="176"/>
        <v>18.454471209495399</v>
      </c>
      <c r="S76" s="199">
        <f t="shared" si="176"/>
        <v>18.640659659915396</v>
      </c>
      <c r="T76" s="199">
        <f t="shared" si="176"/>
        <v>20.949315343702175</v>
      </c>
      <c r="U76" s="199">
        <f t="shared" si="176"/>
        <v>28.083097357141792</v>
      </c>
      <c r="V76" s="199">
        <f t="shared" ref="V76:W76" si="177">V43</f>
        <v>37.52614974900834</v>
      </c>
      <c r="W76" s="199">
        <f t="shared" si="177"/>
        <v>46.685846643130326</v>
      </c>
      <c r="X76" s="199">
        <f t="shared" si="176"/>
        <v>50.139845950972003</v>
      </c>
      <c r="Y76" s="5"/>
      <c r="Z76" s="199">
        <f>Z43</f>
        <v>18.931145021834741</v>
      </c>
      <c r="AA76" s="199">
        <f>AA43</f>
        <v>19.16679090850425</v>
      </c>
      <c r="AB76" s="199">
        <f t="shared" ref="AB76:AH76" si="178">AB43</f>
        <v>18.454471209495399</v>
      </c>
      <c r="AC76" s="199">
        <f t="shared" si="178"/>
        <v>18.640659659915396</v>
      </c>
      <c r="AD76" s="199">
        <f t="shared" si="178"/>
        <v>20.949315343702175</v>
      </c>
      <c r="AE76" s="199">
        <f t="shared" si="178"/>
        <v>28.083097357141792</v>
      </c>
      <c r="AF76" s="199">
        <f t="shared" ref="AF76:AG76" si="179">AF43</f>
        <v>37.52614974900834</v>
      </c>
      <c r="AG76" s="199">
        <f t="shared" si="179"/>
        <v>46.685846643130326</v>
      </c>
      <c r="AH76" s="199">
        <f t="shared" si="178"/>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396</v>
      </c>
      <c r="C77" s="3" t="s">
        <v>745</v>
      </c>
      <c r="D77" t="s">
        <v>137</v>
      </c>
      <c r="E77" s="220"/>
      <c r="F77" s="199">
        <f t="shared" ref="F77" si="180">F64*F93</f>
        <v>5.4191590500230697</v>
      </c>
      <c r="G77" s="199">
        <f t="shared" si="174"/>
        <v>6.263725567965813</v>
      </c>
      <c r="H77" s="199">
        <f>H64*H93</f>
        <v>6.0309388102583563</v>
      </c>
      <c r="I77" s="199">
        <f t="shared" si="174"/>
        <v>6.0917853736148873</v>
      </c>
      <c r="J77" s="199">
        <f t="shared" si="174"/>
        <v>6.8462627934374574</v>
      </c>
      <c r="K77" s="199">
        <f t="shared" si="174"/>
        <v>9.1775917926826445</v>
      </c>
      <c r="L77" s="199">
        <f t="shared" ref="L77:M77" si="181">L64*L93</f>
        <v>12.266007848672485</v>
      </c>
      <c r="M77" s="199">
        <f t="shared" si="181"/>
        <v>15.257656491450376</v>
      </c>
      <c r="N77" s="199">
        <f t="shared" si="174"/>
        <v>16.390731162049864</v>
      </c>
      <c r="O77" s="5"/>
      <c r="P77" s="199">
        <f>P46</f>
        <v>5.4191590500230697</v>
      </c>
      <c r="Q77" s="199">
        <f t="shared" ref="Q77:X77" si="182">Q46</f>
        <v>6.263725567965813</v>
      </c>
      <c r="R77" s="199">
        <f t="shared" si="182"/>
        <v>6.0299454950865155</v>
      </c>
      <c r="S77" s="199">
        <f t="shared" si="182"/>
        <v>6.0908959928898438</v>
      </c>
      <c r="T77" s="199">
        <f t="shared" si="182"/>
        <v>6.845128654616043</v>
      </c>
      <c r="U77" s="199">
        <f t="shared" si="182"/>
        <v>9.1760714503508893</v>
      </c>
      <c r="V77" s="199">
        <f t="shared" ref="V77:W77" si="183">V46</f>
        <v>12.261791122463769</v>
      </c>
      <c r="W77" s="199">
        <f t="shared" si="183"/>
        <v>15.254466381306896</v>
      </c>
      <c r="X77" s="199">
        <f t="shared" si="182"/>
        <v>16.38305074061574</v>
      </c>
      <c r="Y77" s="5"/>
      <c r="Z77" s="199">
        <f>Z46</f>
        <v>5.4191590500230697</v>
      </c>
      <c r="AA77" s="199">
        <f>AA46</f>
        <v>6.263725567965813</v>
      </c>
      <c r="AB77" s="199">
        <f t="shared" ref="AB77:AH77" si="184">AB46</f>
        <v>6.0299454950865155</v>
      </c>
      <c r="AC77" s="199">
        <f t="shared" si="184"/>
        <v>6.0908959928898438</v>
      </c>
      <c r="AD77" s="199">
        <f t="shared" si="184"/>
        <v>6.5028722218852408</v>
      </c>
      <c r="AE77" s="199">
        <f t="shared" si="184"/>
        <v>8.2814044839416763</v>
      </c>
      <c r="AF77" s="199">
        <f t="shared" ref="AF77:AG77" si="185">AF46</f>
        <v>10.512953163622372</v>
      </c>
      <c r="AG77" s="199">
        <f t="shared" si="185"/>
        <v>12.424858207989349</v>
      </c>
      <c r="AH77" s="199">
        <f t="shared" si="184"/>
        <v>12.676892361183713</v>
      </c>
      <c r="AM77" t="s">
        <v>575</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397</v>
      </c>
      <c r="C78" s="3" t="s">
        <v>746</v>
      </c>
      <c r="D78" t="s">
        <v>137</v>
      </c>
      <c r="E78" s="220"/>
      <c r="F78" s="199">
        <f t="shared" ref="F78" si="186">F65*F94</f>
        <v>2.508551055458172</v>
      </c>
      <c r="G78" s="199">
        <f t="shared" si="174"/>
        <v>2.539776305544069</v>
      </c>
      <c r="H78" s="199">
        <f t="shared" si="174"/>
        <v>2.4453873855547426</v>
      </c>
      <c r="I78" s="199">
        <f t="shared" si="174"/>
        <v>2.4700590698758176</v>
      </c>
      <c r="J78" s="199">
        <f t="shared" si="174"/>
        <v>2.7759798598499685</v>
      </c>
      <c r="K78" s="199">
        <f t="shared" si="174"/>
        <v>3.7212725755769114</v>
      </c>
      <c r="L78" s="199">
        <f t="shared" ref="L78:M78" si="187">L65*L94</f>
        <v>4.9735442205513296</v>
      </c>
      <c r="M78" s="199">
        <f t="shared" si="187"/>
        <v>6.1865792194502198</v>
      </c>
      <c r="N78" s="199">
        <f t="shared" si="174"/>
        <v>6.6460112570730461</v>
      </c>
      <c r="O78" s="5"/>
      <c r="P78" s="199">
        <f>P51</f>
        <v>2.508551055458172</v>
      </c>
      <c r="Q78" s="199">
        <f t="shared" ref="Q78:X78" si="188">Q51</f>
        <v>2.539776305544069</v>
      </c>
      <c r="R78" s="199">
        <f t="shared" si="188"/>
        <v>2.4453873855547426</v>
      </c>
      <c r="S78" s="199">
        <f t="shared" si="188"/>
        <v>2.4700590698758176</v>
      </c>
      <c r="T78" s="199">
        <f t="shared" si="188"/>
        <v>2.7759798598499685</v>
      </c>
      <c r="U78" s="199">
        <f t="shared" si="188"/>
        <v>3.7212725755769114</v>
      </c>
      <c r="V78" s="199">
        <f t="shared" ref="V78:W78" si="189">V51</f>
        <v>4.9735442205513296</v>
      </c>
      <c r="W78" s="199">
        <f t="shared" si="189"/>
        <v>6.1865792194502198</v>
      </c>
      <c r="X78" s="199">
        <f t="shared" si="188"/>
        <v>6.6460112570730461</v>
      </c>
      <c r="Y78" s="5"/>
      <c r="Z78" s="199">
        <f>Z51</f>
        <v>2.508551055458172</v>
      </c>
      <c r="AA78" s="199">
        <f>AA51</f>
        <v>2.539776305544069</v>
      </c>
      <c r="AB78" s="199">
        <f t="shared" ref="AB78:AH78" si="190">AB51</f>
        <v>2.4453873855547426</v>
      </c>
      <c r="AC78" s="199">
        <f t="shared" si="190"/>
        <v>2.4700590698758176</v>
      </c>
      <c r="AD78" s="199">
        <f t="shared" si="190"/>
        <v>2.6371783483333711</v>
      </c>
      <c r="AE78" s="199">
        <f t="shared" si="190"/>
        <v>3.3584452921189967</v>
      </c>
      <c r="AF78" s="199">
        <f t="shared" ref="AF78:AG78" si="191">AF51</f>
        <v>4.2633489955005288</v>
      </c>
      <c r="AG78" s="199">
        <f t="shared" si="191"/>
        <v>5.0387837757209324</v>
      </c>
      <c r="AH78" s="199">
        <f t="shared" si="190"/>
        <v>5.1409938436979452</v>
      </c>
      <c r="AM78" t="s">
        <v>607</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398</v>
      </c>
      <c r="C79" s="3" t="s">
        <v>747</v>
      </c>
      <c r="D79" t="s">
        <v>137</v>
      </c>
      <c r="E79" s="220"/>
      <c r="F79" s="199">
        <f t="shared" ref="F79" si="192">F66*F95</f>
        <v>16.520182703280053</v>
      </c>
      <c r="G79" s="199">
        <f t="shared" si="174"/>
        <v>16.725818078032436</v>
      </c>
      <c r="H79" s="199">
        <f t="shared" si="174"/>
        <v>16.10421534046959</v>
      </c>
      <c r="I79" s="199">
        <f t="shared" si="174"/>
        <v>16.266691895090631</v>
      </c>
      <c r="J79" s="199">
        <f t="shared" si="174"/>
        <v>18.281347858384024</v>
      </c>
      <c r="K79" s="199">
        <f t="shared" si="174"/>
        <v>24.50661815452181</v>
      </c>
      <c r="L79" s="199">
        <f t="shared" ref="L79:M79" si="193">L66*L95</f>
        <v>32.753512840640113</v>
      </c>
      <c r="M79" s="199">
        <f t="shared" si="193"/>
        <v>40.742012721350207</v>
      </c>
      <c r="N79" s="199">
        <f t="shared" si="174"/>
        <v>43.767624332784216</v>
      </c>
      <c r="O79" s="5"/>
      <c r="P79" s="199">
        <f t="shared" ref="P79:P85" si="194">P52</f>
        <v>16.520182703280053</v>
      </c>
      <c r="Q79" s="199">
        <f t="shared" ref="Q79:X79" si="195">Q52</f>
        <v>16.725818078032439</v>
      </c>
      <c r="R79" s="199">
        <f t="shared" si="195"/>
        <v>16.104215340469594</v>
      </c>
      <c r="S79" s="199">
        <f t="shared" si="195"/>
        <v>16.266691895090634</v>
      </c>
      <c r="T79" s="199">
        <f t="shared" si="195"/>
        <v>18.281347858384027</v>
      </c>
      <c r="U79" s="199">
        <f t="shared" si="195"/>
        <v>24.506618154521821</v>
      </c>
      <c r="V79" s="199">
        <f t="shared" ref="V79:W79" si="196">V52</f>
        <v>32.75351284064012</v>
      </c>
      <c r="W79" s="199">
        <f t="shared" si="196"/>
        <v>40.742012721350214</v>
      </c>
      <c r="X79" s="199">
        <f t="shared" si="195"/>
        <v>43.767624332784237</v>
      </c>
      <c r="Y79" s="5"/>
      <c r="Z79" s="199">
        <f t="shared" ref="Z79:Z85" si="197">Z52</f>
        <v>16.520182703280053</v>
      </c>
      <c r="AA79" s="199">
        <f t="shared" ref="AA79:AH79" si="198">AA52</f>
        <v>16.725818078032439</v>
      </c>
      <c r="AB79" s="199">
        <f t="shared" si="198"/>
        <v>16.104215340469594</v>
      </c>
      <c r="AC79" s="199">
        <f t="shared" si="198"/>
        <v>16.266691895090634</v>
      </c>
      <c r="AD79" s="199">
        <f t="shared" si="198"/>
        <v>17.367263879604167</v>
      </c>
      <c r="AE79" s="199">
        <f t="shared" si="198"/>
        <v>22.117201762370787</v>
      </c>
      <c r="AF79" s="199">
        <f t="shared" ref="AF79:AG79" si="199">AF52</f>
        <v>28.076488290030191</v>
      </c>
      <c r="AG79" s="199">
        <f t="shared" si="199"/>
        <v>33.183151044948346</v>
      </c>
      <c r="AH79" s="199">
        <f t="shared" si="198"/>
        <v>33.856260325870089</v>
      </c>
      <c r="AM79" s="3"/>
    </row>
    <row r="80" spans="1:50">
      <c r="A80" t="s">
        <v>16</v>
      </c>
      <c r="B80" s="3" t="s">
        <v>399</v>
      </c>
      <c r="C80" s="3" t="s">
        <v>748</v>
      </c>
      <c r="D80" t="s">
        <v>137</v>
      </c>
      <c r="E80" s="220"/>
      <c r="F80" s="199">
        <f t="shared" ref="F80" si="200">F67*F96</f>
        <v>4.7389994637867545</v>
      </c>
      <c r="G80" s="199">
        <f t="shared" si="174"/>
        <v>4.7979882745154434</v>
      </c>
      <c r="H80" s="199">
        <f t="shared" si="174"/>
        <v>4.6196745661922405</v>
      </c>
      <c r="I80" s="199">
        <f t="shared" si="174"/>
        <v>4.6662827859109086</v>
      </c>
      <c r="J80" s="199">
        <f t="shared" si="174"/>
        <v>5.2442094167021374</v>
      </c>
      <c r="K80" s="199">
        <f t="shared" si="174"/>
        <v>7.0299979352193764</v>
      </c>
      <c r="L80" s="199">
        <f t="shared" ref="L80:M80" si="201">L67*L96</f>
        <v>9.3957120557817824</v>
      </c>
      <c r="M80" s="199">
        <f t="shared" si="201"/>
        <v>11.687302731932665</v>
      </c>
      <c r="N80" s="199">
        <f t="shared" si="174"/>
        <v>12.555233314889595</v>
      </c>
      <c r="O80" s="5"/>
      <c r="P80" s="199">
        <f t="shared" si="194"/>
        <v>4.7389994637867545</v>
      </c>
      <c r="Q80" s="199">
        <f t="shared" ref="Q80:X80" si="202">Q53</f>
        <v>4.7979882745154434</v>
      </c>
      <c r="R80" s="199">
        <f t="shared" si="202"/>
        <v>4.6196745661922405</v>
      </c>
      <c r="S80" s="199">
        <f t="shared" si="202"/>
        <v>4.6662827859109095</v>
      </c>
      <c r="T80" s="199">
        <f t="shared" si="202"/>
        <v>5.2442094167021382</v>
      </c>
      <c r="U80" s="199">
        <f t="shared" si="202"/>
        <v>7.0299979352193773</v>
      </c>
      <c r="V80" s="199">
        <f t="shared" ref="V80:W80" si="203">V53</f>
        <v>9.3957120557817841</v>
      </c>
      <c r="W80" s="199">
        <f t="shared" si="203"/>
        <v>11.687302731932668</v>
      </c>
      <c r="X80" s="199">
        <f t="shared" si="202"/>
        <v>12.555233314889596</v>
      </c>
      <c r="Y80" s="5"/>
      <c r="Z80" s="199">
        <f t="shared" si="197"/>
        <v>4.7389994637867545</v>
      </c>
      <c r="AA80" s="199">
        <f t="shared" ref="AA80:AH80" si="204">AA53</f>
        <v>4.7979882745154434</v>
      </c>
      <c r="AB80" s="199">
        <f t="shared" si="204"/>
        <v>4.6196745661922405</v>
      </c>
      <c r="AC80" s="199">
        <f t="shared" si="204"/>
        <v>4.6662827859109095</v>
      </c>
      <c r="AD80" s="199">
        <f t="shared" si="204"/>
        <v>4.9819941880271097</v>
      </c>
      <c r="AE80" s="199">
        <f t="shared" si="204"/>
        <v>6.3445670774287564</v>
      </c>
      <c r="AF80" s="199">
        <f t="shared" ref="AF80:AG80" si="205">AF53</f>
        <v>8.0540551724679439</v>
      </c>
      <c r="AG80" s="199">
        <f t="shared" si="205"/>
        <v>9.5189585873976093</v>
      </c>
      <c r="AH80" s="199">
        <f t="shared" si="204"/>
        <v>9.7120475246479643</v>
      </c>
      <c r="AM80" s="3" t="s">
        <v>459</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400</v>
      </c>
      <c r="C81" s="3" t="s">
        <v>749</v>
      </c>
      <c r="D81" t="s">
        <v>137</v>
      </c>
      <c r="E81" s="220"/>
      <c r="F81" s="199">
        <f t="shared" ref="F81" si="206">F68*F97</f>
        <v>3.2441770761137643</v>
      </c>
      <c r="G81" s="199">
        <f t="shared" si="174"/>
        <v>3.2845590489279806</v>
      </c>
      <c r="H81" s="199">
        <f t="shared" si="174"/>
        <v>3.1624908255995221</v>
      </c>
      <c r="I81" s="199">
        <f t="shared" si="174"/>
        <v>3.1943974166690539</v>
      </c>
      <c r="J81" s="199">
        <f t="shared" si="174"/>
        <v>3.5900286763084903</v>
      </c>
      <c r="K81" s="199">
        <f t="shared" si="174"/>
        <v>4.8125260027655585</v>
      </c>
      <c r="L81" s="199">
        <f t="shared" ref="L81:M81" si="207">L68*L97</f>
        <v>6.4320230247032972</v>
      </c>
      <c r="M81" s="199">
        <f t="shared" si="207"/>
        <v>8.0007773569657132</v>
      </c>
      <c r="N81" s="199">
        <f t="shared" si="174"/>
        <v>8.5949366351853804</v>
      </c>
      <c r="O81" s="5"/>
      <c r="P81" s="199">
        <f t="shared" si="194"/>
        <v>3.2441770761137643</v>
      </c>
      <c r="Q81" s="199">
        <f t="shared" ref="Q81:X81" si="208">Q54</f>
        <v>3.284559048927981</v>
      </c>
      <c r="R81" s="199">
        <f t="shared" si="208"/>
        <v>3.1624908255995221</v>
      </c>
      <c r="S81" s="199">
        <f t="shared" si="208"/>
        <v>3.1943974166690543</v>
      </c>
      <c r="T81" s="199">
        <f t="shared" si="208"/>
        <v>3.5900286763084908</v>
      </c>
      <c r="U81" s="199">
        <f t="shared" si="208"/>
        <v>4.8125260027655594</v>
      </c>
      <c r="V81" s="199">
        <f t="shared" ref="V81:W81" si="209">V54</f>
        <v>6.432023024703299</v>
      </c>
      <c r="W81" s="199">
        <f t="shared" si="209"/>
        <v>8.000777356965715</v>
      </c>
      <c r="X81" s="199">
        <f t="shared" si="208"/>
        <v>8.5949366351853822</v>
      </c>
      <c r="Y81" s="5"/>
      <c r="Z81" s="199">
        <f t="shared" si="197"/>
        <v>3.2441770761137643</v>
      </c>
      <c r="AA81" s="199">
        <f t="shared" ref="AA81:AH81" si="210">AA54</f>
        <v>3.284559048927981</v>
      </c>
      <c r="AB81" s="199">
        <f t="shared" si="210"/>
        <v>3.1624908255995221</v>
      </c>
      <c r="AC81" s="199">
        <f t="shared" si="210"/>
        <v>3.1943974166690543</v>
      </c>
      <c r="AD81" s="199">
        <f t="shared" si="210"/>
        <v>3.4105239854183775</v>
      </c>
      <c r="AE81" s="199">
        <f t="shared" si="210"/>
        <v>4.3433005696129499</v>
      </c>
      <c r="AF81" s="199">
        <f t="shared" ref="AF81:AG81" si="211">AF54</f>
        <v>5.5135649117371868</v>
      </c>
      <c r="AG81" s="199">
        <f t="shared" si="211"/>
        <v>6.516393908395929</v>
      </c>
      <c r="AH81" s="199">
        <f t="shared" si="210"/>
        <v>6.6485768108557295</v>
      </c>
      <c r="AI81" s="3"/>
      <c r="AJ81" s="3"/>
      <c r="AK81" s="3"/>
      <c r="AL81" s="3"/>
      <c r="AM81" t="s">
        <v>458</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9.9196429991951648E-2</v>
      </c>
      <c r="AW81" s="164">
        <f>AW78/AW80</f>
        <v>9.9196429991951676E-2</v>
      </c>
      <c r="AX81" s="164">
        <f>AX78/AX80</f>
        <v>9.919642999195169E-2</v>
      </c>
    </row>
    <row r="82" spans="1:50">
      <c r="A82" t="s">
        <v>16</v>
      </c>
      <c r="B82" s="3" t="s">
        <v>401</v>
      </c>
      <c r="C82" s="3" t="s">
        <v>750</v>
      </c>
      <c r="D82" t="s">
        <v>137</v>
      </c>
      <c r="E82" s="220"/>
      <c r="F82" s="199">
        <f>F69*F98</f>
        <v>130.05107807184956</v>
      </c>
      <c r="G82" s="199">
        <f>G69*G98</f>
        <v>134.72568842583831</v>
      </c>
      <c r="H82" s="199">
        <f t="shared" si="174"/>
        <v>131.01589429361539</v>
      </c>
      <c r="I82" s="199">
        <f t="shared" si="174"/>
        <v>133.21123913432774</v>
      </c>
      <c r="J82" s="199">
        <f t="shared" si="174"/>
        <v>143.91541790377966</v>
      </c>
      <c r="K82" s="199">
        <f t="shared" si="174"/>
        <v>192.92232828986377</v>
      </c>
      <c r="L82" s="199">
        <f>L69*L98</f>
        <v>257.8439798198886</v>
      </c>
      <c r="M82" s="199">
        <f>M69*M98</f>
        <v>320.73148175150556</v>
      </c>
      <c r="N82" s="199">
        <f>N69*N98</f>
        <v>344.54986554066159</v>
      </c>
      <c r="O82" s="5"/>
      <c r="P82" s="199">
        <f>P55</f>
        <v>130.05107807184956</v>
      </c>
      <c r="Q82" s="199">
        <f t="shared" ref="Q82:X82" si="212">Q55</f>
        <v>131.66989201940638</v>
      </c>
      <c r="R82" s="199">
        <f t="shared" si="212"/>
        <v>131.88068567509137</v>
      </c>
      <c r="S82" s="199">
        <f t="shared" si="212"/>
        <v>128.0555339862631</v>
      </c>
      <c r="T82" s="199">
        <f t="shared" si="212"/>
        <v>143.91541790377966</v>
      </c>
      <c r="U82" s="199">
        <f t="shared" si="212"/>
        <v>192.92232828986374</v>
      </c>
      <c r="V82" s="199">
        <f t="shared" ref="V82:W82" si="213">V55</f>
        <v>257.8439798198886</v>
      </c>
      <c r="W82" s="199">
        <f t="shared" si="213"/>
        <v>320.73148175150561</v>
      </c>
      <c r="X82" s="199">
        <f t="shared" si="212"/>
        <v>344.54986554066159</v>
      </c>
      <c r="Y82" s="5"/>
      <c r="Z82" s="199">
        <f t="shared" si="197"/>
        <v>130.05107807184956</v>
      </c>
      <c r="AA82" s="199">
        <f t="shared" ref="AA82:AH82" si="214">AA55</f>
        <v>131.66989201940638</v>
      </c>
      <c r="AB82" s="199">
        <f t="shared" si="214"/>
        <v>131.88068567509137</v>
      </c>
      <c r="AC82" s="199">
        <f t="shared" si="214"/>
        <v>128.0555339862631</v>
      </c>
      <c r="AD82" s="199">
        <f t="shared" si="214"/>
        <v>136.71951644047903</v>
      </c>
      <c r="AE82" s="199">
        <f t="shared" si="214"/>
        <v>174.11223500317791</v>
      </c>
      <c r="AF82" s="199">
        <f t="shared" ref="AF82:AG82" si="215">AF55</f>
        <v>221.02525354426686</v>
      </c>
      <c r="AG82" s="199">
        <f t="shared" si="215"/>
        <v>261.2262009886681</v>
      </c>
      <c r="AH82" s="199">
        <f t="shared" si="214"/>
        <v>266.52508836880941</v>
      </c>
      <c r="AI82" s="3"/>
      <c r="AJ82" s="3"/>
      <c r="AK82" s="3"/>
      <c r="AL82" s="3"/>
      <c r="AM82" s="3"/>
      <c r="AN82" s="3"/>
      <c r="AO82" s="3"/>
      <c r="AP82" s="3"/>
      <c r="AQ82" s="3"/>
      <c r="AR82" s="3"/>
      <c r="AS82" s="3"/>
      <c r="AT82" s="3"/>
      <c r="AU82" s="3"/>
      <c r="AV82" s="3"/>
      <c r="AW82" s="3"/>
    </row>
    <row r="83" spans="1:50">
      <c r="A83" t="s">
        <v>16</v>
      </c>
      <c r="B83" s="3" t="s">
        <v>402</v>
      </c>
      <c r="C83" s="3" t="s">
        <v>751</v>
      </c>
      <c r="D83" t="s">
        <v>137</v>
      </c>
      <c r="E83" s="220"/>
      <c r="F83" s="199">
        <f t="shared" ref="F83" si="216">F70*F99</f>
        <v>39.825760684889083</v>
      </c>
      <c r="G83" s="199">
        <f t="shared" si="174"/>
        <v>40.321492806641579</v>
      </c>
      <c r="H83" s="199">
        <f t="shared" si="174"/>
        <v>38.822974157550945</v>
      </c>
      <c r="I83" s="199">
        <f t="shared" si="174"/>
        <v>39.21466185843564</v>
      </c>
      <c r="J83" s="199">
        <f t="shared" si="174"/>
        <v>44.071460823532846</v>
      </c>
      <c r="K83" s="199">
        <f t="shared" si="174"/>
        <v>59.078929534124462</v>
      </c>
      <c r="L83" s="199">
        <f t="shared" ref="L83:M83" si="217">L70*L99</f>
        <v>78.959996230658007</v>
      </c>
      <c r="M83" s="199">
        <f t="shared" si="217"/>
        <v>98.218141869522995</v>
      </c>
      <c r="N83" s="199">
        <f t="shared" si="174"/>
        <v>105.5120856549309</v>
      </c>
      <c r="O83" s="5"/>
      <c r="P83" s="199">
        <f>P56</f>
        <v>39.825760684889083</v>
      </c>
      <c r="Q83" s="199">
        <f t="shared" ref="Q83:X83" si="218">Q56</f>
        <v>40.321492806641579</v>
      </c>
      <c r="R83" s="199">
        <f t="shared" si="218"/>
        <v>38.822974157550945</v>
      </c>
      <c r="S83" s="199">
        <f t="shared" si="218"/>
        <v>39.21466185843564</v>
      </c>
      <c r="T83" s="199">
        <f t="shared" si="218"/>
        <v>44.071460823532846</v>
      </c>
      <c r="U83" s="199">
        <f t="shared" si="218"/>
        <v>59.07892953412447</v>
      </c>
      <c r="V83" s="199">
        <f t="shared" ref="V83:W83" si="219">V56</f>
        <v>78.959996230658021</v>
      </c>
      <c r="W83" s="199">
        <f t="shared" si="219"/>
        <v>98.218141869522995</v>
      </c>
      <c r="X83" s="199">
        <f t="shared" si="218"/>
        <v>105.51208565493091</v>
      </c>
      <c r="Y83" s="5"/>
      <c r="Z83" s="199">
        <f t="shared" si="197"/>
        <v>39.825760684889083</v>
      </c>
      <c r="AA83" s="199">
        <f t="shared" ref="AA83:AH83" si="220">AA56</f>
        <v>40.321492806641579</v>
      </c>
      <c r="AB83" s="199">
        <f t="shared" si="220"/>
        <v>38.822974157550945</v>
      </c>
      <c r="AC83" s="199">
        <f t="shared" si="220"/>
        <v>39.21466185843564</v>
      </c>
      <c r="AD83" s="199">
        <f t="shared" si="220"/>
        <v>41.867847798263455</v>
      </c>
      <c r="AE83" s="199">
        <f t="shared" si="220"/>
        <v>53.318682984825443</v>
      </c>
      <c r="AF83" s="199">
        <f t="shared" ref="AF83:AG83" si="221">AF56</f>
        <v>67.684935668951326</v>
      </c>
      <c r="AG83" s="199">
        <f t="shared" si="221"/>
        <v>79.995739515898293</v>
      </c>
      <c r="AH83" s="199">
        <f t="shared" si="220"/>
        <v>81.618426723313064</v>
      </c>
      <c r="AI83" s="3"/>
      <c r="AJ83" s="3"/>
      <c r="AK83" s="3"/>
      <c r="AL83" s="3"/>
      <c r="AM83" s="3"/>
      <c r="AN83" s="3"/>
      <c r="AO83" s="3"/>
      <c r="AP83" s="3"/>
      <c r="AQ83" s="3"/>
      <c r="AR83" s="3"/>
      <c r="AS83" s="3"/>
      <c r="AT83" s="3"/>
      <c r="AU83" s="3"/>
      <c r="AV83" s="3"/>
      <c r="AW83" s="3"/>
    </row>
    <row r="84" spans="1:50">
      <c r="A84" t="s">
        <v>16</v>
      </c>
      <c r="B84" s="3" t="s">
        <v>403</v>
      </c>
      <c r="C84" s="3" t="s">
        <v>752</v>
      </c>
      <c r="D84" t="s">
        <v>137</v>
      </c>
      <c r="E84" s="220"/>
      <c r="F84" s="199">
        <f t="shared" ref="F84" si="222">F71*F100</f>
        <v>2.2490953086010257</v>
      </c>
      <c r="G84" s="199">
        <f t="shared" si="174"/>
        <v>2.2770909769870769</v>
      </c>
      <c r="H84" s="199">
        <f t="shared" si="174"/>
        <v>2.1924645641939198</v>
      </c>
      <c r="I84" s="199">
        <f t="shared" si="174"/>
        <v>2.2145844924852267</v>
      </c>
      <c r="J84" s="199">
        <f t="shared" si="174"/>
        <v>2.4888643450069901</v>
      </c>
      <c r="K84" s="199">
        <f t="shared" si="174"/>
        <v>3.3363868251934177</v>
      </c>
      <c r="L84" s="199">
        <f t="shared" ref="L84:M84" si="223">L71*L100</f>
        <v>4.4591378553858814</v>
      </c>
      <c r="M84" s="199">
        <f t="shared" si="223"/>
        <v>5.5467104281091606</v>
      </c>
      <c r="N84" s="199">
        <f t="shared" si="174"/>
        <v>5.9586240856726427</v>
      </c>
      <c r="O84" s="5"/>
      <c r="P84" s="199">
        <f t="shared" si="194"/>
        <v>2.2490953086010257</v>
      </c>
      <c r="Q84" s="199">
        <f t="shared" ref="Q84:X84" si="224">Q57</f>
        <v>2.2770909769870764</v>
      </c>
      <c r="R84" s="199">
        <f t="shared" si="224"/>
        <v>2.1924645641939198</v>
      </c>
      <c r="S84" s="199">
        <f t="shared" si="224"/>
        <v>2.2145844924852267</v>
      </c>
      <c r="T84" s="199">
        <f t="shared" si="224"/>
        <v>2.4888643450069905</v>
      </c>
      <c r="U84" s="199">
        <f t="shared" si="224"/>
        <v>3.3363868251934181</v>
      </c>
      <c r="V84" s="199">
        <f t="shared" ref="V84:W84" si="225">V57</f>
        <v>4.4591378553858814</v>
      </c>
      <c r="W84" s="199">
        <f t="shared" si="225"/>
        <v>5.5467104281091615</v>
      </c>
      <c r="X84" s="199">
        <f t="shared" si="224"/>
        <v>5.9586240856726436</v>
      </c>
      <c r="Y84" s="5"/>
      <c r="Z84" s="199">
        <f t="shared" si="197"/>
        <v>2.2490953086010257</v>
      </c>
      <c r="AA84" s="199">
        <f t="shared" ref="AA84:AH84" si="226">AA57</f>
        <v>2.2770909769870764</v>
      </c>
      <c r="AB84" s="199">
        <f t="shared" si="226"/>
        <v>2.1924645641939198</v>
      </c>
      <c r="AC84" s="199">
        <f t="shared" si="226"/>
        <v>2.2145844924852267</v>
      </c>
      <c r="AD84" s="199">
        <f t="shared" si="226"/>
        <v>2.3644188697197861</v>
      </c>
      <c r="AE84" s="199">
        <f t="shared" si="226"/>
        <v>3.0110862341282676</v>
      </c>
      <c r="AF84" s="199">
        <f t="shared" ref="AF84:AG84" si="227">AF57</f>
        <v>3.8223970781243763</v>
      </c>
      <c r="AG84" s="199">
        <f t="shared" si="227"/>
        <v>4.5176297792986562</v>
      </c>
      <c r="AH84" s="199">
        <f t="shared" si="226"/>
        <v>4.6092684102440833</v>
      </c>
      <c r="AI84" s="3"/>
      <c r="AJ84" s="3"/>
      <c r="AK84" s="3"/>
      <c r="AL84" s="3"/>
      <c r="AM84" s="3"/>
      <c r="AN84" s="3"/>
      <c r="AO84" s="3"/>
      <c r="AP84" s="3"/>
      <c r="AQ84" s="3"/>
      <c r="AR84" s="3"/>
      <c r="AS84" s="3"/>
      <c r="AT84" s="3"/>
      <c r="AU84" s="3"/>
      <c r="AV84" s="3"/>
      <c r="AW84" s="3"/>
    </row>
    <row r="85" spans="1:50">
      <c r="A85" t="s">
        <v>16</v>
      </c>
      <c r="B85" s="3" t="s">
        <v>404</v>
      </c>
      <c r="C85" s="3" t="s">
        <v>753</v>
      </c>
      <c r="D85" t="s">
        <v>137</v>
      </c>
      <c r="E85" s="220"/>
      <c r="F85" s="199">
        <f t="shared" ref="F85" si="228">F72*F101</f>
        <v>0.64433067785501452</v>
      </c>
      <c r="G85" s="199">
        <f t="shared" si="174"/>
        <v>0.65235099959024956</v>
      </c>
      <c r="H85" s="199">
        <f t="shared" si="174"/>
        <v>0.6281068540838638</v>
      </c>
      <c r="I85" s="199">
        <f t="shared" si="174"/>
        <v>0.63444386805367514</v>
      </c>
      <c r="J85" s="199">
        <f t="shared" si="174"/>
        <v>0.71302076189249097</v>
      </c>
      <c r="K85" s="199">
        <f t="shared" si="174"/>
        <v>0.95582271522347617</v>
      </c>
      <c r="L85" s="199">
        <f t="shared" ref="L85:M85" si="229">L72*L101</f>
        <v>1.2774733494050514</v>
      </c>
      <c r="M85" s="199">
        <f t="shared" si="229"/>
        <v>1.5890459049652668</v>
      </c>
      <c r="N85" s="199">
        <f t="shared" si="174"/>
        <v>1.7070527342804305</v>
      </c>
      <c r="O85" s="5"/>
      <c r="P85" s="199">
        <f t="shared" si="194"/>
        <v>0.64433067785501452</v>
      </c>
      <c r="Q85" s="199">
        <f t="shared" ref="Q85:X85" si="230">Q58</f>
        <v>0.65235099959024967</v>
      </c>
      <c r="R85" s="199">
        <f t="shared" si="230"/>
        <v>0.62810685408386391</v>
      </c>
      <c r="S85" s="199">
        <f t="shared" si="230"/>
        <v>0.63444386805367525</v>
      </c>
      <c r="T85" s="199">
        <f t="shared" si="230"/>
        <v>0.71302076189249108</v>
      </c>
      <c r="U85" s="199">
        <f t="shared" si="230"/>
        <v>0.95582271522347628</v>
      </c>
      <c r="V85" s="199">
        <f t="shared" ref="V85:W85" si="231">V58</f>
        <v>1.2774733494050514</v>
      </c>
      <c r="W85" s="199">
        <f t="shared" si="231"/>
        <v>1.5890459049652672</v>
      </c>
      <c r="X85" s="199">
        <f t="shared" si="230"/>
        <v>1.7070527342804307</v>
      </c>
      <c r="Y85" s="5"/>
      <c r="Z85" s="199">
        <f t="shared" si="197"/>
        <v>0.64433067785501452</v>
      </c>
      <c r="AA85" s="199">
        <f t="shared" ref="AA85:AH85" si="232">AA58</f>
        <v>0.65235099959024967</v>
      </c>
      <c r="AB85" s="199">
        <f t="shared" si="232"/>
        <v>0.62810685408386391</v>
      </c>
      <c r="AC85" s="199">
        <f t="shared" si="232"/>
        <v>0.63444386805367525</v>
      </c>
      <c r="AD85" s="199">
        <f t="shared" si="232"/>
        <v>0.67736907690557524</v>
      </c>
      <c r="AE85" s="199">
        <f t="shared" si="232"/>
        <v>0.86262917667218164</v>
      </c>
      <c r="AF85" s="199">
        <f t="shared" ref="AF85:AG85" si="233">AF58</f>
        <v>1.0950570618151625</v>
      </c>
      <c r="AG85" s="199">
        <f t="shared" si="233"/>
        <v>1.2942303720352772</v>
      </c>
      <c r="AH85" s="199">
        <f t="shared" si="232"/>
        <v>1.3204834085202004</v>
      </c>
      <c r="AI85" s="3"/>
      <c r="AJ85" s="3"/>
      <c r="AK85" s="3"/>
      <c r="AL85" s="3"/>
      <c r="AM85" s="3"/>
      <c r="AN85" s="3"/>
      <c r="AO85" s="3"/>
      <c r="AP85" s="3"/>
      <c r="AQ85" s="3"/>
      <c r="AR85" s="3"/>
      <c r="AS85" s="3"/>
      <c r="AT85" s="3"/>
      <c r="AU85" s="3"/>
      <c r="AV85" s="3"/>
      <c r="AW85" s="3"/>
    </row>
    <row r="86" spans="1:50">
      <c r="A86" t="s">
        <v>16</v>
      </c>
      <c r="B86" s="3" t="s">
        <v>366</v>
      </c>
      <c r="C86" s="3" t="s">
        <v>754</v>
      </c>
      <c r="D86" t="s">
        <v>137</v>
      </c>
      <c r="E86" s="35"/>
      <c r="F86" s="199">
        <f t="shared" ref="F86" si="234">F59</f>
        <v>22</v>
      </c>
      <c r="G86" s="199">
        <f t="shared" ref="G86:N86" si="235">G59</f>
        <v>19.218049126986699</v>
      </c>
      <c r="H86" s="199">
        <f t="shared" si="235"/>
        <v>17.206637381742077</v>
      </c>
      <c r="I86" s="199">
        <f t="shared" si="235"/>
        <v>16.506720027229584</v>
      </c>
      <c r="J86" s="199">
        <f t="shared" si="235"/>
        <v>24.345351386737054</v>
      </c>
      <c r="K86" s="199">
        <f t="shared" si="235"/>
        <v>32.635571233266909</v>
      </c>
      <c r="L86" s="199">
        <f t="shared" ref="L86:M86" si="236">L59</f>
        <v>43.617997175722103</v>
      </c>
      <c r="M86" s="199">
        <f t="shared" si="236"/>
        <v>54.256317618796132</v>
      </c>
      <c r="N86" s="199">
        <f t="shared" si="235"/>
        <v>58.285537915393242</v>
      </c>
      <c r="O86" s="5"/>
      <c r="P86" s="199">
        <f>P59</f>
        <v>22</v>
      </c>
      <c r="Q86" s="199">
        <f t="shared" ref="Q86:X86" si="237">Q59</f>
        <v>22.273845533418598</v>
      </c>
      <c r="R86" s="199">
        <f t="shared" si="237"/>
        <v>16.341846000266067</v>
      </c>
      <c r="S86" s="199">
        <f t="shared" si="237"/>
        <v>21.662425175294217</v>
      </c>
      <c r="T86" s="199">
        <f t="shared" si="237"/>
        <v>24.345351386737054</v>
      </c>
      <c r="U86" s="199">
        <f t="shared" si="237"/>
        <v>32.635571233266909</v>
      </c>
      <c r="V86" s="199">
        <f t="shared" ref="V86:W86" si="238">V59</f>
        <v>43.617997175722103</v>
      </c>
      <c r="W86" s="199">
        <f t="shared" si="238"/>
        <v>54.256317618796132</v>
      </c>
      <c r="X86" s="199">
        <f t="shared" si="237"/>
        <v>58.285537915393242</v>
      </c>
      <c r="Y86" s="5"/>
      <c r="Z86" s="199">
        <f>Z59</f>
        <v>22</v>
      </c>
      <c r="AA86" s="199">
        <f>AA59</f>
        <v>22.273845533418598</v>
      </c>
      <c r="AB86" s="199">
        <f t="shared" ref="AB86:AH86" si="239">AB59</f>
        <v>16.341846000266067</v>
      </c>
      <c r="AC86" s="199">
        <f t="shared" si="239"/>
        <v>21.662425175294217</v>
      </c>
      <c r="AD86" s="199">
        <f t="shared" si="239"/>
        <v>35.39933406239382</v>
      </c>
      <c r="AE86" s="199">
        <f t="shared" si="239"/>
        <v>61.530990968900106</v>
      </c>
      <c r="AF86" s="199">
        <f t="shared" ref="AF86:AG86" si="240">AF59</f>
        <v>100.09129813895515</v>
      </c>
      <c r="AG86" s="199">
        <f t="shared" si="240"/>
        <v>145.6430039824954</v>
      </c>
      <c r="AH86" s="199">
        <f t="shared" si="239"/>
        <v>177.9672437698697</v>
      </c>
      <c r="AI86" s="3"/>
      <c r="AJ86" s="3"/>
      <c r="AK86" s="3"/>
      <c r="AL86" s="3"/>
      <c r="AM86" s="3"/>
      <c r="AN86" s="3"/>
      <c r="AO86" s="3"/>
      <c r="AP86" s="3"/>
      <c r="AQ86" s="3"/>
      <c r="AR86" s="3"/>
      <c r="AS86" s="3"/>
      <c r="AT86" s="3"/>
      <c r="AU86" s="3"/>
      <c r="AV86" s="3"/>
      <c r="AW86" s="3"/>
    </row>
    <row r="87" spans="1:50">
      <c r="A87" t="s">
        <v>16</v>
      </c>
      <c r="B87" s="3" t="s">
        <v>368</v>
      </c>
      <c r="C87" s="3" t="s">
        <v>755</v>
      </c>
      <c r="D87" t="s">
        <v>137</v>
      </c>
      <c r="E87" s="35"/>
      <c r="F87" s="199">
        <f t="shared" ref="F87" si="241">F47</f>
        <v>27.142505514316699</v>
      </c>
      <c r="G87" s="199">
        <f t="shared" ref="G87:N87" si="242">G47</f>
        <v>26.703251105538467</v>
      </c>
      <c r="H87" s="199">
        <f t="shared" si="242"/>
        <v>25.710844401627732</v>
      </c>
      <c r="I87" s="199">
        <f t="shared" si="242"/>
        <v>25.970242908568729</v>
      </c>
      <c r="J87" s="199">
        <f t="shared" si="242"/>
        <v>29.186699277286003</v>
      </c>
      <c r="K87" s="199">
        <f t="shared" si="242"/>
        <v>39.125522905647053</v>
      </c>
      <c r="L87" s="199">
        <f t="shared" ref="L87:M87" si="243">L47</f>
        <v>52.291928196972172</v>
      </c>
      <c r="M87" s="199">
        <f t="shared" si="243"/>
        <v>65.045798726709492</v>
      </c>
      <c r="N87" s="199">
        <f t="shared" si="242"/>
        <v>69.876274954002042</v>
      </c>
      <c r="O87" s="5"/>
      <c r="P87" s="199">
        <f>P47</f>
        <v>27.142505514316699</v>
      </c>
      <c r="Q87" s="199">
        <f t="shared" ref="Q87:X87" si="244">Q47</f>
        <v>26.703251105538467</v>
      </c>
      <c r="R87" s="199">
        <f t="shared" si="244"/>
        <v>25.706609742210937</v>
      </c>
      <c r="S87" s="199">
        <f t="shared" si="244"/>
        <v>25.966451338109337</v>
      </c>
      <c r="T87" s="199">
        <f t="shared" si="244"/>
        <v>29.181864264415765</v>
      </c>
      <c r="U87" s="199">
        <f t="shared" si="244"/>
        <v>39.119041446232735</v>
      </c>
      <c r="V87" s="199">
        <f t="shared" ref="V87:W87" si="245">V47</f>
        <v>52.273951627345546</v>
      </c>
      <c r="W87" s="199">
        <f t="shared" si="245"/>
        <v>65.032198783466242</v>
      </c>
      <c r="X87" s="199">
        <f t="shared" si="244"/>
        <v>69.843532104730272</v>
      </c>
      <c r="Y87" s="5"/>
      <c r="Z87" s="199">
        <f>Z47</f>
        <v>27.142505514316699</v>
      </c>
      <c r="AA87" s="199">
        <f>AA47</f>
        <v>26.703251105538467</v>
      </c>
      <c r="AB87" s="199">
        <f t="shared" ref="AB87:AH87" si="246">AB47</f>
        <v>25.706609742210937</v>
      </c>
      <c r="AC87" s="199">
        <f t="shared" si="246"/>
        <v>25.966451338109337</v>
      </c>
      <c r="AD87" s="199">
        <f t="shared" si="246"/>
        <v>29.524120697146564</v>
      </c>
      <c r="AE87" s="199">
        <f t="shared" si="246"/>
        <v>40.013708412641947</v>
      </c>
      <c r="AF87" s="199">
        <f t="shared" ref="AF87:AG87" si="247">AF47</f>
        <v>54.022789586186938</v>
      </c>
      <c r="AG87" s="199">
        <f t="shared" si="247"/>
        <v>67.861806956783795</v>
      </c>
      <c r="AH87" s="199">
        <f t="shared" si="246"/>
        <v>73.549690484162284</v>
      </c>
      <c r="AI87" s="3"/>
      <c r="AJ87" s="3"/>
      <c r="AK87" s="3"/>
      <c r="AL87" s="3"/>
      <c r="AM87" s="3"/>
      <c r="AN87" s="3"/>
      <c r="AO87" s="3"/>
      <c r="AP87" s="3"/>
      <c r="AQ87" s="3"/>
      <c r="AR87" s="3"/>
      <c r="AS87" s="3"/>
      <c r="AT87" s="3"/>
      <c r="AU87" s="3"/>
      <c r="AV87" s="3"/>
      <c r="AW87" s="3"/>
    </row>
    <row r="88" spans="1:50">
      <c r="A88" t="s">
        <v>16</v>
      </c>
      <c r="B88" s="3" t="s">
        <v>367</v>
      </c>
      <c r="C88" s="3" t="s">
        <v>756</v>
      </c>
      <c r="D88" t="s">
        <v>137</v>
      </c>
      <c r="E88" s="35"/>
      <c r="F88" s="199">
        <f t="shared" ref="F88" si="248">F104</f>
        <v>88.672727178245694</v>
      </c>
      <c r="G88" s="199">
        <f t="shared" ref="G88:N88" si="249">G104</f>
        <v>87.357882681535756</v>
      </c>
      <c r="H88" s="199">
        <f t="shared" si="249"/>
        <v>84.559607459462228</v>
      </c>
      <c r="I88" s="199">
        <f t="shared" si="249"/>
        <v>86.9457419513449</v>
      </c>
      <c r="J88" s="199">
        <f t="shared" si="249"/>
        <v>91.870107239718436</v>
      </c>
      <c r="K88" s="199">
        <f t="shared" si="249"/>
        <v>112.58429272743091</v>
      </c>
      <c r="L88" s="199">
        <f t="shared" ref="L88:M88" si="250">L104</f>
        <v>148.41084013675146</v>
      </c>
      <c r="M88" s="199">
        <f t="shared" si="250"/>
        <v>183.24497714602427</v>
      </c>
      <c r="N88" s="199">
        <f t="shared" si="249"/>
        <v>196.27767980712804</v>
      </c>
      <c r="O88" s="5"/>
      <c r="P88" s="199">
        <f>F88</f>
        <v>88.672727178245694</v>
      </c>
      <c r="Q88" s="199">
        <f t="shared" ref="Q88:X88" si="251">G88</f>
        <v>87.357882681535756</v>
      </c>
      <c r="R88" s="199">
        <f t="shared" si="251"/>
        <v>84.559607459462228</v>
      </c>
      <c r="S88" s="199">
        <f t="shared" si="251"/>
        <v>86.9457419513449</v>
      </c>
      <c r="T88" s="199">
        <f t="shared" si="251"/>
        <v>91.870107239718436</v>
      </c>
      <c r="U88" s="199">
        <f t="shared" si="251"/>
        <v>112.58429272743091</v>
      </c>
      <c r="V88" s="199">
        <f t="shared" si="251"/>
        <v>148.41084013675146</v>
      </c>
      <c r="W88" s="199">
        <f t="shared" si="251"/>
        <v>183.24497714602427</v>
      </c>
      <c r="X88" s="199">
        <f t="shared" si="251"/>
        <v>196.27767980712804</v>
      </c>
      <c r="Y88" s="5"/>
      <c r="Z88" s="199">
        <f t="shared" ref="Z88:AH88" si="252">P88</f>
        <v>88.672727178245694</v>
      </c>
      <c r="AA88" s="199">
        <f t="shared" si="252"/>
        <v>87.357882681535756</v>
      </c>
      <c r="AB88" s="199">
        <f t="shared" si="252"/>
        <v>84.559607459462228</v>
      </c>
      <c r="AC88" s="199">
        <f t="shared" si="252"/>
        <v>86.9457419513449</v>
      </c>
      <c r="AD88" s="199">
        <f t="shared" si="252"/>
        <v>91.870107239718436</v>
      </c>
      <c r="AE88" s="199">
        <f t="shared" si="252"/>
        <v>112.58429272743091</v>
      </c>
      <c r="AF88" s="199">
        <f t="shared" si="252"/>
        <v>148.41084013675146</v>
      </c>
      <c r="AG88" s="199">
        <f t="shared" si="252"/>
        <v>183.24497714602427</v>
      </c>
      <c r="AH88" s="199">
        <f t="shared" si="252"/>
        <v>196.27767980712804</v>
      </c>
      <c r="AI88" s="3"/>
      <c r="AJ88" s="3"/>
      <c r="AK88" s="3"/>
      <c r="AL88" s="3"/>
      <c r="AM88" s="3"/>
      <c r="AN88" s="3"/>
      <c r="AO88" s="3"/>
      <c r="AP88" s="3"/>
      <c r="AQ88" s="3"/>
      <c r="AR88" s="3"/>
      <c r="AS88" s="3"/>
      <c r="AT88" s="3"/>
      <c r="AU88" s="3"/>
      <c r="AV88" s="3"/>
      <c r="AW88" s="3"/>
    </row>
    <row r="89" spans="1:50">
      <c r="A89" t="s">
        <v>16</v>
      </c>
      <c r="C89" s="2" t="s">
        <v>197</v>
      </c>
      <c r="E89" s="221"/>
      <c r="F89" s="62">
        <f>SUM(F76:F88)</f>
        <v>361.94771180625361</v>
      </c>
      <c r="G89" s="62">
        <f t="shared" ref="G89:I89" si="253">SUM(G76:G88)</f>
        <v>364.03446430660813</v>
      </c>
      <c r="H89" s="62">
        <f t="shared" si="253"/>
        <v>350.95370724984593</v>
      </c>
      <c r="I89" s="62">
        <f t="shared" si="253"/>
        <v>356.02751044152217</v>
      </c>
      <c r="J89" s="62">
        <f t="shared" ref="J89:N89" si="254">SUM(J76:J88)</f>
        <v>394.27808569308303</v>
      </c>
      <c r="K89" s="62">
        <f t="shared" si="254"/>
        <v>517.96998486821599</v>
      </c>
      <c r="L89" s="62">
        <f t="shared" ref="L89:M89" si="255">SUM(L76:L88)</f>
        <v>690.21572685038564</v>
      </c>
      <c r="M89" s="62">
        <f t="shared" si="255"/>
        <v>857.19472093006198</v>
      </c>
      <c r="N89" s="62">
        <f t="shared" si="254"/>
        <v>920.27674698277622</v>
      </c>
      <c r="O89" s="5"/>
      <c r="P89" s="62">
        <f t="shared" ref="P89:X89" si="256">SUM(P76:P88)</f>
        <v>361.94771180625361</v>
      </c>
      <c r="Q89" s="62">
        <f>SUM(Q76:Q88)</f>
        <v>364.03446430660813</v>
      </c>
      <c r="R89" s="62">
        <f t="shared" si="256"/>
        <v>350.94847927525734</v>
      </c>
      <c r="S89" s="62">
        <f t="shared" si="256"/>
        <v>356.0228294903377</v>
      </c>
      <c r="T89" s="62">
        <f t="shared" si="256"/>
        <v>394.2720965346461</v>
      </c>
      <c r="U89" s="62">
        <f t="shared" si="256"/>
        <v>517.961956246912</v>
      </c>
      <c r="V89" s="62">
        <f t="shared" ref="V89:W89" si="257">SUM(V76:V88)</f>
        <v>690.18610920830542</v>
      </c>
      <c r="W89" s="62">
        <f t="shared" si="257"/>
        <v>857.17585855652578</v>
      </c>
      <c r="X89" s="62">
        <f t="shared" si="256"/>
        <v>920.22108007431711</v>
      </c>
      <c r="Y89" s="288"/>
      <c r="Z89" s="62">
        <f t="shared" ref="Z89:AH89" si="258">SUM(Z76:Z88)</f>
        <v>361.94771180625361</v>
      </c>
      <c r="AA89" s="62">
        <f t="shared" si="258"/>
        <v>364.03446430660813</v>
      </c>
      <c r="AB89" s="62">
        <f t="shared" si="258"/>
        <v>350.94847927525734</v>
      </c>
      <c r="AC89" s="62">
        <f t="shared" si="258"/>
        <v>356.0228294903377</v>
      </c>
      <c r="AD89" s="62">
        <f t="shared" si="258"/>
        <v>394.27186215159708</v>
      </c>
      <c r="AE89" s="62">
        <f t="shared" si="258"/>
        <v>517.96164205039167</v>
      </c>
      <c r="AF89" s="62">
        <f t="shared" ref="AF89:AG89" si="259">SUM(AF76:AF88)</f>
        <v>690.09913149741783</v>
      </c>
      <c r="AG89" s="62">
        <f t="shared" si="259"/>
        <v>857.15158090878617</v>
      </c>
      <c r="AH89" s="62">
        <f t="shared" si="258"/>
        <v>920.04249778927419</v>
      </c>
    </row>
    <row r="90" spans="1:50">
      <c r="A90" t="s">
        <v>16</v>
      </c>
      <c r="O90" s="5"/>
      <c r="P90" s="2" t="s">
        <v>32</v>
      </c>
      <c r="Z90" s="2" t="s">
        <v>185</v>
      </c>
    </row>
    <row r="91" spans="1:50" ht="15.75" thickBot="1">
      <c r="A91" t="s">
        <v>16</v>
      </c>
      <c r="B91" s="9" t="s">
        <v>195</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744</v>
      </c>
      <c r="D92" t="s">
        <v>138</v>
      </c>
      <c r="E92" t="s">
        <v>139</v>
      </c>
      <c r="F92" s="264">
        <f>'BY-DMD'!I87</f>
        <v>47.584820585749902</v>
      </c>
      <c r="G92" s="17">
        <f t="shared" ref="G92:N92" si="263">G43/G63</f>
        <v>48.177133793746854</v>
      </c>
      <c r="H92" s="3">
        <f t="shared" si="263"/>
        <v>46.38666602024783</v>
      </c>
      <c r="I92" s="6">
        <f t="shared" si="263"/>
        <v>46.854664337209421</v>
      </c>
      <c r="J92" s="6">
        <f t="shared" si="263"/>
        <v>52.65768990158729</v>
      </c>
      <c r="K92" s="6">
        <f t="shared" si="263"/>
        <v>70.588990993112105</v>
      </c>
      <c r="L92" s="6">
        <f t="shared" ref="L92:M92" si="264">L43/L63</f>
        <v>94.343389541658269</v>
      </c>
      <c r="M92" s="6">
        <f t="shared" si="264"/>
        <v>117.35350634244885</v>
      </c>
      <c r="N92" s="6">
        <f t="shared" si="263"/>
        <v>126.06849383854137</v>
      </c>
      <c r="O92" s="5"/>
      <c r="P92" s="6">
        <f>P76/P63</f>
        <v>47.584820585749895</v>
      </c>
      <c r="Q92" s="6">
        <f t="shared" ref="Q92:X92" si="265">Q76/Q63</f>
        <v>48.177133793746854</v>
      </c>
      <c r="R92" s="6">
        <f t="shared" si="265"/>
        <v>46.38666602024783</v>
      </c>
      <c r="S92" s="6">
        <f t="shared" si="265"/>
        <v>46.854664337209421</v>
      </c>
      <c r="T92" s="6">
        <f t="shared" si="265"/>
        <v>52.657639613166531</v>
      </c>
      <c r="U92" s="6">
        <f t="shared" si="265"/>
        <v>70.588923580187483</v>
      </c>
      <c r="V92" s="6">
        <f t="shared" ref="V92:W92" si="266">V76/V63</f>
        <v>94.324727903198109</v>
      </c>
      <c r="W92" s="6">
        <f t="shared" si="266"/>
        <v>117.34829741386065</v>
      </c>
      <c r="X92" s="6">
        <f t="shared" si="265"/>
        <v>126.03017783775387</v>
      </c>
      <c r="Z92" s="6">
        <f>P92</f>
        <v>47.584820585749895</v>
      </c>
      <c r="AA92" s="6">
        <f>Q92</f>
        <v>48.177133793746854</v>
      </c>
      <c r="AB92" s="6">
        <f>R92</f>
        <v>46.38666602024783</v>
      </c>
      <c r="AC92" s="6">
        <f>S92</f>
        <v>46.854664337209421</v>
      </c>
      <c r="AD92" s="6">
        <f t="shared" ref="AD92:AH92" si="267">AD76/AD63</f>
        <v>52.657639613166531</v>
      </c>
      <c r="AE92" s="6">
        <f t="shared" si="267"/>
        <v>70.588923580187483</v>
      </c>
      <c r="AF92" s="6">
        <f t="shared" ref="AF92:AG92" si="268">AF76/AF63</f>
        <v>94.324727903198109</v>
      </c>
      <c r="AG92" s="6">
        <f t="shared" si="268"/>
        <v>117.34829741386065</v>
      </c>
      <c r="AH92" s="6">
        <f t="shared" si="267"/>
        <v>126.03017783775387</v>
      </c>
    </row>
    <row r="93" spans="1:50">
      <c r="A93" t="s">
        <v>16</v>
      </c>
      <c r="B93" s="3" t="s">
        <v>396</v>
      </c>
      <c r="C93" s="3" t="s">
        <v>745</v>
      </c>
      <c r="D93" t="s">
        <v>138</v>
      </c>
      <c r="E93" t="s">
        <v>396</v>
      </c>
      <c r="F93" s="264">
        <f>'BY-DMD'!I88</f>
        <v>3.6514783707452798</v>
      </c>
      <c r="G93" s="17">
        <f>G46/F46*F93</f>
        <v>4.2205549275424925</v>
      </c>
      <c r="H93" s="17">
        <f t="shared" ref="H93:K93" si="269">H46/G46*G93</f>
        <v>4.0637011052209129</v>
      </c>
      <c r="I93" s="17">
        <f t="shared" si="269"/>
        <v>4.1047000698166478</v>
      </c>
      <c r="J93" s="17">
        <f t="shared" si="269"/>
        <v>4.6130737776682551</v>
      </c>
      <c r="K93" s="17">
        <f t="shared" si="269"/>
        <v>6.1839443384425881</v>
      </c>
      <c r="L93" s="17">
        <f>L46/I46*I93</f>
        <v>8.2649470040243145</v>
      </c>
      <c r="M93" s="17">
        <f>M46/J46*J93</f>
        <v>10.280746911562817</v>
      </c>
      <c r="N93" s="17">
        <f>N46/K46*K93</f>
        <v>11.04422287046012</v>
      </c>
      <c r="P93" s="6">
        <f t="shared" ref="P93:X100" si="270">P77/P64</f>
        <v>3.6514783707452798</v>
      </c>
      <c r="Q93" s="6">
        <f t="shared" si="270"/>
        <v>4.2205549275424925</v>
      </c>
      <c r="R93" s="6">
        <f t="shared" si="270"/>
        <v>4.0630318004760566</v>
      </c>
      <c r="S93" s="6">
        <f t="shared" si="270"/>
        <v>4.1041007970418732</v>
      </c>
      <c r="T93" s="6">
        <f t="shared" si="270"/>
        <v>4.6123095846749163</v>
      </c>
      <c r="U93" s="6">
        <f t="shared" si="270"/>
        <v>6.1829199180317289</v>
      </c>
      <c r="V93" s="6">
        <f t="shared" ref="V93:W93" si="271">V77/V64</f>
        <v>8.2621057357750622</v>
      </c>
      <c r="W93" s="6">
        <f t="shared" si="271"/>
        <v>10.278597386501513</v>
      </c>
      <c r="X93" s="6">
        <f t="shared" si="270"/>
        <v>11.039047733047463</v>
      </c>
      <c r="Z93" s="6">
        <f t="shared" ref="Z93:Z101" si="272">P93</f>
        <v>3.6514783707452798</v>
      </c>
      <c r="AA93" s="6">
        <f t="shared" ref="AA93:AA101" si="273">Q93</f>
        <v>4.2205549275424925</v>
      </c>
      <c r="AB93" s="6">
        <f t="shared" ref="AB93:AB101" si="274">R93</f>
        <v>4.0630318004760566</v>
      </c>
      <c r="AC93" s="6">
        <f t="shared" ref="AC93:AC101" si="275">S93</f>
        <v>4.1041007970418732</v>
      </c>
      <c r="AD93" s="6">
        <f t="shared" ref="AD93:AH93" si="276">AD77/AD64</f>
        <v>4.38169410544117</v>
      </c>
      <c r="AE93" s="6">
        <f t="shared" si="276"/>
        <v>5.5800852260236349</v>
      </c>
      <c r="AF93" s="6">
        <f t="shared" ref="AF93:AG93" si="277">AF77/AF64</f>
        <v>7.0837229052101423</v>
      </c>
      <c r="AG93" s="6">
        <f t="shared" si="277"/>
        <v>8.371981812539147</v>
      </c>
      <c r="AH93" s="6">
        <f t="shared" si="276"/>
        <v>8.5418047039847131</v>
      </c>
    </row>
    <row r="94" spans="1:50">
      <c r="A94" t="s">
        <v>16</v>
      </c>
      <c r="B94" s="3" t="s">
        <v>397</v>
      </c>
      <c r="C94" s="3" t="s">
        <v>746</v>
      </c>
      <c r="D94" t="s">
        <v>138</v>
      </c>
      <c r="E94" t="s">
        <v>397</v>
      </c>
      <c r="F94" s="264">
        <f>'BY-DMD'!I89</f>
        <v>1.0030192144974699</v>
      </c>
      <c r="G94" s="17">
        <f>G51/F51*F94</f>
        <v>1.0155043204894318</v>
      </c>
      <c r="H94" s="17">
        <f t="shared" ref="H94:K94" si="278">H51/G51*G94</f>
        <v>0.97776384868242405</v>
      </c>
      <c r="I94" s="17">
        <f t="shared" si="278"/>
        <v>0.98762857651971914</v>
      </c>
      <c r="J94" s="17">
        <f t="shared" si="278"/>
        <v>1.1099479647540857</v>
      </c>
      <c r="K94" s="17">
        <f t="shared" si="278"/>
        <v>1.4879138646848906</v>
      </c>
      <c r="L94" s="17">
        <f t="shared" ref="L94:N101" si="279">L51/I51*I94</f>
        <v>1.9886222393248019</v>
      </c>
      <c r="M94" s="17">
        <f t="shared" si="279"/>
        <v>2.4736422308877328</v>
      </c>
      <c r="N94" s="17">
        <f t="shared" si="279"/>
        <v>2.6573415662027373</v>
      </c>
      <c r="P94" s="6">
        <f t="shared" si="270"/>
        <v>1.0030192144974699</v>
      </c>
      <c r="Q94" s="6">
        <f t="shared" si="270"/>
        <v>1.0155043204894318</v>
      </c>
      <c r="R94" s="6">
        <f t="shared" si="270"/>
        <v>0.97776384868242405</v>
      </c>
      <c r="S94" s="6">
        <f t="shared" si="270"/>
        <v>0.98762857651971914</v>
      </c>
      <c r="T94" s="6">
        <f t="shared" si="270"/>
        <v>1.1099479647540857</v>
      </c>
      <c r="U94" s="6">
        <f t="shared" si="270"/>
        <v>1.4879138646848906</v>
      </c>
      <c r="V94" s="6">
        <f t="shared" ref="V94:W94" si="280">V78/V65</f>
        <v>1.9886222393248021</v>
      </c>
      <c r="W94" s="6">
        <f t="shared" si="280"/>
        <v>2.4736422308877328</v>
      </c>
      <c r="X94" s="6">
        <f t="shared" si="270"/>
        <v>2.6573415662027373</v>
      </c>
      <c r="Z94" s="6">
        <f t="shared" si="272"/>
        <v>1.0030192144974699</v>
      </c>
      <c r="AA94" s="6">
        <f t="shared" si="273"/>
        <v>1.0155043204894318</v>
      </c>
      <c r="AB94" s="6">
        <f t="shared" si="274"/>
        <v>0.97776384868242405</v>
      </c>
      <c r="AC94" s="6">
        <f t="shared" si="275"/>
        <v>0.98762857651971914</v>
      </c>
      <c r="AD94" s="6">
        <f t="shared" ref="AD94:AH94" si="281">AD78/AD65</f>
        <v>1.0544495595095447</v>
      </c>
      <c r="AE94" s="6">
        <f t="shared" si="281"/>
        <v>1.3428409804554167</v>
      </c>
      <c r="AF94" s="6">
        <f t="shared" ref="AF94:AG94" si="282">AF78/AF65</f>
        <v>1.7046577351061691</v>
      </c>
      <c r="AG94" s="6">
        <f t="shared" si="282"/>
        <v>2.014707627237478</v>
      </c>
      <c r="AH94" s="6">
        <f t="shared" si="281"/>
        <v>2.0555753073562357</v>
      </c>
    </row>
    <row r="95" spans="1:50">
      <c r="A95" t="s">
        <v>16</v>
      </c>
      <c r="B95" s="3" t="s">
        <v>398</v>
      </c>
      <c r="C95" s="3" t="s">
        <v>747</v>
      </c>
      <c r="D95" t="s">
        <v>138</v>
      </c>
      <c r="E95" t="s">
        <v>398</v>
      </c>
      <c r="F95" s="264">
        <f>'BY-DMD'!I90</f>
        <v>3.29935437842208</v>
      </c>
      <c r="G95" s="17">
        <f t="shared" ref="G95:K101" si="283">G52/F52*F95</f>
        <v>3.3404231720446251</v>
      </c>
      <c r="H95" s="17">
        <f t="shared" si="283"/>
        <v>3.2162787996334212</v>
      </c>
      <c r="I95" s="17">
        <f t="shared" si="283"/>
        <v>3.2487280613339848</v>
      </c>
      <c r="J95" s="17">
        <f t="shared" si="283"/>
        <v>3.6510882587297706</v>
      </c>
      <c r="K95" s="17">
        <f t="shared" si="283"/>
        <v>4.894377947308401</v>
      </c>
      <c r="L95" s="17">
        <f t="shared" si="279"/>
        <v>6.5414195436236655</v>
      </c>
      <c r="M95" s="17">
        <f t="shared" si="279"/>
        <v>8.1368554133015483</v>
      </c>
      <c r="N95" s="17">
        <f t="shared" si="279"/>
        <v>8.7411202145381264</v>
      </c>
      <c r="P95" s="6">
        <f t="shared" si="270"/>
        <v>3.2993543784220805</v>
      </c>
      <c r="Q95" s="6">
        <f t="shared" si="270"/>
        <v>3.3404231720446256</v>
      </c>
      <c r="R95" s="6">
        <f t="shared" si="270"/>
        <v>3.2162787996334217</v>
      </c>
      <c r="S95" s="6">
        <f t="shared" si="270"/>
        <v>3.2487280613339857</v>
      </c>
      <c r="T95" s="6">
        <f t="shared" si="270"/>
        <v>3.6510882587297715</v>
      </c>
      <c r="U95" s="6">
        <f t="shared" si="270"/>
        <v>4.8943779473084028</v>
      </c>
      <c r="V95" s="6">
        <f t="shared" ref="V95:W95" si="284">V79/V66</f>
        <v>6.5414195436236673</v>
      </c>
      <c r="W95" s="6">
        <f t="shared" si="284"/>
        <v>8.13685541330155</v>
      </c>
      <c r="X95" s="6">
        <f t="shared" si="270"/>
        <v>8.7411202145381299</v>
      </c>
      <c r="Z95" s="6">
        <f t="shared" si="272"/>
        <v>3.2993543784220805</v>
      </c>
      <c r="AA95" s="6">
        <f t="shared" si="273"/>
        <v>3.3404231720446256</v>
      </c>
      <c r="AB95" s="6">
        <f t="shared" si="274"/>
        <v>3.2162787996334217</v>
      </c>
      <c r="AC95" s="6">
        <f t="shared" si="275"/>
        <v>3.2487280613339857</v>
      </c>
      <c r="AD95" s="6">
        <f t="shared" ref="AD95:AH95" si="285">AD79/AD66</f>
        <v>3.4685305333219278</v>
      </c>
      <c r="AE95" s="6">
        <f t="shared" si="285"/>
        <v>4.417171879015239</v>
      </c>
      <c r="AF95" s="6">
        <f t="shared" ref="AF95:AG95" si="286">AF79/AF66</f>
        <v>5.607340199211901</v>
      </c>
      <c r="AG95" s="6">
        <f t="shared" si="286"/>
        <v>6.6272254161120081</v>
      </c>
      <c r="AH95" s="6">
        <f t="shared" si="285"/>
        <v>6.7616564991728962</v>
      </c>
    </row>
    <row r="96" spans="1:50">
      <c r="A96" t="s">
        <v>16</v>
      </c>
      <c r="B96" s="3" t="s">
        <v>399</v>
      </c>
      <c r="C96" s="3" t="s">
        <v>748</v>
      </c>
      <c r="D96" t="s">
        <v>138</v>
      </c>
      <c r="E96" t="s">
        <v>399</v>
      </c>
      <c r="F96" s="264">
        <f>'BY-DMD'!I91</f>
        <v>0.59840698910616097</v>
      </c>
      <c r="G96" s="17">
        <f t="shared" si="283"/>
        <v>0.60585567461221534</v>
      </c>
      <c r="H96" s="17">
        <f t="shared" si="283"/>
        <v>0.58333949369060389</v>
      </c>
      <c r="I96" s="17">
        <f t="shared" si="283"/>
        <v>0.5892248466311506</v>
      </c>
      <c r="J96" s="17">
        <f t="shared" si="283"/>
        <v>0.6622012919122191</v>
      </c>
      <c r="K96" s="17">
        <f t="shared" si="283"/>
        <v>0.88769790542994942</v>
      </c>
      <c r="L96" s="17">
        <f t="shared" si="279"/>
        <v>1.1864233800347679</v>
      </c>
      <c r="M96" s="17">
        <f t="shared" si="279"/>
        <v>1.4757890757386971</v>
      </c>
      <c r="N96" s="17">
        <f t="shared" si="279"/>
        <v>1.5853851478356114</v>
      </c>
      <c r="P96" s="6">
        <f t="shared" si="270"/>
        <v>0.59840698910616097</v>
      </c>
      <c r="Q96" s="6">
        <f t="shared" si="270"/>
        <v>0.60585567461221534</v>
      </c>
      <c r="R96" s="6">
        <f t="shared" si="270"/>
        <v>0.58333949369060389</v>
      </c>
      <c r="S96" s="6">
        <f t="shared" si="270"/>
        <v>0.58922484663115071</v>
      </c>
      <c r="T96" s="6">
        <f t="shared" si="270"/>
        <v>0.66220129191221921</v>
      </c>
      <c r="U96" s="6">
        <f t="shared" si="270"/>
        <v>0.88769790542994953</v>
      </c>
      <c r="V96" s="6">
        <f t="shared" ref="V96:W96" si="287">V80/V67</f>
        <v>1.1864233800347681</v>
      </c>
      <c r="W96" s="6">
        <f t="shared" si="287"/>
        <v>1.4757890757386976</v>
      </c>
      <c r="X96" s="6">
        <f t="shared" si="270"/>
        <v>1.5853851478356116</v>
      </c>
      <c r="Z96" s="6">
        <f t="shared" si="272"/>
        <v>0.59840698910616097</v>
      </c>
      <c r="AA96" s="6">
        <f t="shared" si="273"/>
        <v>0.60585567461221534</v>
      </c>
      <c r="AB96" s="6">
        <f t="shared" si="274"/>
        <v>0.58333949369060389</v>
      </c>
      <c r="AC96" s="6">
        <f t="shared" si="275"/>
        <v>0.58922484663115071</v>
      </c>
      <c r="AD96" s="6">
        <f t="shared" ref="AD96:AH96" si="288">AD80/AD67</f>
        <v>0.62909062653058079</v>
      </c>
      <c r="AE96" s="6">
        <f t="shared" si="288"/>
        <v>0.80114659454982762</v>
      </c>
      <c r="AF96" s="6">
        <f t="shared" ref="AF96:AG96" si="289">AF80/AF67</f>
        <v>1.0170085358060543</v>
      </c>
      <c r="AG96" s="6">
        <f t="shared" si="289"/>
        <v>1.2019860713719541</v>
      </c>
      <c r="AH96" s="6">
        <f t="shared" si="288"/>
        <v>1.2263679626240298</v>
      </c>
    </row>
    <row r="97" spans="1:77">
      <c r="A97" t="s">
        <v>16</v>
      </c>
      <c r="B97" s="3" t="s">
        <v>400</v>
      </c>
      <c r="C97" s="3" t="s">
        <v>749</v>
      </c>
      <c r="D97" t="s">
        <v>138</v>
      </c>
      <c r="E97" t="s">
        <v>400</v>
      </c>
      <c r="F97" s="264">
        <f>'BY-DMD'!I92</f>
        <v>0.29798809605332599</v>
      </c>
      <c r="G97" s="17">
        <f t="shared" si="283"/>
        <v>0.30169731010405854</v>
      </c>
      <c r="H97" s="17">
        <f t="shared" si="283"/>
        <v>0.29048495128243912</v>
      </c>
      <c r="I97" s="17">
        <f t="shared" si="283"/>
        <v>0.29341567426743453</v>
      </c>
      <c r="J97" s="17">
        <f t="shared" si="283"/>
        <v>0.32975567761286245</v>
      </c>
      <c r="K97" s="17">
        <f t="shared" si="283"/>
        <v>0.44204598797335909</v>
      </c>
      <c r="L97" s="17">
        <f t="shared" si="279"/>
        <v>0.59080199691148994</v>
      </c>
      <c r="M97" s="17">
        <f t="shared" si="279"/>
        <v>0.73489712664043549</v>
      </c>
      <c r="N97" s="17">
        <f t="shared" si="279"/>
        <v>0.78947256685690792</v>
      </c>
      <c r="P97" s="6">
        <f t="shared" si="270"/>
        <v>0.29798809605332599</v>
      </c>
      <c r="Q97" s="6">
        <f t="shared" si="270"/>
        <v>0.30169731010405854</v>
      </c>
      <c r="R97" s="6">
        <f t="shared" si="270"/>
        <v>0.29048495128243912</v>
      </c>
      <c r="S97" s="6">
        <f t="shared" si="270"/>
        <v>0.29341567426743459</v>
      </c>
      <c r="T97" s="6">
        <f t="shared" si="270"/>
        <v>0.32975567761286251</v>
      </c>
      <c r="U97" s="6">
        <f t="shared" si="270"/>
        <v>0.4420459879733592</v>
      </c>
      <c r="V97" s="6">
        <f t="shared" ref="V97:W97" si="290">V81/V68</f>
        <v>0.59080199691149016</v>
      </c>
      <c r="W97" s="6">
        <f t="shared" si="290"/>
        <v>0.73489712664043561</v>
      </c>
      <c r="X97" s="6">
        <f t="shared" si="270"/>
        <v>0.78947256685690803</v>
      </c>
      <c r="Z97" s="6">
        <f t="shared" si="272"/>
        <v>0.29798809605332599</v>
      </c>
      <c r="AA97" s="6">
        <f t="shared" si="273"/>
        <v>0.30169731010405854</v>
      </c>
      <c r="AB97" s="6">
        <f t="shared" si="274"/>
        <v>0.29048495128243912</v>
      </c>
      <c r="AC97" s="6">
        <f t="shared" si="275"/>
        <v>0.29341567426743459</v>
      </c>
      <c r="AD97" s="6">
        <f t="shared" ref="AD97:AH97" si="291">AD81/AD68</f>
        <v>0.31326759455943615</v>
      </c>
      <c r="AE97" s="6">
        <f t="shared" si="291"/>
        <v>0.39894612314956862</v>
      </c>
      <c r="AF97" s="6">
        <f t="shared" ref="AF97:AG97" si="292">AF81/AF68</f>
        <v>0.50643866594456333</v>
      </c>
      <c r="AG97" s="6">
        <f t="shared" si="292"/>
        <v>0.5985517338722175</v>
      </c>
      <c r="AH97" s="6">
        <f t="shared" si="291"/>
        <v>0.61069315849567951</v>
      </c>
    </row>
    <row r="98" spans="1:77">
      <c r="A98" t="s">
        <v>16</v>
      </c>
      <c r="B98" s="3" t="s">
        <v>401</v>
      </c>
      <c r="C98" s="3" t="s">
        <v>750</v>
      </c>
      <c r="D98" t="s">
        <v>138</v>
      </c>
      <c r="E98" t="s">
        <v>401</v>
      </c>
      <c r="F98" s="264">
        <f>'BY-DMD'!I93</f>
        <v>6.6621877646371201</v>
      </c>
      <c r="G98" s="17">
        <f>G55/F55*F98</f>
        <v>6.9016562286169734</v>
      </c>
      <c r="H98" s="17">
        <f t="shared" si="283"/>
        <v>6.7116128591697501</v>
      </c>
      <c r="I98" s="17">
        <f>I55/H55*H98</f>
        <v>6.8240748222214735</v>
      </c>
      <c r="J98" s="17">
        <f t="shared" si="283"/>
        <v>7.3724228242959535</v>
      </c>
      <c r="K98" s="17">
        <f t="shared" si="283"/>
        <v>9.8829228801006348</v>
      </c>
      <c r="L98" s="17">
        <f t="shared" si="279"/>
        <v>13.208694868276012</v>
      </c>
      <c r="M98" s="17">
        <f t="shared" si="279"/>
        <v>16.430262517918589</v>
      </c>
      <c r="N98" s="17">
        <f t="shared" si="279"/>
        <v>17.650418070692083</v>
      </c>
      <c r="P98" s="6">
        <f t="shared" si="270"/>
        <v>6.6621877646371193</v>
      </c>
      <c r="Q98" s="6">
        <f t="shared" si="270"/>
        <v>6.7451155083708443</v>
      </c>
      <c r="R98" s="6">
        <f t="shared" si="270"/>
        <v>6.7559139341477668</v>
      </c>
      <c r="S98" s="6">
        <f t="shared" si="270"/>
        <v>6.5599610888732851</v>
      </c>
      <c r="T98" s="6">
        <f t="shared" si="270"/>
        <v>7.3724228242959535</v>
      </c>
      <c r="U98" s="6">
        <f t="shared" si="270"/>
        <v>9.882922880100633</v>
      </c>
      <c r="V98" s="6">
        <f t="shared" ref="V98:W98" si="293">V82/V69</f>
        <v>13.208694868276011</v>
      </c>
      <c r="W98" s="6">
        <f t="shared" si="293"/>
        <v>16.430262517918592</v>
      </c>
      <c r="X98" s="6">
        <f t="shared" si="270"/>
        <v>17.650418070692083</v>
      </c>
      <c r="Z98" s="6">
        <f t="shared" si="272"/>
        <v>6.6621877646371193</v>
      </c>
      <c r="AA98" s="6">
        <f t="shared" si="273"/>
        <v>6.7451155083708443</v>
      </c>
      <c r="AB98" s="6">
        <f t="shared" si="274"/>
        <v>6.7559139341477668</v>
      </c>
      <c r="AC98" s="6">
        <f t="shared" si="275"/>
        <v>6.5599610888732851</v>
      </c>
      <c r="AD98" s="6">
        <f t="shared" ref="AD98:AH98" si="294">AD82/AD69</f>
        <v>7.0037949944070688</v>
      </c>
      <c r="AE98" s="6">
        <f t="shared" si="294"/>
        <v>8.9193293812677563</v>
      </c>
      <c r="AF98" s="6">
        <f t="shared" ref="AF98:AG98" si="295">AF82/AF69</f>
        <v>11.322564654365346</v>
      </c>
      <c r="AG98" s="6">
        <f t="shared" si="295"/>
        <v>13.381957503403807</v>
      </c>
      <c r="AH98" s="6">
        <f t="shared" si="294"/>
        <v>13.653406100320966</v>
      </c>
    </row>
    <row r="99" spans="1:77">
      <c r="A99" t="s">
        <v>16</v>
      </c>
      <c r="B99" s="3" t="s">
        <v>402</v>
      </c>
      <c r="C99" s="3" t="s">
        <v>751</v>
      </c>
      <c r="D99" t="s">
        <v>138</v>
      </c>
      <c r="E99" t="s">
        <v>402</v>
      </c>
      <c r="F99" s="264">
        <f>'BY-DMD'!I94</f>
        <v>2.2261566306639899</v>
      </c>
      <c r="G99" s="17">
        <f t="shared" si="283"/>
        <v>2.2538667693002417</v>
      </c>
      <c r="H99" s="17">
        <f t="shared" si="283"/>
        <v>2.1701034671189854</v>
      </c>
      <c r="I99" s="17">
        <f t="shared" si="283"/>
        <v>2.1919977927383534</v>
      </c>
      <c r="J99" s="17">
        <f t="shared" si="283"/>
        <v>2.4634802461558847</v>
      </c>
      <c r="K99" s="17">
        <f t="shared" si="283"/>
        <v>3.3023587862020043</v>
      </c>
      <c r="L99" s="17">
        <f t="shared" si="279"/>
        <v>4.4136588013189515</v>
      </c>
      <c r="M99" s="17">
        <f t="shared" si="279"/>
        <v>5.4901391464770217</v>
      </c>
      <c r="N99" s="17">
        <f t="shared" si="279"/>
        <v>5.8978516682804569</v>
      </c>
      <c r="P99" s="6">
        <f t="shared" si="270"/>
        <v>2.2261566306639899</v>
      </c>
      <c r="Q99" s="6">
        <f t="shared" si="270"/>
        <v>2.2538667693002417</v>
      </c>
      <c r="R99" s="6">
        <f t="shared" si="270"/>
        <v>2.1701034671189854</v>
      </c>
      <c r="S99" s="6">
        <f t="shared" si="270"/>
        <v>2.1919977927383534</v>
      </c>
      <c r="T99" s="6">
        <f t="shared" si="270"/>
        <v>2.4634802461558847</v>
      </c>
      <c r="U99" s="6">
        <f t="shared" si="270"/>
        <v>3.3023587862020047</v>
      </c>
      <c r="V99" s="6">
        <f t="shared" ref="V99:W99" si="296">V83/V70</f>
        <v>4.4136588013189524</v>
      </c>
      <c r="W99" s="6">
        <f t="shared" si="296"/>
        <v>5.4901391464770217</v>
      </c>
      <c r="X99" s="6">
        <f t="shared" si="270"/>
        <v>5.8978516682804569</v>
      </c>
      <c r="Z99" s="6">
        <f t="shared" si="272"/>
        <v>2.2261566306639899</v>
      </c>
      <c r="AA99" s="6">
        <f t="shared" si="273"/>
        <v>2.2538667693002417</v>
      </c>
      <c r="AB99" s="6">
        <f t="shared" si="274"/>
        <v>2.1701034671189854</v>
      </c>
      <c r="AC99" s="6">
        <f t="shared" si="275"/>
        <v>2.1919977927383534</v>
      </c>
      <c r="AD99" s="6">
        <f t="shared" ref="AD99:AH99" si="297">AD83/AD70</f>
        <v>2.3403039988411085</v>
      </c>
      <c r="AE99" s="6">
        <f t="shared" si="297"/>
        <v>2.9803759582670479</v>
      </c>
      <c r="AF99" s="6">
        <f t="shared" ref="AF99:AG99" si="298">AF83/AF70</f>
        <v>3.7834121870940796</v>
      </c>
      <c r="AG99" s="6">
        <f t="shared" si="298"/>
        <v>4.4715541620716772</v>
      </c>
      <c r="AH99" s="6">
        <f t="shared" si="297"/>
        <v>4.5622581643093705</v>
      </c>
    </row>
    <row r="100" spans="1:77">
      <c r="A100" t="s">
        <v>16</v>
      </c>
      <c r="B100" s="3" t="s">
        <v>403</v>
      </c>
      <c r="C100" s="3" t="s">
        <v>752</v>
      </c>
      <c r="D100" t="s">
        <v>138</v>
      </c>
      <c r="E100" t="s">
        <v>403</v>
      </c>
      <c r="F100" s="264">
        <f>'BY-DMD'!I95</f>
        <v>0.122213678849837</v>
      </c>
      <c r="G100" s="17">
        <f t="shared" si="283"/>
        <v>0.12373493658054988</v>
      </c>
      <c r="H100" s="17">
        <f t="shared" si="283"/>
        <v>0.11913641859166579</v>
      </c>
      <c r="I100" s="17">
        <f t="shared" si="283"/>
        <v>0.12033839424918329</v>
      </c>
      <c r="J100" s="17">
        <f t="shared" si="283"/>
        <v>0.13524249799386892</v>
      </c>
      <c r="K100" s="17">
        <f t="shared" si="283"/>
        <v>0.18129605553561184</v>
      </c>
      <c r="L100" s="17">
        <f t="shared" si="279"/>
        <v>0.24230526813212727</v>
      </c>
      <c r="M100" s="17">
        <f t="shared" si="279"/>
        <v>0.30140291713810463</v>
      </c>
      <c r="N100" s="17">
        <f t="shared" si="279"/>
        <v>0.32378590965372123</v>
      </c>
      <c r="P100" s="6">
        <f t="shared" si="270"/>
        <v>0.122213678849837</v>
      </c>
      <c r="Q100" s="6">
        <f t="shared" si="270"/>
        <v>0.12373493658054986</v>
      </c>
      <c r="R100" s="6">
        <f t="shared" si="270"/>
        <v>0.11913641859166579</v>
      </c>
      <c r="S100" s="6">
        <f t="shared" si="270"/>
        <v>0.12033839424918327</v>
      </c>
      <c r="T100" s="6">
        <f t="shared" si="270"/>
        <v>0.13524249799386895</v>
      </c>
      <c r="U100" s="6">
        <f t="shared" si="270"/>
        <v>0.18129605553561187</v>
      </c>
      <c r="V100" s="6">
        <f t="shared" ref="V100:W100" si="299">V84/V71</f>
        <v>0.24230526813212724</v>
      </c>
      <c r="W100" s="6">
        <f t="shared" si="299"/>
        <v>0.30140291713810469</v>
      </c>
      <c r="X100" s="6">
        <f t="shared" si="270"/>
        <v>0.32378590965372128</v>
      </c>
      <c r="Z100" s="6">
        <f t="shared" si="272"/>
        <v>0.122213678849837</v>
      </c>
      <c r="AA100" s="6">
        <f t="shared" si="273"/>
        <v>0.12373493658054986</v>
      </c>
      <c r="AB100" s="6">
        <f t="shared" si="274"/>
        <v>0.11913641859166579</v>
      </c>
      <c r="AC100" s="6">
        <f t="shared" si="275"/>
        <v>0.12033839424918327</v>
      </c>
      <c r="AD100" s="6">
        <f t="shared" ref="AD100:AH100" si="300">AD84/AD71</f>
        <v>0.1284802503946216</v>
      </c>
      <c r="AE100" s="6">
        <f t="shared" si="300"/>
        <v>0.1636195338630699</v>
      </c>
      <c r="AF100" s="6">
        <f t="shared" ref="AF100:AG100" si="301">AF84/AF71</f>
        <v>0.2077053858749198</v>
      </c>
      <c r="AG100" s="6">
        <f t="shared" si="301"/>
        <v>0.24548366309700378</v>
      </c>
      <c r="AH100" s="6">
        <f t="shared" si="300"/>
        <v>0.25046321828516049</v>
      </c>
    </row>
    <row r="101" spans="1:77">
      <c r="A101" t="s">
        <v>16</v>
      </c>
      <c r="B101" s="3" t="s">
        <v>404</v>
      </c>
      <c r="C101" s="3" t="s">
        <v>753</v>
      </c>
      <c r="D101" t="s">
        <v>138</v>
      </c>
      <c r="E101" t="s">
        <v>404</v>
      </c>
      <c r="F101" s="264">
        <f>'BY-DMD'!I96</f>
        <v>2.9412068148240201E-2</v>
      </c>
      <c r="G101" s="17">
        <f t="shared" si="283"/>
        <v>2.9778175579649242E-2</v>
      </c>
      <c r="H101" s="17">
        <f t="shared" si="283"/>
        <v>2.8671491567328906E-2</v>
      </c>
      <c r="I101" s="17">
        <f t="shared" si="283"/>
        <v>2.8960760250541256E-2</v>
      </c>
      <c r="J101" s="17">
        <f t="shared" si="283"/>
        <v>3.2547597003616556E-2</v>
      </c>
      <c r="K101" s="17">
        <f t="shared" si="283"/>
        <v>4.363089296225426E-2</v>
      </c>
      <c r="L101" s="17">
        <f t="shared" si="279"/>
        <v>5.8313432064640319E-2</v>
      </c>
      <c r="M101" s="17">
        <f t="shared" si="279"/>
        <v>7.2535932330754407E-2</v>
      </c>
      <c r="N101" s="17">
        <f t="shared" si="279"/>
        <v>7.7922646055653813E-2</v>
      </c>
      <c r="P101" s="6">
        <f>P85/P72</f>
        <v>2.9412068148240201E-2</v>
      </c>
      <c r="Q101" s="6">
        <f t="shared" ref="Q101:X101" si="302">Q85/Q72</f>
        <v>2.9778175579649246E-2</v>
      </c>
      <c r="R101" s="6">
        <f t="shared" si="302"/>
        <v>2.867149156732891E-2</v>
      </c>
      <c r="S101" s="6">
        <f t="shared" si="302"/>
        <v>2.896076025054126E-2</v>
      </c>
      <c r="T101" s="6">
        <f t="shared" si="302"/>
        <v>3.2547597003616563E-2</v>
      </c>
      <c r="U101" s="6">
        <f t="shared" si="302"/>
        <v>4.363089296225426E-2</v>
      </c>
      <c r="V101" s="6">
        <f t="shared" ref="V101:W101" si="303">V85/V72</f>
        <v>5.8313432064640326E-2</v>
      </c>
      <c r="W101" s="6">
        <f t="shared" si="303"/>
        <v>7.2535932330754421E-2</v>
      </c>
      <c r="X101" s="6">
        <f t="shared" si="302"/>
        <v>7.7922646055653827E-2</v>
      </c>
      <c r="Z101" s="6">
        <f t="shared" si="272"/>
        <v>2.9412068148240201E-2</v>
      </c>
      <c r="AA101" s="6">
        <f t="shared" si="273"/>
        <v>2.9778175579649246E-2</v>
      </c>
      <c r="AB101" s="6">
        <f t="shared" si="274"/>
        <v>2.867149156732891E-2</v>
      </c>
      <c r="AC101" s="6">
        <f t="shared" si="275"/>
        <v>2.896076025054126E-2</v>
      </c>
      <c r="AD101" s="6">
        <f t="shared" ref="AD101:AH101" si="304">AD85/AD72</f>
        <v>3.09201876244364E-2</v>
      </c>
      <c r="AE101" s="6">
        <f t="shared" si="304"/>
        <v>3.9376843293268758E-2</v>
      </c>
      <c r="AF101" s="6">
        <f t="shared" ref="AF101:AG101" si="305">AF85/AF72</f>
        <v>4.9986589239456591E-2</v>
      </c>
      <c r="AG101" s="6">
        <f t="shared" si="305"/>
        <v>5.9078347826842639E-2</v>
      </c>
      <c r="AH101" s="6">
        <f t="shared" si="304"/>
        <v>6.0276732638758344E-2</v>
      </c>
    </row>
    <row r="102" spans="1:77">
      <c r="A102" t="s">
        <v>16</v>
      </c>
      <c r="B102" s="3" t="s">
        <v>366</v>
      </c>
      <c r="C102" s="3" t="s">
        <v>754</v>
      </c>
      <c r="D102" t="s">
        <v>137</v>
      </c>
      <c r="E102" t="s">
        <v>366</v>
      </c>
      <c r="F102" s="264">
        <f>'BY-DMD'!I97</f>
        <v>22</v>
      </c>
      <c r="G102" s="17">
        <f t="shared" ref="G102:N102" si="306">G59</f>
        <v>19.218049126986699</v>
      </c>
      <c r="H102" s="6">
        <f t="shared" si="306"/>
        <v>17.206637381742077</v>
      </c>
      <c r="I102" s="6">
        <f t="shared" si="306"/>
        <v>16.506720027229584</v>
      </c>
      <c r="J102" s="6">
        <f t="shared" si="306"/>
        <v>24.345351386737054</v>
      </c>
      <c r="K102" s="6">
        <f t="shared" si="306"/>
        <v>32.635571233266909</v>
      </c>
      <c r="L102" s="6">
        <f t="shared" ref="L102:M102" si="307">L59</f>
        <v>43.617997175722103</v>
      </c>
      <c r="M102" s="6">
        <f t="shared" si="307"/>
        <v>54.256317618796132</v>
      </c>
      <c r="N102" s="6">
        <f t="shared" si="306"/>
        <v>58.285537915393242</v>
      </c>
      <c r="P102" s="6"/>
    </row>
    <row r="103" spans="1:77">
      <c r="A103" t="s">
        <v>16</v>
      </c>
      <c r="B103" s="3" t="s">
        <v>368</v>
      </c>
      <c r="C103" s="3" t="s">
        <v>755</v>
      </c>
      <c r="D103" t="s">
        <v>137</v>
      </c>
      <c r="E103" t="s">
        <v>368</v>
      </c>
      <c r="F103" s="264">
        <f>'BY-DMD'!I98</f>
        <v>27.142505514316699</v>
      </c>
      <c r="G103" s="17">
        <f t="shared" ref="G103:N103" si="308">G47</f>
        <v>26.703251105538467</v>
      </c>
      <c r="H103" s="6">
        <f t="shared" si="308"/>
        <v>25.710844401627732</v>
      </c>
      <c r="I103" s="6">
        <f t="shared" si="308"/>
        <v>25.970242908568729</v>
      </c>
      <c r="J103" s="6">
        <f t="shared" si="308"/>
        <v>29.186699277286003</v>
      </c>
      <c r="K103" s="6">
        <f t="shared" si="308"/>
        <v>39.125522905647053</v>
      </c>
      <c r="L103" s="6">
        <f t="shared" ref="L103:M103" si="309">L47</f>
        <v>52.291928196972172</v>
      </c>
      <c r="M103" s="6">
        <f t="shared" si="309"/>
        <v>65.045798726709492</v>
      </c>
      <c r="N103" s="6">
        <f t="shared" si="308"/>
        <v>69.876274954002042</v>
      </c>
      <c r="P103" s="6"/>
    </row>
    <row r="104" spans="1:77">
      <c r="A104" t="s">
        <v>16</v>
      </c>
      <c r="B104" s="3" t="s">
        <v>367</v>
      </c>
      <c r="C104" s="3" t="s">
        <v>756</v>
      </c>
      <c r="D104" t="s">
        <v>137</v>
      </c>
      <c r="E104" t="s">
        <v>367</v>
      </c>
      <c r="F104" s="264">
        <f>'BY-DMD'!I99</f>
        <v>88.672727178245694</v>
      </c>
      <c r="G104" s="17">
        <f>F104*(1+(F25+G25)/2*((G8/F8)^(1/(G$4-F$4))-1))^(G$4-F$4)</f>
        <v>87.357882681535756</v>
      </c>
      <c r="H104" s="17">
        <f t="shared" ref="H104:N104" si="310">G104*(1+(G25+H25)/2*((H8/G8)^(1/(H$4-G$4))-1))^(H$4-G$4)</f>
        <v>84.559607459462228</v>
      </c>
      <c r="I104" s="17">
        <f t="shared" si="310"/>
        <v>86.9457419513449</v>
      </c>
      <c r="J104" s="17">
        <f t="shared" si="310"/>
        <v>91.870107239718436</v>
      </c>
      <c r="K104" s="17">
        <f t="shared" si="310"/>
        <v>112.58429272743091</v>
      </c>
      <c r="L104" s="17">
        <f t="shared" si="310"/>
        <v>148.41084013675146</v>
      </c>
      <c r="M104" s="17">
        <f t="shared" si="310"/>
        <v>183.24497714602427</v>
      </c>
      <c r="N104" s="17">
        <f t="shared" si="310"/>
        <v>196.27767980712804</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594</v>
      </c>
      <c r="J106" s="101" t="s">
        <v>623</v>
      </c>
      <c r="K106" s="101" t="s">
        <v>624</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375</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378</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20"/>
        <v/>
      </c>
      <c r="C112" s="16" t="str">
        <f t="shared" si="321"/>
        <v/>
      </c>
      <c r="D112" s="43" t="s">
        <v>396</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20"/>
        <v/>
      </c>
      <c r="C113" s="16" t="str">
        <f t="shared" si="321"/>
        <v/>
      </c>
      <c r="D113" s="43" t="s">
        <v>397</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20"/>
        <v/>
      </c>
      <c r="C114" s="16" t="str">
        <f t="shared" si="321"/>
        <v/>
      </c>
      <c r="D114" s="43" t="s">
        <v>398</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20"/>
        <v/>
      </c>
      <c r="C115" s="16" t="str">
        <f t="shared" si="321"/>
        <v/>
      </c>
      <c r="D115" s="43" t="s">
        <v>399</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20"/>
        <v/>
      </c>
      <c r="C116" s="16" t="str">
        <f t="shared" si="321"/>
        <v/>
      </c>
      <c r="D116" s="43" t="s">
        <v>400</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20"/>
        <v/>
      </c>
      <c r="C117" s="16" t="str">
        <f t="shared" si="321"/>
        <v/>
      </c>
      <c r="D117" s="43" t="s">
        <v>401</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20"/>
        <v/>
      </c>
      <c r="C118" s="16" t="str">
        <f t="shared" si="321"/>
        <v/>
      </c>
      <c r="D118" s="43" t="s">
        <v>402</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20"/>
        <v/>
      </c>
      <c r="C119" s="16" t="str">
        <f t="shared" si="321"/>
        <v/>
      </c>
      <c r="D119" s="43" t="s">
        <v>403</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20"/>
        <v/>
      </c>
      <c r="C120" s="16" t="str">
        <f t="shared" si="321"/>
        <v/>
      </c>
      <c r="D120" s="43" t="s">
        <v>404</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20"/>
        <v/>
      </c>
      <c r="C121" s="16" t="str">
        <f t="shared" si="321"/>
        <v/>
      </c>
      <c r="D121" s="43" t="s">
        <v>366</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20"/>
        <v/>
      </c>
      <c r="C122" s="16" t="str">
        <f t="shared" si="321"/>
        <v/>
      </c>
      <c r="D122" s="43" t="s">
        <v>368</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20"/>
        <v/>
      </c>
      <c r="C123" s="16" t="str">
        <f t="shared" si="321"/>
        <v/>
      </c>
      <c r="D123" s="43" t="s">
        <v>367</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86.9457419513449</v>
      </c>
      <c r="T123" s="3" cm="1">
        <f t="array" ref="T123">IF(T$110=-1,U123,IF(T$110=99,S123,IF(T$110=0,INDEX($F104:$N104,0,T$108),(INDEX($F104:$N104,0,T$110+1)-INDEX($F104:$N104,0,T$110))/(INDEX($F$4:$N$4,0,T$110+1)-INDEX($F$4:$N$4,0,T$110))+S123)))</f>
        <v>87.492893650053077</v>
      </c>
      <c r="U123" s="3" cm="1">
        <f t="array" ref="U123">IF(U$110=-1,V123,IF(U$110=99,T123,IF(U$110=0,INDEX($F104:$N104,0,U$108),(INDEX($F104:$N104,0,U$110+1)-INDEX($F104:$N104,0,U$110))/(INDEX($F$4:$N$4,0,U$110+1)-INDEX($F$4:$N$4,0,U$110))+T123)))</f>
        <v>88.040045348761254</v>
      </c>
      <c r="V123" s="3" cm="1">
        <f t="array" ref="V123">IF(V$110=-1,W123,IF(V$110=99,U123,IF(V$110=0,INDEX($F104:$N104,0,V$108),(INDEX($F104:$N104,0,V$110+1)-INDEX($F104:$N104,0,V$110))/(INDEX($F$4:$N$4,0,V$110+1)-INDEX($F$4:$N$4,0,V$110))+U123)))</f>
        <v>88.587197047469431</v>
      </c>
      <c r="W123" s="3" cm="1">
        <f t="array" ref="W123">IF(W$110=-1,X123,IF(W$110=99,V123,IF(W$110=0,INDEX($F104:$N104,0,W$108),(INDEX($F104:$N104,0,W$110+1)-INDEX($F104:$N104,0,W$110))/(INDEX($F$4:$N$4,0,W$110+1)-INDEX($F$4:$N$4,0,W$110))+V123)))</f>
        <v>89.134348746177608</v>
      </c>
      <c r="X123" s="3" cm="1">
        <f t="array" ref="X123">IF(X$110=-1,Y123,IF(X$110=99,W123,IF(X$110=0,INDEX($F104:$N104,0,X$108),(INDEX($F104:$N104,0,X$110+1)-INDEX($F104:$N104,0,X$110))/(INDEX($F$4:$N$4,0,X$110+1)-INDEX($F$4:$N$4,0,X$110))+W123)))</f>
        <v>89.681500444885785</v>
      </c>
      <c r="Y123" s="3" cm="1">
        <f t="array" ref="Y123">IF(Y$110=-1,Z123,IF(Y$110=99,X123,IF(Y$110=0,INDEX($F104:$N104,0,Y$108),(INDEX($F104:$N104,0,Y$110+1)-INDEX($F104:$N104,0,Y$110))/(INDEX($F$4:$N$4,0,Y$110+1)-INDEX($F$4:$N$4,0,Y$110))+X123)))</f>
        <v>90.228652143593962</v>
      </c>
      <c r="Z123" s="3" cm="1">
        <f t="array" ref="Z123">IF(Z$110=-1,AC123,IF(Z$110=99,Y123,IF(Z$110=0,INDEX($F104:$N104,0,Z$108),(INDEX($F104:$N104,0,Z$110+1)-INDEX($F104:$N104,0,Z$110))/(INDEX($F$4:$N$4,0,Z$110+1)-INDEX($F$4:$N$4,0,Z$110))+Y123)))</f>
        <v>90.775803842302139</v>
      </c>
      <c r="AA123" s="3" cm="1">
        <f t="array" ref="AA123">IF(AA$110=-1,AB123,IF(AA$110=99,X123,IF(AA$110=0,INDEX($F104:$N104,0,AA$108),(INDEX($F104:$N104,0,AA$110+1)-INDEX($F104:$N104,0,AA$110))/(INDEX($F$4:$N$4,0,AA$110+1)-INDEX($F$4:$N$4,0,AA$110))+X123)))</f>
        <v>90.228652143593962</v>
      </c>
      <c r="AB123" s="3" cm="1">
        <f t="array" ref="AB123">IF(AB$110=-1,AC123,IF(AB$110=99,Y123,IF(AB$110=0,INDEX($F104:$N104,0,AB$108),(INDEX($F104:$N104,0,AB$110+1)-INDEX($F104:$N104,0,AB$110))/(INDEX($F$4:$N$4,0,AB$110+1)-INDEX($F$4:$N$4,0,AB$110))+Y123)))</f>
        <v>90.775803842302139</v>
      </c>
      <c r="AC123" s="3" cm="1">
        <f t="array" ref="AC123">IF(AC$110=-1,AD123,IF(AC$110=99,Z123,IF(AC$110=0,INDEX($F104:$N104,0,AC$108),(INDEX($F104:$N104,0,AC$110+1)-INDEX($F104:$N104,0,AC$110))/(INDEX($F$4:$N$4,0,AC$110+1)-INDEX($F$4:$N$4,0,AC$110))+Z123)))</f>
        <v>91.322955541010316</v>
      </c>
      <c r="AD123" s="3" cm="1">
        <f t="array" ref="AD123">IF(AD$110=-1,AE123,IF(AD$110=99,AC123,IF(AD$110=0,INDEX($F104:$N104,0,AD$108),(INDEX($F104:$N104,0,AD$110+1)-INDEX($F104:$N104,0,AD$110))/(INDEX($F$4:$N$4,0,AD$110+1)-INDEX($F$4:$N$4,0,AD$110))+AC123)))</f>
        <v>91.870107239718436</v>
      </c>
      <c r="AE123" s="3" cm="1">
        <f t="array" ref="AE123">IF(AE$110=-1,AF123,IF(AE$110=99,AD123,IF(AE$110=0,INDEX($F104:$N104,0,AE$108),(INDEX($F104:$N104,0,AE$110+1)-INDEX($F104:$N104,0,AE$110))/(INDEX($F$4:$N$4,0,AE$110+1)-INDEX($F$4:$N$4,0,AE$110))+AD123)))</f>
        <v>93.941525788489685</v>
      </c>
      <c r="AF123" s="3" cm="1">
        <f t="array" ref="AF123">IF(AF$110=-1,AG123,IF(AF$110=99,AE123,IF(AF$110=0,INDEX($F104:$N104,0,AF$108),(INDEX($F104:$N104,0,AF$110+1)-INDEX($F104:$N104,0,AF$110))/(INDEX($F$4:$N$4,0,AF$110+1)-INDEX($F$4:$N$4,0,AF$110))+AE123)))</f>
        <v>96.012944337260933</v>
      </c>
      <c r="AG123" s="3" cm="1">
        <f t="array" ref="AG123">IF(AG$110=-1,AH123,IF(AG$110=99,AF123,IF(AG$110=0,INDEX($F104:$N104,0,AG$108),(INDEX($F104:$N104,0,AG$110+1)-INDEX($F104:$N104,0,AG$110))/(INDEX($F$4:$N$4,0,AG$110+1)-INDEX($F$4:$N$4,0,AG$110))+AF123)))</f>
        <v>98.084362886032181</v>
      </c>
      <c r="AH123" s="3" cm="1">
        <f t="array" ref="AH123">IF(AH$110=-1,AI123,IF(AH$110=99,AG123,IF(AH$110=0,INDEX($F104:$N104,0,AH$108),(INDEX($F104:$N104,0,AH$110+1)-INDEX($F104:$N104,0,AH$110))/(INDEX($F$4:$N$4,0,AH$110+1)-INDEX($F$4:$N$4,0,AH$110))+AG123)))</f>
        <v>100.15578143480343</v>
      </c>
      <c r="AI123" s="3" cm="1">
        <f t="array" ref="AI123">IF(AI$110=-1,AJ123,IF(AI$110=99,AH123,IF(AI$110=0,INDEX($F104:$N104,0,AI$108),(INDEX($F104:$N104,0,AI$110+1)-INDEX($F104:$N104,0,AI$110))/(INDEX($F$4:$N$4,0,AI$110+1)-INDEX($F$4:$N$4,0,AI$110))+AH123)))</f>
        <v>102.22719998357468</v>
      </c>
      <c r="AJ123" s="3" cm="1">
        <f t="array" ref="AJ123">IF(AJ$110=-1,AK123,IF(AJ$110=99,AI123,IF(AJ$110=0,INDEX($F104:$N104,0,AJ$108),(INDEX($F104:$N104,0,AJ$110+1)-INDEX($F104:$N104,0,AJ$110))/(INDEX($F$4:$N$4,0,AJ$110+1)-INDEX($F$4:$N$4,0,AJ$110))+AI123)))</f>
        <v>104.29861853234593</v>
      </c>
      <c r="AK123" s="3" cm="1">
        <f t="array" ref="AK123">IF(AK$110=-1,AL123,IF(AK$110=99,AJ123,IF(AK$110=0,INDEX($F104:$N104,0,AK$108),(INDEX($F104:$N104,0,AK$110+1)-INDEX($F104:$N104,0,AK$110))/(INDEX($F$4:$N$4,0,AK$110+1)-INDEX($F$4:$N$4,0,AK$110))+AJ123)))</f>
        <v>106.37003708111718</v>
      </c>
      <c r="AL123" s="3" cm="1">
        <f t="array" ref="AL123">IF(AL$110=-1,AM123,IF(AL$110=99,AK123,IF(AL$110=0,INDEX($F104:$N104,0,AL$108),(INDEX($F104:$N104,0,AL$110+1)-INDEX($F104:$N104,0,AL$110))/(INDEX($F$4:$N$4,0,AL$110+1)-INDEX($F$4:$N$4,0,AL$110))+AK123)))</f>
        <v>108.44145562988842</v>
      </c>
      <c r="AM123" s="3" cm="1">
        <f t="array" ref="AM123">IF(AM$110=-1,AN123,IF(AM$110=99,AL123,IF(AM$110=0,INDEX($F104:$N104,0,AM$108),(INDEX($F104:$N104,0,AM$110+1)-INDEX($F104:$N104,0,AM$110))/(INDEX($F$4:$N$4,0,AM$110+1)-INDEX($F$4:$N$4,0,AM$110))+AL123)))</f>
        <v>110.51287417865967</v>
      </c>
      <c r="AN123" s="3" cm="1">
        <f t="array" ref="AN123">IF(AN$110=-1,AO123,IF(AN$110=99,AM123,IF(AN$110=0,INDEX($F104:$N104,0,AN$108),(INDEX($F104:$N104,0,AN$110+1)-INDEX($F104:$N104,0,AN$110))/(INDEX($F$4:$N$4,0,AN$110+1)-INDEX($F$4:$N$4,0,AN$110))+AM123)))</f>
        <v>112.58429272743091</v>
      </c>
      <c r="AO123" s="3" cm="1">
        <f t="array" ref="AO123">IF(AO$110=-1,AP123,IF(AO$110=99,AN123,IF(AO$110=0,INDEX($F104:$N104,0,AO$108),(INDEX($F104:$N104,0,AO$110+1)-INDEX($F104:$N104,0,AO$110))/(INDEX($F$4:$N$4,0,AO$110+1)-INDEX($F$4:$N$4,0,AO$110))+AN123)))</f>
        <v>116.16694746836296</v>
      </c>
      <c r="AP123" s="3" cm="1">
        <f t="array" ref="AP123">IF(AP$110=-1,AQ123,IF(AP$110=99,AO123,IF(AP$110=0,INDEX($F104:$N104,0,AP$108),(INDEX($F104:$N104,0,AP$110+1)-INDEX($F104:$N104,0,AP$110))/(INDEX($F$4:$N$4,0,AP$110+1)-INDEX($F$4:$N$4,0,AP$110))+AO123)))</f>
        <v>119.74960220929502</v>
      </c>
      <c r="AQ123" s="3" cm="1">
        <f t="array" ref="AQ123">IF(AQ$110=-1,AR123,IF(AQ$110=99,AP123,IF(AQ$110=0,INDEX($F104:$N104,0,AQ$108),(INDEX($F104:$N104,0,AQ$110+1)-INDEX($F104:$N104,0,AQ$110))/(INDEX($F$4:$N$4,0,AQ$110+1)-INDEX($F$4:$N$4,0,AQ$110))+AP123)))</f>
        <v>123.33225695022708</v>
      </c>
      <c r="AR123" s="3" cm="1">
        <f t="array" ref="AR123">IF(AR$110=-1,AS123,IF(AR$110=99,AQ123,IF(AR$110=0,INDEX($F104:$N104,0,AR$108),(INDEX($F104:$N104,0,AR$110+1)-INDEX($F104:$N104,0,AR$110))/(INDEX($F$4:$N$4,0,AR$110+1)-INDEX($F$4:$N$4,0,AR$110))+AQ123)))</f>
        <v>126.91491169115913</v>
      </c>
      <c r="AS123" s="3" cm="1">
        <f t="array" ref="AS123">IF(AS$110=-1,AT123,IF(AS$110=99,AR123,IF(AS$110=0,INDEX($F104:$N104,0,AS$108),(INDEX($F104:$N104,0,AS$110+1)-INDEX($F104:$N104,0,AS$110))/(INDEX($F$4:$N$4,0,AS$110+1)-INDEX($F$4:$N$4,0,AS$110))+AR123)))</f>
        <v>130.49756643209119</v>
      </c>
      <c r="AT123" s="3" cm="1">
        <f t="array" ref="AT123">IF(AT$110=-1,AU123,IF(AT$110=99,AS123,IF(AT$110=0,INDEX($F104:$N104,0,AT$108),(INDEX($F104:$N104,0,AT$110+1)-INDEX($F104:$N104,0,AT$110))/(INDEX($F$4:$N$4,0,AT$110+1)-INDEX($F$4:$N$4,0,AT$110))+AS123)))</f>
        <v>134.08022117302323</v>
      </c>
      <c r="AU123" s="3" cm="1">
        <f t="array" ref="AU123">IF(AU$110=-1,AV123,IF(AU$110=99,AT123,IF(AU$110=0,INDEX($F104:$N104,0,AU$108),(INDEX($F104:$N104,0,AU$110+1)-INDEX($F104:$N104,0,AU$110))/(INDEX($F$4:$N$4,0,AU$110+1)-INDEX($F$4:$N$4,0,AU$110))+AT123)))</f>
        <v>137.66287591395528</v>
      </c>
      <c r="AV123" s="3" cm="1">
        <f t="array" ref="AV123">IF(AV$110=-1,AW123,IF(AV$110=99,AU123,IF(AV$110=0,INDEX($F104:$N104,0,AV$108),(INDEX($F104:$N104,0,AV$110+1)-INDEX($F104:$N104,0,AV$110))/(INDEX($F$4:$N$4,0,AV$110+1)-INDEX($F$4:$N$4,0,AV$110))+AU123)))</f>
        <v>141.24553065488732</v>
      </c>
      <c r="AW123" s="3" cm="1">
        <f t="array" ref="AW123">IF(AW$110=-1,AX123,IF(AW$110=99,AV123,IF(AW$110=0,INDEX($F104:$N104,0,AW$108),(INDEX($F104:$N104,0,AW$110+1)-INDEX($F104:$N104,0,AW$110))/(INDEX($F$4:$N$4,0,AW$110+1)-INDEX($F$4:$N$4,0,AW$110))+AV123)))</f>
        <v>144.82818539581936</v>
      </c>
      <c r="AX123" s="3" cm="1">
        <f t="array" ref="AX123">IF(AX$110=-1,AY123,IF(AX$110=99,AW123,IF(AX$110=0,INDEX($F104:$N104,0,AX$108),(INDEX($F104:$N104,0,AX$110+1)-INDEX($F104:$N104,0,AX$110))/(INDEX($F$4:$N$4,0,AX$110+1)-INDEX($F$4:$N$4,0,AX$110))+AW123)))</f>
        <v>148.41084013675146</v>
      </c>
      <c r="AY123" s="3" cm="1">
        <f t="array" ref="AY123">IF(AY$110=-1,AZ123,IF(AY$110=99,AX123,IF(AY$110=0,INDEX($F104:$N104,0,AY$108),(INDEX($F104:$N104,0,AY$110+1)-INDEX($F104:$N104,0,AY$110))/(INDEX($F$4:$N$4,0,AY$110+1)-INDEX($F$4:$N$4,0,AY$110))+AX123)))</f>
        <v>183.24497714602427</v>
      </c>
      <c r="AZ123" s="3" cm="1">
        <f t="array" ref="AZ123">IF(AZ$110=-1,BA123,IF(AZ$110=99,AY123,IF(AZ$110=0,INDEX($F104:$N104,0,AZ$108),(INDEX($F104:$N104,0,AZ$110+1)-INDEX($F104:$N104,0,AZ$110))/(INDEX($F$4:$N$4,0,AZ$110+1)-INDEX($F$4:$N$4,0,AZ$110))+AY123)))</f>
        <v>196.27767980712804</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594</v>
      </c>
      <c r="I127" s="101" t="s">
        <v>594</v>
      </c>
      <c r="J127" s="101" t="s">
        <v>623</v>
      </c>
      <c r="K127" s="102" t="s">
        <v>25</v>
      </c>
      <c r="L127" s="6"/>
      <c r="N127" s="6"/>
      <c r="O127" s="6"/>
      <c r="P127" s="6"/>
      <c r="U127" s="3"/>
      <c r="V127" s="3"/>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46.854664337209421</v>
      </c>
      <c r="O137" s="3">
        <f t="shared" si="334"/>
        <v>47.499444955473628</v>
      </c>
      <c r="P137" s="3">
        <f t="shared" si="334"/>
        <v>48.144225573737835</v>
      </c>
      <c r="Q137" s="3">
        <f t="shared" si="334"/>
        <v>48.789006192002041</v>
      </c>
      <c r="R137" s="3">
        <f t="shared" si="334"/>
        <v>48.789006192002041</v>
      </c>
      <c r="S137" s="3">
        <f t="shared" si="334"/>
        <v>48.789006192002041</v>
      </c>
      <c r="T137" s="3">
        <f t="shared" si="334"/>
        <v>49.433786810266248</v>
      </c>
      <c r="U137" s="3">
        <f t="shared" si="334"/>
        <v>50.078567428530455</v>
      </c>
      <c r="V137" s="3">
        <f t="shared" si="334"/>
        <v>50.723348046794662</v>
      </c>
      <c r="W137" s="3">
        <f t="shared" si="334"/>
        <v>51.368128665058869</v>
      </c>
      <c r="X137" s="3">
        <f t="shared" si="334"/>
        <v>52.012909283323076</v>
      </c>
      <c r="Y137" s="3">
        <f t="shared" si="334"/>
        <v>52.65768990158729</v>
      </c>
      <c r="Z137" s="3">
        <f t="shared" si="334"/>
        <v>54.450820010739768</v>
      </c>
      <c r="AA137" s="3">
        <f t="shared" si="334"/>
        <v>56.243950119892247</v>
      </c>
      <c r="AB137" s="3">
        <f t="shared" si="334"/>
        <v>56.243950119892247</v>
      </c>
      <c r="AC137" s="3">
        <f t="shared" si="334"/>
        <v>56.243950119892247</v>
      </c>
      <c r="AD137" s="3">
        <f t="shared" si="334"/>
        <v>58.037080229044726</v>
      </c>
      <c r="AE137" s="3">
        <f t="shared" si="334"/>
        <v>59.830210338197205</v>
      </c>
      <c r="AF137" s="3">
        <f t="shared" si="334"/>
        <v>61.623340447349683</v>
      </c>
      <c r="AG137" s="3">
        <f t="shared" si="334"/>
        <v>63.416470556502162</v>
      </c>
      <c r="AH137" s="3">
        <f t="shared" si="334"/>
        <v>65.209600665654648</v>
      </c>
      <c r="AI137" s="3">
        <f t="shared" si="334"/>
        <v>67.002730774807134</v>
      </c>
      <c r="AJ137" s="3">
        <f t="shared" si="334"/>
        <v>68.79586088395962</v>
      </c>
      <c r="AK137" s="3">
        <f t="shared" si="334"/>
        <v>70.588990993112105</v>
      </c>
      <c r="AL137" s="3">
        <f t="shared" si="334"/>
        <v>82.466190267385201</v>
      </c>
      <c r="AM137" s="3">
        <f t="shared" si="334"/>
        <v>94.343389541658269</v>
      </c>
      <c r="AN137" s="3">
        <f t="shared" si="334"/>
        <v>117.35350634244885</v>
      </c>
      <c r="AO137" s="3">
        <f t="shared" si="334"/>
        <v>126.06849383854137</v>
      </c>
    </row>
    <row r="138" spans="1:75">
      <c r="A138" s="31"/>
      <c r="B138" s="15" t="str">
        <f t="shared" si="330"/>
        <v>COM_PROJ</v>
      </c>
      <c r="C138" s="16" t="str">
        <f t="shared" si="331"/>
        <v>-</v>
      </c>
      <c r="D138" s="43" t="s">
        <v>396</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4.1047000698166478</v>
      </c>
      <c r="O138" s="3">
        <f t="shared" si="335"/>
        <v>4.1611860373557157</v>
      </c>
      <c r="P138" s="3">
        <f t="shared" si="335"/>
        <v>4.2176720048947836</v>
      </c>
      <c r="Q138" s="3">
        <f t="shared" si="335"/>
        <v>4.2741579724338514</v>
      </c>
      <c r="R138" s="3">
        <f t="shared" si="335"/>
        <v>4.2741579724338514</v>
      </c>
      <c r="S138" s="3">
        <f t="shared" si="335"/>
        <v>4.2741579724338514</v>
      </c>
      <c r="T138" s="3">
        <f t="shared" si="335"/>
        <v>4.3306439399729193</v>
      </c>
      <c r="U138" s="3">
        <f t="shared" si="335"/>
        <v>4.3871299075119872</v>
      </c>
      <c r="V138" s="3">
        <f t="shared" si="335"/>
        <v>4.443615875051055</v>
      </c>
      <c r="W138" s="3">
        <f t="shared" si="335"/>
        <v>4.5001018425901229</v>
      </c>
      <c r="X138" s="3">
        <f t="shared" si="335"/>
        <v>4.5565878101291908</v>
      </c>
      <c r="Y138" s="3">
        <f t="shared" si="335"/>
        <v>4.6130737776682551</v>
      </c>
      <c r="Z138" s="3">
        <f t="shared" si="335"/>
        <v>4.7701608337456882</v>
      </c>
      <c r="AA138" s="3">
        <f t="shared" si="335"/>
        <v>4.9272478898231213</v>
      </c>
      <c r="AB138" s="3">
        <f t="shared" si="335"/>
        <v>4.9272478898231213</v>
      </c>
      <c r="AC138" s="3">
        <f t="shared" si="335"/>
        <v>4.9272478898231213</v>
      </c>
      <c r="AD138" s="3">
        <f t="shared" si="335"/>
        <v>5.0843349459005545</v>
      </c>
      <c r="AE138" s="3">
        <f t="shared" si="335"/>
        <v>5.2414220019779876</v>
      </c>
      <c r="AF138" s="3">
        <f t="shared" si="335"/>
        <v>5.3985090580554207</v>
      </c>
      <c r="AG138" s="3">
        <f t="shared" si="335"/>
        <v>5.5555961141328538</v>
      </c>
      <c r="AH138" s="3">
        <f t="shared" si="335"/>
        <v>5.7126831702102869</v>
      </c>
      <c r="AI138" s="3">
        <f t="shared" si="335"/>
        <v>5.86977022628772</v>
      </c>
      <c r="AJ138" s="3">
        <f t="shared" si="335"/>
        <v>6.0268572823651532</v>
      </c>
      <c r="AK138" s="3">
        <f t="shared" si="335"/>
        <v>6.1839443384425881</v>
      </c>
      <c r="AL138" s="3">
        <f t="shared" si="335"/>
        <v>7.2244456712334522</v>
      </c>
      <c r="AM138" s="3">
        <f t="shared" si="335"/>
        <v>8.2649470040243145</v>
      </c>
      <c r="AN138" s="3">
        <f t="shared" si="335"/>
        <v>10.280746911562817</v>
      </c>
      <c r="AO138" s="3">
        <f t="shared" si="335"/>
        <v>11.04422287046012</v>
      </c>
    </row>
    <row r="139" spans="1:75">
      <c r="A139" s="31"/>
      <c r="B139" s="15" t="str">
        <f t="shared" si="330"/>
        <v>COM_PROJ</v>
      </c>
      <c r="C139" s="16" t="str">
        <f t="shared" si="331"/>
        <v>-</v>
      </c>
      <c r="D139" s="43" t="s">
        <v>397</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0.98762857651971914</v>
      </c>
      <c r="O139" s="3">
        <f t="shared" si="336"/>
        <v>1.001219619656871</v>
      </c>
      <c r="P139" s="3">
        <f t="shared" si="336"/>
        <v>1.0148106627940228</v>
      </c>
      <c r="Q139" s="3">
        <f t="shared" si="336"/>
        <v>1.0284017059311745</v>
      </c>
      <c r="R139" s="3">
        <f t="shared" si="336"/>
        <v>1.0284017059311745</v>
      </c>
      <c r="S139" s="3">
        <f t="shared" si="336"/>
        <v>1.0284017059311745</v>
      </c>
      <c r="T139" s="3">
        <f t="shared" si="336"/>
        <v>1.0419927490683263</v>
      </c>
      <c r="U139" s="3">
        <f t="shared" si="336"/>
        <v>1.055583792205478</v>
      </c>
      <c r="V139" s="3">
        <f t="shared" si="336"/>
        <v>1.0691748353426298</v>
      </c>
      <c r="W139" s="3">
        <f t="shared" si="336"/>
        <v>1.0827658784797816</v>
      </c>
      <c r="X139" s="3">
        <f t="shared" si="336"/>
        <v>1.0963569216169333</v>
      </c>
      <c r="Y139" s="3">
        <f t="shared" si="336"/>
        <v>1.1099479647540857</v>
      </c>
      <c r="Z139" s="3">
        <f t="shared" si="336"/>
        <v>1.1477445547471663</v>
      </c>
      <c r="AA139" s="3">
        <f t="shared" si="336"/>
        <v>1.1855411447402469</v>
      </c>
      <c r="AB139" s="3">
        <f t="shared" si="336"/>
        <v>1.1855411447402469</v>
      </c>
      <c r="AC139" s="3">
        <f t="shared" si="336"/>
        <v>1.1855411447402469</v>
      </c>
      <c r="AD139" s="3">
        <f t="shared" si="336"/>
        <v>1.2233377347333274</v>
      </c>
      <c r="AE139" s="3">
        <f t="shared" si="336"/>
        <v>1.261134324726408</v>
      </c>
      <c r="AF139" s="3">
        <f t="shared" si="336"/>
        <v>1.2989309147194885</v>
      </c>
      <c r="AG139" s="3">
        <f t="shared" si="336"/>
        <v>1.3367275047125691</v>
      </c>
      <c r="AH139" s="3">
        <f t="shared" si="336"/>
        <v>1.3745240947056496</v>
      </c>
      <c r="AI139" s="3">
        <f t="shared" si="336"/>
        <v>1.4123206846987302</v>
      </c>
      <c r="AJ139" s="3">
        <f t="shared" si="336"/>
        <v>1.4501172746918107</v>
      </c>
      <c r="AK139" s="3">
        <f t="shared" si="336"/>
        <v>1.4879138646848906</v>
      </c>
      <c r="AL139" s="3">
        <f t="shared" si="336"/>
        <v>1.7382680520048461</v>
      </c>
      <c r="AM139" s="3">
        <f t="shared" si="336"/>
        <v>1.9886222393248019</v>
      </c>
      <c r="AN139" s="3">
        <f t="shared" si="336"/>
        <v>2.4736422308877328</v>
      </c>
      <c r="AO139" s="3">
        <f t="shared" si="336"/>
        <v>2.6573415662027373</v>
      </c>
    </row>
    <row r="140" spans="1:75">
      <c r="A140" s="31"/>
      <c r="B140" s="15" t="str">
        <f t="shared" si="330"/>
        <v>COM_PROJ</v>
      </c>
      <c r="C140" s="16" t="str">
        <f t="shared" si="331"/>
        <v>-</v>
      </c>
      <c r="D140" s="43" t="s">
        <v>398</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3.2487280613339848</v>
      </c>
      <c r="O140" s="3">
        <f t="shared" si="337"/>
        <v>3.2934347499335166</v>
      </c>
      <c r="P140" s="3">
        <f t="shared" si="337"/>
        <v>3.3381414385330483</v>
      </c>
      <c r="Q140" s="3">
        <f t="shared" si="337"/>
        <v>3.3828481271325801</v>
      </c>
      <c r="R140" s="3">
        <f t="shared" si="337"/>
        <v>3.3828481271325801</v>
      </c>
      <c r="S140" s="3">
        <f t="shared" si="337"/>
        <v>3.3828481271325801</v>
      </c>
      <c r="T140" s="3">
        <f t="shared" si="337"/>
        <v>3.4275548157321118</v>
      </c>
      <c r="U140" s="3">
        <f t="shared" si="337"/>
        <v>3.4722615043316436</v>
      </c>
      <c r="V140" s="3">
        <f t="shared" si="337"/>
        <v>3.5169681929311754</v>
      </c>
      <c r="W140" s="3">
        <f t="shared" si="337"/>
        <v>3.5616748815307071</v>
      </c>
      <c r="X140" s="3">
        <f t="shared" si="337"/>
        <v>3.6063815701302389</v>
      </c>
      <c r="Y140" s="3">
        <f t="shared" si="337"/>
        <v>3.6510882587297706</v>
      </c>
      <c r="Z140" s="3">
        <f t="shared" si="337"/>
        <v>3.7754172275876337</v>
      </c>
      <c r="AA140" s="3">
        <f t="shared" si="337"/>
        <v>3.8997461964454967</v>
      </c>
      <c r="AB140" s="3">
        <f t="shared" si="337"/>
        <v>3.8997461964454967</v>
      </c>
      <c r="AC140" s="3">
        <f t="shared" si="337"/>
        <v>3.8997461964454967</v>
      </c>
      <c r="AD140" s="3">
        <f t="shared" si="337"/>
        <v>4.0240751653033602</v>
      </c>
      <c r="AE140" s="3">
        <f t="shared" si="337"/>
        <v>4.1484041341612237</v>
      </c>
      <c r="AF140" s="3">
        <f t="shared" si="337"/>
        <v>4.2727331030190872</v>
      </c>
      <c r="AG140" s="3">
        <f t="shared" si="337"/>
        <v>4.3970620718769506</v>
      </c>
      <c r="AH140" s="3">
        <f t="shared" si="337"/>
        <v>4.5213910407348141</v>
      </c>
      <c r="AI140" s="3">
        <f t="shared" si="337"/>
        <v>4.6457200095926776</v>
      </c>
      <c r="AJ140" s="3">
        <f t="shared" si="337"/>
        <v>4.7700489784505411</v>
      </c>
      <c r="AK140" s="3">
        <f t="shared" si="337"/>
        <v>4.894377947308401</v>
      </c>
      <c r="AL140" s="3">
        <f t="shared" si="337"/>
        <v>5.7178987454660319</v>
      </c>
      <c r="AM140" s="3">
        <f t="shared" si="337"/>
        <v>6.5414195436236655</v>
      </c>
      <c r="AN140" s="3">
        <f t="shared" si="337"/>
        <v>8.1368554133015483</v>
      </c>
      <c r="AO140" s="3">
        <f t="shared" si="337"/>
        <v>8.7411202145381264</v>
      </c>
    </row>
    <row r="141" spans="1:75">
      <c r="A141" s="31"/>
      <c r="B141" s="15" t="str">
        <f t="shared" si="330"/>
        <v>COM_PROJ</v>
      </c>
      <c r="C141" s="16" t="str">
        <f t="shared" si="331"/>
        <v>-</v>
      </c>
      <c r="D141" s="43" t="s">
        <v>399</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0.5892248466311506</v>
      </c>
      <c r="O141" s="3">
        <f t="shared" si="338"/>
        <v>0.5973333405512693</v>
      </c>
      <c r="P141" s="3">
        <f t="shared" si="338"/>
        <v>0.605441834471388</v>
      </c>
      <c r="Q141" s="3">
        <f t="shared" si="338"/>
        <v>0.61355032839150669</v>
      </c>
      <c r="R141" s="3">
        <f t="shared" si="338"/>
        <v>0.61355032839150669</v>
      </c>
      <c r="S141" s="3">
        <f t="shared" si="338"/>
        <v>0.61355032839150669</v>
      </c>
      <c r="T141" s="3">
        <f t="shared" si="338"/>
        <v>0.62165882231162539</v>
      </c>
      <c r="U141" s="3">
        <f t="shared" si="338"/>
        <v>0.62976731623174409</v>
      </c>
      <c r="V141" s="3">
        <f t="shared" si="338"/>
        <v>0.63787581015186279</v>
      </c>
      <c r="W141" s="3">
        <f t="shared" si="338"/>
        <v>0.64598430407198149</v>
      </c>
      <c r="X141" s="3">
        <f t="shared" si="338"/>
        <v>0.65409279799210018</v>
      </c>
      <c r="Y141" s="3">
        <f t="shared" si="338"/>
        <v>0.6622012919122191</v>
      </c>
      <c r="Z141" s="3">
        <f t="shared" si="338"/>
        <v>0.68475095326399216</v>
      </c>
      <c r="AA141" s="3">
        <f t="shared" si="338"/>
        <v>0.70730061461576521</v>
      </c>
      <c r="AB141" s="3">
        <f t="shared" si="338"/>
        <v>0.70730061461576521</v>
      </c>
      <c r="AC141" s="3">
        <f t="shared" si="338"/>
        <v>0.70730061461576521</v>
      </c>
      <c r="AD141" s="3">
        <f t="shared" si="338"/>
        <v>0.72985027596753826</v>
      </c>
      <c r="AE141" s="3">
        <f t="shared" si="338"/>
        <v>0.75239993731931132</v>
      </c>
      <c r="AF141" s="3">
        <f t="shared" si="338"/>
        <v>0.77494959867108437</v>
      </c>
      <c r="AG141" s="3">
        <f t="shared" si="338"/>
        <v>0.79749926002285743</v>
      </c>
      <c r="AH141" s="3">
        <f t="shared" si="338"/>
        <v>0.82004892137463048</v>
      </c>
      <c r="AI141" s="3">
        <f t="shared" si="338"/>
        <v>0.84259858272640353</v>
      </c>
      <c r="AJ141" s="3">
        <f t="shared" si="338"/>
        <v>0.86514824407817659</v>
      </c>
      <c r="AK141" s="3">
        <f t="shared" si="338"/>
        <v>0.88769790542994942</v>
      </c>
      <c r="AL141" s="3">
        <f t="shared" si="338"/>
        <v>1.0370606427323588</v>
      </c>
      <c r="AM141" s="3">
        <f t="shared" si="338"/>
        <v>1.1864233800347679</v>
      </c>
      <c r="AN141" s="3">
        <f t="shared" si="338"/>
        <v>1.4757890757386971</v>
      </c>
      <c r="AO141" s="3">
        <f t="shared" si="338"/>
        <v>1.5853851478356114</v>
      </c>
    </row>
    <row r="142" spans="1:75">
      <c r="A142" s="31"/>
      <c r="B142" s="15" t="str">
        <f t="shared" si="330"/>
        <v>COM_PROJ</v>
      </c>
      <c r="C142" s="16" t="str">
        <f t="shared" si="331"/>
        <v>-</v>
      </c>
      <c r="D142" s="43" t="s">
        <v>400</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0.29341567426743453</v>
      </c>
      <c r="O142" s="3">
        <f t="shared" si="339"/>
        <v>0.2974534524169265</v>
      </c>
      <c r="P142" s="3">
        <f t="shared" si="339"/>
        <v>0.30149123056641847</v>
      </c>
      <c r="Q142" s="3">
        <f t="shared" si="339"/>
        <v>0.30552900871591043</v>
      </c>
      <c r="R142" s="3">
        <f t="shared" si="339"/>
        <v>0.30552900871591043</v>
      </c>
      <c r="S142" s="3">
        <f t="shared" si="339"/>
        <v>0.30552900871591043</v>
      </c>
      <c r="T142" s="3">
        <f t="shared" si="339"/>
        <v>0.3095667868654024</v>
      </c>
      <c r="U142" s="3">
        <f t="shared" si="339"/>
        <v>0.31360456501489437</v>
      </c>
      <c r="V142" s="3">
        <f t="shared" si="339"/>
        <v>0.31764234316438633</v>
      </c>
      <c r="W142" s="3">
        <f t="shared" si="339"/>
        <v>0.3216801213138783</v>
      </c>
      <c r="X142" s="3">
        <f t="shared" si="339"/>
        <v>0.32571789946337026</v>
      </c>
      <c r="Y142" s="3">
        <f t="shared" si="339"/>
        <v>0.32975567761286245</v>
      </c>
      <c r="Z142" s="3">
        <f t="shared" si="339"/>
        <v>0.34098470864891212</v>
      </c>
      <c r="AA142" s="3">
        <f t="shared" si="339"/>
        <v>0.35221373968496178</v>
      </c>
      <c r="AB142" s="3">
        <f t="shared" si="339"/>
        <v>0.35221373968496178</v>
      </c>
      <c r="AC142" s="3">
        <f t="shared" si="339"/>
        <v>0.35221373968496178</v>
      </c>
      <c r="AD142" s="3">
        <f t="shared" si="339"/>
        <v>0.36344277072101144</v>
      </c>
      <c r="AE142" s="3">
        <f t="shared" si="339"/>
        <v>0.37467180175706111</v>
      </c>
      <c r="AF142" s="3">
        <f t="shared" si="339"/>
        <v>0.38590083279311077</v>
      </c>
      <c r="AG142" s="3">
        <f t="shared" si="339"/>
        <v>0.39712986382916043</v>
      </c>
      <c r="AH142" s="3">
        <f t="shared" si="339"/>
        <v>0.4083588948652101</v>
      </c>
      <c r="AI142" s="3">
        <f t="shared" si="339"/>
        <v>0.41958792590125976</v>
      </c>
      <c r="AJ142" s="3">
        <f t="shared" si="339"/>
        <v>0.43081695693730943</v>
      </c>
      <c r="AK142" s="3">
        <f t="shared" si="339"/>
        <v>0.44204598797335909</v>
      </c>
      <c r="AL142" s="3">
        <f t="shared" si="339"/>
        <v>0.51642399244242454</v>
      </c>
      <c r="AM142" s="3">
        <f t="shared" si="339"/>
        <v>0.59080199691148994</v>
      </c>
      <c r="AN142" s="3">
        <f t="shared" si="339"/>
        <v>0.73489712664043549</v>
      </c>
      <c r="AO142" s="3">
        <f t="shared" si="339"/>
        <v>0.78947256685690792</v>
      </c>
    </row>
    <row r="143" spans="1:75">
      <c r="A143" s="31"/>
      <c r="B143" s="15" t="str">
        <f t="shared" si="330"/>
        <v>COM_PROJ</v>
      </c>
      <c r="C143" s="16" t="str">
        <f t="shared" si="331"/>
        <v>-</v>
      </c>
      <c r="D143" s="43" t="s">
        <v>401</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6.8240748222214735</v>
      </c>
      <c r="O143" s="3">
        <f t="shared" si="340"/>
        <v>6.8850023780075267</v>
      </c>
      <c r="P143" s="3">
        <f t="shared" si="340"/>
        <v>6.9459299337935798</v>
      </c>
      <c r="Q143" s="3">
        <f t="shared" si="340"/>
        <v>7.0068574895796329</v>
      </c>
      <c r="R143" s="3">
        <f t="shared" si="340"/>
        <v>7.0068574895796329</v>
      </c>
      <c r="S143" s="3">
        <f t="shared" si="340"/>
        <v>7.0068574895796329</v>
      </c>
      <c r="T143" s="3">
        <f t="shared" si="340"/>
        <v>7.0677850453656861</v>
      </c>
      <c r="U143" s="3">
        <f t="shared" si="340"/>
        <v>7.1287126011517392</v>
      </c>
      <c r="V143" s="3">
        <f t="shared" si="340"/>
        <v>7.1896401569377923</v>
      </c>
      <c r="W143" s="3">
        <f t="shared" si="340"/>
        <v>7.2505677127238455</v>
      </c>
      <c r="X143" s="3">
        <f t="shared" si="340"/>
        <v>7.3114952685098986</v>
      </c>
      <c r="Y143" s="3">
        <f t="shared" si="340"/>
        <v>7.3724228242959535</v>
      </c>
      <c r="Z143" s="3">
        <f t="shared" si="340"/>
        <v>7.6234728298764214</v>
      </c>
      <c r="AA143" s="3">
        <f t="shared" si="340"/>
        <v>7.8745228354568892</v>
      </c>
      <c r="AB143" s="3">
        <f t="shared" si="340"/>
        <v>7.8745228354568892</v>
      </c>
      <c r="AC143" s="3">
        <f t="shared" si="340"/>
        <v>7.8745228354568892</v>
      </c>
      <c r="AD143" s="3">
        <f t="shared" si="340"/>
        <v>8.1255728410373571</v>
      </c>
      <c r="AE143" s="3">
        <f t="shared" si="340"/>
        <v>8.3766228466178259</v>
      </c>
      <c r="AF143" s="3">
        <f t="shared" si="340"/>
        <v>8.6276728521982946</v>
      </c>
      <c r="AG143" s="3">
        <f t="shared" si="340"/>
        <v>8.8787228577787634</v>
      </c>
      <c r="AH143" s="3">
        <f t="shared" si="340"/>
        <v>9.1297728633592321</v>
      </c>
      <c r="AI143" s="3">
        <f t="shared" si="340"/>
        <v>9.3808228689397009</v>
      </c>
      <c r="AJ143" s="3">
        <f t="shared" si="340"/>
        <v>9.6318728745201696</v>
      </c>
      <c r="AK143" s="3">
        <f t="shared" si="340"/>
        <v>9.8829228801006348</v>
      </c>
      <c r="AL143" s="3">
        <f t="shared" si="340"/>
        <v>11.545808874188321</v>
      </c>
      <c r="AM143" s="3">
        <f t="shared" si="340"/>
        <v>13.208694868276012</v>
      </c>
      <c r="AN143" s="3">
        <f t="shared" si="340"/>
        <v>16.430262517918589</v>
      </c>
      <c r="AO143" s="3">
        <f t="shared" si="340"/>
        <v>17.650418070692083</v>
      </c>
    </row>
    <row r="144" spans="1:75">
      <c r="A144" s="31"/>
      <c r="B144" s="15" t="str">
        <f t="shared" si="330"/>
        <v>COM_PROJ</v>
      </c>
      <c r="C144" s="16" t="str">
        <f t="shared" si="331"/>
        <v>-</v>
      </c>
      <c r="D144" s="43" t="s">
        <v>402</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2.1919977927383534</v>
      </c>
      <c r="O144" s="3">
        <f t="shared" si="341"/>
        <v>2.2221625097847459</v>
      </c>
      <c r="P144" s="3">
        <f t="shared" si="341"/>
        <v>2.2523272268311385</v>
      </c>
      <c r="Q144" s="3">
        <f t="shared" si="341"/>
        <v>2.2824919438775311</v>
      </c>
      <c r="R144" s="3">
        <f t="shared" si="341"/>
        <v>2.2824919438775311</v>
      </c>
      <c r="S144" s="3">
        <f t="shared" si="341"/>
        <v>2.2824919438775311</v>
      </c>
      <c r="T144" s="3">
        <f t="shared" si="341"/>
        <v>2.3126566609239236</v>
      </c>
      <c r="U144" s="3">
        <f t="shared" si="341"/>
        <v>2.3428213779703162</v>
      </c>
      <c r="V144" s="3">
        <f t="shared" si="341"/>
        <v>2.3729860950167088</v>
      </c>
      <c r="W144" s="3">
        <f t="shared" si="341"/>
        <v>2.4031508120631013</v>
      </c>
      <c r="X144" s="3">
        <f t="shared" si="341"/>
        <v>2.4333155291094939</v>
      </c>
      <c r="Y144" s="3">
        <f t="shared" si="341"/>
        <v>2.4634802461558847</v>
      </c>
      <c r="Z144" s="3">
        <f t="shared" si="341"/>
        <v>2.5473681001604964</v>
      </c>
      <c r="AA144" s="3">
        <f t="shared" si="341"/>
        <v>2.6312559541651082</v>
      </c>
      <c r="AB144" s="3">
        <f t="shared" si="341"/>
        <v>2.6312559541651082</v>
      </c>
      <c r="AC144" s="3">
        <f t="shared" si="341"/>
        <v>2.6312559541651082</v>
      </c>
      <c r="AD144" s="3">
        <f t="shared" si="341"/>
        <v>2.7151438081697199</v>
      </c>
      <c r="AE144" s="3">
        <f t="shared" si="341"/>
        <v>2.7990316621743316</v>
      </c>
      <c r="AF144" s="3">
        <f t="shared" si="341"/>
        <v>2.8829195161789434</v>
      </c>
      <c r="AG144" s="3">
        <f t="shared" si="341"/>
        <v>2.9668073701835551</v>
      </c>
      <c r="AH144" s="3">
        <f t="shared" si="341"/>
        <v>3.0506952241881669</v>
      </c>
      <c r="AI144" s="3">
        <f t="shared" si="341"/>
        <v>3.1345830781927786</v>
      </c>
      <c r="AJ144" s="3">
        <f t="shared" si="341"/>
        <v>3.2184709321973903</v>
      </c>
      <c r="AK144" s="3">
        <f t="shared" si="341"/>
        <v>3.3023587862020043</v>
      </c>
      <c r="AL144" s="3">
        <f t="shared" si="341"/>
        <v>3.8580087937604786</v>
      </c>
      <c r="AM144" s="3">
        <f t="shared" si="341"/>
        <v>4.4136588013189515</v>
      </c>
      <c r="AN144" s="3">
        <f t="shared" si="341"/>
        <v>5.4901391464770217</v>
      </c>
      <c r="AO144" s="3">
        <f t="shared" si="341"/>
        <v>5.8978516682804569</v>
      </c>
    </row>
    <row r="145" spans="1:57">
      <c r="A145" s="31" t="s">
        <v>113</v>
      </c>
      <c r="B145" s="15" t="str">
        <f t="shared" si="330"/>
        <v>COM_PROJ</v>
      </c>
      <c r="C145" s="16" t="str">
        <f t="shared" si="331"/>
        <v>-</v>
      </c>
      <c r="D145" s="43" t="s">
        <v>403</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0.12033839424918329</v>
      </c>
      <c r="O145" s="3">
        <f t="shared" si="342"/>
        <v>0.12199440577637058</v>
      </c>
      <c r="P145" s="3">
        <f t="shared" si="342"/>
        <v>0.12365041730355787</v>
      </c>
      <c r="Q145" s="3">
        <f t="shared" si="342"/>
        <v>0.12530642883074516</v>
      </c>
      <c r="R145" s="3">
        <f t="shared" si="342"/>
        <v>0.12530642883074516</v>
      </c>
      <c r="S145" s="3">
        <f t="shared" si="342"/>
        <v>0.12530642883074516</v>
      </c>
      <c r="T145" s="3">
        <f t="shared" si="342"/>
        <v>0.12696244035793247</v>
      </c>
      <c r="U145" s="3">
        <f t="shared" si="342"/>
        <v>0.12861845188511978</v>
      </c>
      <c r="V145" s="3">
        <f t="shared" si="342"/>
        <v>0.13027446341230708</v>
      </c>
      <c r="W145" s="3">
        <f t="shared" si="342"/>
        <v>0.13193047493949439</v>
      </c>
      <c r="X145" s="3">
        <f t="shared" si="342"/>
        <v>0.1335864864666817</v>
      </c>
      <c r="Y145" s="3">
        <f t="shared" si="342"/>
        <v>0.13524249799386892</v>
      </c>
      <c r="Z145" s="3">
        <f t="shared" si="342"/>
        <v>0.1398478537480432</v>
      </c>
      <c r="AA145" s="3">
        <f t="shared" si="342"/>
        <v>0.14445320950221749</v>
      </c>
      <c r="AB145" s="3">
        <f t="shared" si="342"/>
        <v>0.14445320950221749</v>
      </c>
      <c r="AC145" s="3">
        <f t="shared" si="342"/>
        <v>0.14445320950221749</v>
      </c>
      <c r="AD145" s="3">
        <f t="shared" si="342"/>
        <v>0.14905856525639177</v>
      </c>
      <c r="AE145" s="3">
        <f t="shared" si="342"/>
        <v>0.15366392101056606</v>
      </c>
      <c r="AF145" s="3">
        <f t="shared" si="342"/>
        <v>0.15826927676474034</v>
      </c>
      <c r="AG145" s="3">
        <f t="shared" si="342"/>
        <v>0.16287463251891462</v>
      </c>
      <c r="AH145" s="3">
        <f t="shared" si="342"/>
        <v>0.16747998827308891</v>
      </c>
      <c r="AI145" s="3">
        <f t="shared" si="342"/>
        <v>0.17208534402726319</v>
      </c>
      <c r="AJ145" s="3">
        <f t="shared" si="342"/>
        <v>0.17669069978143748</v>
      </c>
      <c r="AK145" s="3">
        <f t="shared" si="342"/>
        <v>0.18129605553561184</v>
      </c>
      <c r="AL145" s="3">
        <f t="shared" si="342"/>
        <v>0.2118006618338695</v>
      </c>
      <c r="AM145" s="3">
        <f t="shared" si="342"/>
        <v>0.24230526813212727</v>
      </c>
      <c r="AN145" s="3">
        <f t="shared" si="342"/>
        <v>0.30140291713810463</v>
      </c>
      <c r="AO145" s="3">
        <f t="shared" si="342"/>
        <v>0.32378590965372123</v>
      </c>
    </row>
    <row r="146" spans="1:57">
      <c r="A146" s="31" t="s">
        <v>113</v>
      </c>
      <c r="B146" s="15" t="str">
        <f t="shared" si="330"/>
        <v>COM_PROJ</v>
      </c>
      <c r="C146" s="16" t="str">
        <f t="shared" si="331"/>
        <v>-</v>
      </c>
      <c r="D146" s="43" t="s">
        <v>404</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2.8960760250541256E-2</v>
      </c>
      <c r="O146" s="3">
        <f t="shared" si="343"/>
        <v>2.9359297667549623E-2</v>
      </c>
      <c r="P146" s="3">
        <f t="shared" si="343"/>
        <v>2.9757835084557989E-2</v>
      </c>
      <c r="Q146" s="3">
        <f t="shared" si="343"/>
        <v>3.0156372501566355E-2</v>
      </c>
      <c r="R146" s="3">
        <f t="shared" si="343"/>
        <v>3.0156372501566355E-2</v>
      </c>
      <c r="S146" s="3">
        <f t="shared" si="343"/>
        <v>3.0156372501566355E-2</v>
      </c>
      <c r="T146" s="3">
        <f t="shared" si="343"/>
        <v>3.0554909918574721E-2</v>
      </c>
      <c r="U146" s="3">
        <f t="shared" si="343"/>
        <v>3.0953447335583088E-2</v>
      </c>
      <c r="V146" s="3">
        <f t="shared" si="343"/>
        <v>3.1351984752591454E-2</v>
      </c>
      <c r="W146" s="3">
        <f t="shared" si="343"/>
        <v>3.1750522169599824E-2</v>
      </c>
      <c r="X146" s="3">
        <f t="shared" si="343"/>
        <v>3.2149059586608193E-2</v>
      </c>
      <c r="Y146" s="3">
        <f t="shared" si="343"/>
        <v>3.2547597003616556E-2</v>
      </c>
      <c r="Z146" s="3">
        <f t="shared" si="343"/>
        <v>3.3655926599480329E-2</v>
      </c>
      <c r="AA146" s="3">
        <f t="shared" si="343"/>
        <v>3.4764256195344102E-2</v>
      </c>
      <c r="AB146" s="3">
        <f t="shared" si="343"/>
        <v>3.4764256195344102E-2</v>
      </c>
      <c r="AC146" s="3">
        <f t="shared" si="343"/>
        <v>3.4764256195344102E-2</v>
      </c>
      <c r="AD146" s="3">
        <f t="shared" si="343"/>
        <v>3.5872585791207875E-2</v>
      </c>
      <c r="AE146" s="3">
        <f t="shared" si="343"/>
        <v>3.6980915387071649E-2</v>
      </c>
      <c r="AF146" s="3">
        <f t="shared" si="343"/>
        <v>3.8089244982935422E-2</v>
      </c>
      <c r="AG146" s="3">
        <f t="shared" si="343"/>
        <v>3.9197574578799195E-2</v>
      </c>
      <c r="AH146" s="3">
        <f t="shared" si="343"/>
        <v>4.0305904174662968E-2</v>
      </c>
      <c r="AI146" s="3">
        <f t="shared" si="343"/>
        <v>4.1414233770526741E-2</v>
      </c>
      <c r="AJ146" s="3">
        <f t="shared" si="343"/>
        <v>4.2522563366390514E-2</v>
      </c>
      <c r="AK146" s="3">
        <f t="shared" si="343"/>
        <v>4.363089296225426E-2</v>
      </c>
      <c r="AL146" s="3">
        <f t="shared" si="343"/>
        <v>5.09721625134473E-2</v>
      </c>
      <c r="AM146" s="3">
        <f t="shared" si="343"/>
        <v>5.8313432064640319E-2</v>
      </c>
      <c r="AN146" s="3">
        <f t="shared" si="343"/>
        <v>7.2535932330754407E-2</v>
      </c>
      <c r="AO146" s="3">
        <f t="shared" si="343"/>
        <v>7.7922646055653813E-2</v>
      </c>
    </row>
    <row r="147" spans="1:57">
      <c r="A147" s="31" t="s">
        <v>113</v>
      </c>
      <c r="B147" s="15" t="str">
        <f t="shared" si="330"/>
        <v>COM_PROJ</v>
      </c>
      <c r="C147" s="16" t="str">
        <f t="shared" si="331"/>
        <v>-</v>
      </c>
      <c r="D147" s="43" t="s">
        <v>366</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16.506720027229584</v>
      </c>
      <c r="O147" s="3">
        <f t="shared" si="344"/>
        <v>17.377679067174856</v>
      </c>
      <c r="P147" s="3">
        <f t="shared" si="344"/>
        <v>18.248638107120129</v>
      </c>
      <c r="Q147" s="3">
        <f t="shared" si="344"/>
        <v>19.119597147065402</v>
      </c>
      <c r="R147" s="3">
        <f t="shared" si="344"/>
        <v>19.119597147065402</v>
      </c>
      <c r="S147" s="3">
        <f t="shared" si="344"/>
        <v>19.119597147065402</v>
      </c>
      <c r="T147" s="3">
        <f t="shared" si="344"/>
        <v>19.990556187010675</v>
      </c>
      <c r="U147" s="3">
        <f t="shared" si="344"/>
        <v>20.861515226955948</v>
      </c>
      <c r="V147" s="3">
        <f t="shared" si="344"/>
        <v>21.732474266901221</v>
      </c>
      <c r="W147" s="3">
        <f t="shared" si="344"/>
        <v>22.603433306846494</v>
      </c>
      <c r="X147" s="3">
        <f t="shared" si="344"/>
        <v>23.474392346791767</v>
      </c>
      <c r="Y147" s="3">
        <f t="shared" si="344"/>
        <v>24.345351386737054</v>
      </c>
      <c r="Z147" s="3">
        <f t="shared" si="344"/>
        <v>25.17437337139004</v>
      </c>
      <c r="AA147" s="3">
        <f t="shared" si="344"/>
        <v>26.003395356043026</v>
      </c>
      <c r="AB147" s="3">
        <f t="shared" si="344"/>
        <v>26.003395356043026</v>
      </c>
      <c r="AC147" s="3">
        <f t="shared" si="344"/>
        <v>26.003395356043026</v>
      </c>
      <c r="AD147" s="3">
        <f t="shared" si="344"/>
        <v>26.832417340696011</v>
      </c>
      <c r="AE147" s="3">
        <f t="shared" si="344"/>
        <v>27.661439325348997</v>
      </c>
      <c r="AF147" s="3">
        <f t="shared" si="344"/>
        <v>28.490461310001983</v>
      </c>
      <c r="AG147" s="3">
        <f t="shared" si="344"/>
        <v>29.319483294654969</v>
      </c>
      <c r="AH147" s="3">
        <f t="shared" si="344"/>
        <v>30.148505279307955</v>
      </c>
      <c r="AI147" s="3">
        <f t="shared" si="344"/>
        <v>30.97752726396094</v>
      </c>
      <c r="AJ147" s="3">
        <f t="shared" si="344"/>
        <v>31.806549248613926</v>
      </c>
      <c r="AK147" s="3">
        <f t="shared" si="344"/>
        <v>32.635571233266909</v>
      </c>
      <c r="AL147" s="3">
        <f t="shared" si="344"/>
        <v>38.126784204494506</v>
      </c>
      <c r="AM147" s="3">
        <f t="shared" si="344"/>
        <v>43.617997175722103</v>
      </c>
      <c r="AN147" s="3">
        <f t="shared" si="344"/>
        <v>54.256317618796132</v>
      </c>
      <c r="AO147" s="3">
        <f t="shared" si="344"/>
        <v>58.285537915393242</v>
      </c>
    </row>
    <row r="148" spans="1:57">
      <c r="A148" s="31"/>
      <c r="B148" s="15" t="str">
        <f t="shared" si="330"/>
        <v>COM_PROJ</v>
      </c>
      <c r="C148" s="16" t="str">
        <f t="shared" si="331"/>
        <v>-</v>
      </c>
      <c r="D148" s="43" t="s">
        <v>368</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25.970242908568729</v>
      </c>
      <c r="O148" s="3">
        <f t="shared" si="345"/>
        <v>26.327626949537315</v>
      </c>
      <c r="P148" s="3">
        <f t="shared" si="345"/>
        <v>26.685010990505901</v>
      </c>
      <c r="Q148" s="3">
        <f t="shared" si="345"/>
        <v>27.042395031474488</v>
      </c>
      <c r="R148" s="3">
        <f t="shared" si="345"/>
        <v>27.042395031474488</v>
      </c>
      <c r="S148" s="3">
        <f t="shared" si="345"/>
        <v>27.042395031474488</v>
      </c>
      <c r="T148" s="3">
        <f t="shared" si="345"/>
        <v>27.399779072443074</v>
      </c>
      <c r="U148" s="3">
        <f t="shared" si="345"/>
        <v>27.757163113411661</v>
      </c>
      <c r="V148" s="3">
        <f t="shared" si="345"/>
        <v>28.114547154380247</v>
      </c>
      <c r="W148" s="3">
        <f t="shared" si="345"/>
        <v>28.471931195348834</v>
      </c>
      <c r="X148" s="3">
        <f t="shared" si="345"/>
        <v>28.82931523631742</v>
      </c>
      <c r="Y148" s="3">
        <f t="shared" si="345"/>
        <v>29.186699277286003</v>
      </c>
      <c r="Z148" s="3">
        <f t="shared" si="345"/>
        <v>30.180581640122107</v>
      </c>
      <c r="AA148" s="3">
        <f t="shared" si="345"/>
        <v>31.17446400295821</v>
      </c>
      <c r="AB148" s="3">
        <f t="shared" si="345"/>
        <v>31.17446400295821</v>
      </c>
      <c r="AC148" s="3">
        <f t="shared" si="345"/>
        <v>31.17446400295821</v>
      </c>
      <c r="AD148" s="3">
        <f t="shared" si="345"/>
        <v>32.168346365794314</v>
      </c>
      <c r="AE148" s="3">
        <f t="shared" si="345"/>
        <v>33.162228728630417</v>
      </c>
      <c r="AF148" s="3">
        <f t="shared" si="345"/>
        <v>34.156111091466521</v>
      </c>
      <c r="AG148" s="3">
        <f t="shared" si="345"/>
        <v>35.149993454302624</v>
      </c>
      <c r="AH148" s="3">
        <f t="shared" si="345"/>
        <v>36.143875817138728</v>
      </c>
      <c r="AI148" s="3">
        <f t="shared" si="345"/>
        <v>37.137758179974831</v>
      </c>
      <c r="AJ148" s="3">
        <f t="shared" si="345"/>
        <v>38.131640542810935</v>
      </c>
      <c r="AK148" s="3">
        <f t="shared" si="345"/>
        <v>39.125522905647053</v>
      </c>
      <c r="AL148" s="3">
        <f t="shared" si="345"/>
        <v>45.70872555130962</v>
      </c>
      <c r="AM148" s="3">
        <f t="shared" si="345"/>
        <v>52.291928196972172</v>
      </c>
      <c r="AN148" s="3">
        <f t="shared" si="345"/>
        <v>65.045798726709492</v>
      </c>
      <c r="AO148" s="3">
        <f t="shared" si="345"/>
        <v>69.876274954002042</v>
      </c>
    </row>
    <row r="149" spans="1:57">
      <c r="A149" s="31"/>
      <c r="B149" s="15" t="str">
        <f t="shared" si="330"/>
        <v>COM_PROJ</v>
      </c>
      <c r="C149" s="16" t="str">
        <f t="shared" si="331"/>
        <v>-</v>
      </c>
      <c r="D149" s="43" t="s">
        <v>367</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86.9457419513449</v>
      </c>
      <c r="O149" s="3">
        <f t="shared" si="346"/>
        <v>87.492893650053077</v>
      </c>
      <c r="P149" s="3">
        <f t="shared" si="346"/>
        <v>88.040045348761254</v>
      </c>
      <c r="Q149" s="3">
        <f t="shared" si="346"/>
        <v>88.587197047469431</v>
      </c>
      <c r="R149" s="3">
        <f t="shared" si="346"/>
        <v>88.587197047469431</v>
      </c>
      <c r="S149" s="3">
        <f t="shared" si="346"/>
        <v>88.587197047469431</v>
      </c>
      <c r="T149" s="3">
        <f t="shared" si="346"/>
        <v>89.134348746177608</v>
      </c>
      <c r="U149" s="3">
        <f t="shared" si="346"/>
        <v>89.681500444885785</v>
      </c>
      <c r="V149" s="3">
        <f t="shared" si="346"/>
        <v>90.228652143593962</v>
      </c>
      <c r="W149" s="3">
        <f t="shared" si="346"/>
        <v>90.775803842302139</v>
      </c>
      <c r="X149" s="3">
        <f t="shared" si="346"/>
        <v>91.322955541010316</v>
      </c>
      <c r="Y149" s="3">
        <f t="shared" si="346"/>
        <v>91.870107239718436</v>
      </c>
      <c r="Z149" s="3">
        <f t="shared" si="346"/>
        <v>93.941525788489685</v>
      </c>
      <c r="AA149" s="3">
        <f t="shared" si="346"/>
        <v>96.012944337260933</v>
      </c>
      <c r="AB149" s="3">
        <f t="shared" si="346"/>
        <v>96.012944337260933</v>
      </c>
      <c r="AC149" s="3">
        <f t="shared" si="346"/>
        <v>96.012944337260933</v>
      </c>
      <c r="AD149" s="3">
        <f t="shared" si="346"/>
        <v>98.084362886032181</v>
      </c>
      <c r="AE149" s="3">
        <f t="shared" si="346"/>
        <v>100.15578143480343</v>
      </c>
      <c r="AF149" s="3">
        <f t="shared" si="346"/>
        <v>102.22719998357468</v>
      </c>
      <c r="AG149" s="3">
        <f t="shared" si="346"/>
        <v>104.29861853234593</v>
      </c>
      <c r="AH149" s="3">
        <f t="shared" si="346"/>
        <v>106.37003708111718</v>
      </c>
      <c r="AI149" s="3">
        <f t="shared" si="346"/>
        <v>108.44145562988842</v>
      </c>
      <c r="AJ149" s="3">
        <f t="shared" si="346"/>
        <v>110.51287417865967</v>
      </c>
      <c r="AK149" s="3">
        <f t="shared" si="346"/>
        <v>112.58429272743091</v>
      </c>
      <c r="AL149" s="3">
        <f t="shared" si="346"/>
        <v>130.49756643209119</v>
      </c>
      <c r="AM149" s="3">
        <f t="shared" si="346"/>
        <v>148.41084013675146</v>
      </c>
      <c r="AN149" s="3">
        <f t="shared" si="346"/>
        <v>183.24497714602427</v>
      </c>
      <c r="AO149" s="3">
        <f t="shared" si="346"/>
        <v>196.27767980712804</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375</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378</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16.506720027229584</v>
      </c>
      <c r="W186" s="3">
        <f t="shared" si="367"/>
        <v>17.377679067174856</v>
      </c>
      <c r="X186" s="3">
        <f t="shared" ref="X186:Z188" si="368">N147</f>
        <v>16.506720027229584</v>
      </c>
      <c r="Y186" s="3">
        <f t="shared" si="368"/>
        <v>17.377679067174856</v>
      </c>
      <c r="Z186" s="3">
        <f t="shared" si="368"/>
        <v>18.248638107120129</v>
      </c>
      <c r="AA186" s="3">
        <f t="shared" ref="AA186:AG188" si="369">S147</f>
        <v>19.119597147065402</v>
      </c>
      <c r="AB186" s="3">
        <f t="shared" si="369"/>
        <v>19.990556187010675</v>
      </c>
      <c r="AC186" s="3">
        <f t="shared" si="369"/>
        <v>20.861515226955948</v>
      </c>
      <c r="AD186" s="3">
        <f t="shared" si="369"/>
        <v>21.732474266901221</v>
      </c>
      <c r="AE186" s="3">
        <f t="shared" si="369"/>
        <v>22.603433306846494</v>
      </c>
      <c r="AF186" s="3">
        <f t="shared" si="369"/>
        <v>23.474392346791767</v>
      </c>
      <c r="AG186" s="3">
        <f t="shared" si="369"/>
        <v>24.345351386737054</v>
      </c>
      <c r="AH186" s="3">
        <f t="shared" ref="AH186:AJ188" si="370">X147</f>
        <v>23.474392346791767</v>
      </c>
      <c r="AI186" s="3">
        <f t="shared" si="370"/>
        <v>24.345351386737054</v>
      </c>
      <c r="AJ186" s="3">
        <f t="shared" si="370"/>
        <v>25.17437337139004</v>
      </c>
      <c r="AK186" s="3">
        <f t="shared" ref="AK186:AW188" si="371">AC147</f>
        <v>26.003395356043026</v>
      </c>
      <c r="AL186" s="3">
        <f t="shared" si="371"/>
        <v>26.832417340696011</v>
      </c>
      <c r="AM186" s="3">
        <f t="shared" si="371"/>
        <v>27.661439325348997</v>
      </c>
      <c r="AN186" s="3">
        <f t="shared" si="371"/>
        <v>28.490461310001983</v>
      </c>
      <c r="AO186" s="3">
        <f t="shared" si="371"/>
        <v>29.319483294654969</v>
      </c>
      <c r="AP186" s="3">
        <f t="shared" si="371"/>
        <v>30.148505279307955</v>
      </c>
      <c r="AQ186" s="3">
        <f t="shared" si="371"/>
        <v>30.97752726396094</v>
      </c>
      <c r="AR186" s="3">
        <f t="shared" si="371"/>
        <v>31.806549248613926</v>
      </c>
      <c r="AS186" s="3">
        <f t="shared" si="371"/>
        <v>32.635571233266909</v>
      </c>
      <c r="AT186" s="3">
        <f t="shared" si="371"/>
        <v>38.126784204494506</v>
      </c>
      <c r="AU186" s="3">
        <f t="shared" si="371"/>
        <v>43.617997175722103</v>
      </c>
      <c r="AV186" s="3">
        <f t="shared" si="371"/>
        <v>54.256317618796132</v>
      </c>
      <c r="AW186" s="3">
        <f t="shared" si="371"/>
        <v>58.285537915393242</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25.970242908568729</v>
      </c>
      <c r="W187" s="3">
        <f t="shared" si="367"/>
        <v>26.327626949537315</v>
      </c>
      <c r="X187" s="3">
        <f t="shared" si="368"/>
        <v>25.970242908568729</v>
      </c>
      <c r="Y187" s="3">
        <f t="shared" si="368"/>
        <v>26.327626949537315</v>
      </c>
      <c r="Z187" s="3">
        <f t="shared" si="368"/>
        <v>26.685010990505901</v>
      </c>
      <c r="AA187" s="3">
        <f t="shared" si="369"/>
        <v>27.042395031474488</v>
      </c>
      <c r="AB187" s="3">
        <f t="shared" si="369"/>
        <v>27.399779072443074</v>
      </c>
      <c r="AC187" s="3">
        <f t="shared" si="369"/>
        <v>27.757163113411661</v>
      </c>
      <c r="AD187" s="3">
        <f t="shared" si="369"/>
        <v>28.114547154380247</v>
      </c>
      <c r="AE187" s="3">
        <f t="shared" si="369"/>
        <v>28.471931195348834</v>
      </c>
      <c r="AF187" s="3">
        <f t="shared" si="369"/>
        <v>28.82931523631742</v>
      </c>
      <c r="AG187" s="3">
        <f t="shared" si="369"/>
        <v>29.186699277286003</v>
      </c>
      <c r="AH187" s="3">
        <f t="shared" si="370"/>
        <v>28.82931523631742</v>
      </c>
      <c r="AI187" s="3">
        <f t="shared" si="370"/>
        <v>29.186699277286003</v>
      </c>
      <c r="AJ187" s="3">
        <f t="shared" si="370"/>
        <v>30.180581640122107</v>
      </c>
      <c r="AK187" s="3">
        <f t="shared" si="371"/>
        <v>31.17446400295821</v>
      </c>
      <c r="AL187" s="3">
        <f t="shared" si="371"/>
        <v>32.168346365794314</v>
      </c>
      <c r="AM187" s="3">
        <f t="shared" si="371"/>
        <v>33.162228728630417</v>
      </c>
      <c r="AN187" s="3">
        <f t="shared" si="371"/>
        <v>34.156111091466521</v>
      </c>
      <c r="AO187" s="3">
        <f t="shared" si="371"/>
        <v>35.149993454302624</v>
      </c>
      <c r="AP187" s="3">
        <f t="shared" si="371"/>
        <v>36.143875817138728</v>
      </c>
      <c r="AQ187" s="3">
        <f t="shared" si="371"/>
        <v>37.137758179974831</v>
      </c>
      <c r="AR187" s="3">
        <f t="shared" si="371"/>
        <v>38.131640542810935</v>
      </c>
      <c r="AS187" s="3">
        <f t="shared" si="371"/>
        <v>39.125522905647053</v>
      </c>
      <c r="AT187" s="3">
        <f t="shared" si="371"/>
        <v>45.70872555130962</v>
      </c>
      <c r="AU187" s="3">
        <f t="shared" si="371"/>
        <v>52.291928196972172</v>
      </c>
      <c r="AV187" s="3">
        <f t="shared" si="371"/>
        <v>65.045798726709492</v>
      </c>
      <c r="AW187" s="3">
        <f t="shared" si="371"/>
        <v>69.876274954002042</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86.9457419513449</v>
      </c>
      <c r="W188" s="3">
        <f t="shared" si="367"/>
        <v>87.492893650053077</v>
      </c>
      <c r="X188" s="3">
        <f t="shared" si="368"/>
        <v>86.9457419513449</v>
      </c>
      <c r="Y188" s="3">
        <f t="shared" si="368"/>
        <v>87.492893650053077</v>
      </c>
      <c r="Z188" s="3">
        <f t="shared" si="368"/>
        <v>88.040045348761254</v>
      </c>
      <c r="AA188" s="3">
        <f t="shared" si="369"/>
        <v>88.587197047469431</v>
      </c>
      <c r="AB188" s="3">
        <f t="shared" si="369"/>
        <v>89.134348746177608</v>
      </c>
      <c r="AC188" s="3">
        <f t="shared" si="369"/>
        <v>89.681500444885785</v>
      </c>
      <c r="AD188" s="3">
        <f t="shared" si="369"/>
        <v>90.228652143593962</v>
      </c>
      <c r="AE188" s="3">
        <f t="shared" si="369"/>
        <v>90.775803842302139</v>
      </c>
      <c r="AF188" s="3">
        <f t="shared" si="369"/>
        <v>91.322955541010316</v>
      </c>
      <c r="AG188" s="3">
        <f t="shared" si="369"/>
        <v>91.870107239718436</v>
      </c>
      <c r="AH188" s="3">
        <f t="shared" si="370"/>
        <v>91.322955541010316</v>
      </c>
      <c r="AI188" s="3">
        <f t="shared" si="370"/>
        <v>91.870107239718436</v>
      </c>
      <c r="AJ188" s="3">
        <f t="shared" si="370"/>
        <v>93.941525788489685</v>
      </c>
      <c r="AK188" s="3">
        <f t="shared" si="371"/>
        <v>96.012944337260933</v>
      </c>
      <c r="AL188" s="3">
        <f t="shared" si="371"/>
        <v>98.084362886032181</v>
      </c>
      <c r="AM188" s="3">
        <f t="shared" si="371"/>
        <v>100.15578143480343</v>
      </c>
      <c r="AN188" s="3">
        <f t="shared" si="371"/>
        <v>102.22719998357468</v>
      </c>
      <c r="AO188" s="3">
        <f t="shared" si="371"/>
        <v>104.29861853234593</v>
      </c>
      <c r="AP188" s="3">
        <f t="shared" si="371"/>
        <v>106.37003708111718</v>
      </c>
      <c r="AQ188" s="3">
        <f t="shared" si="371"/>
        <v>108.44145562988842</v>
      </c>
      <c r="AR188" s="3">
        <f t="shared" si="371"/>
        <v>110.51287417865967</v>
      </c>
      <c r="AS188" s="3">
        <f t="shared" si="371"/>
        <v>112.58429272743091</v>
      </c>
      <c r="AT188" s="3">
        <f t="shared" si="371"/>
        <v>130.49756643209119</v>
      </c>
      <c r="AU188" s="3">
        <f t="shared" si="371"/>
        <v>148.41084013675146</v>
      </c>
      <c r="AV188" s="3">
        <f t="shared" si="371"/>
        <v>183.24497714602427</v>
      </c>
      <c r="AW188" s="3">
        <f t="shared" si="371"/>
        <v>196.27767980712804</v>
      </c>
      <c r="BF188" s="3"/>
      <c r="BG188" s="3"/>
      <c r="BH188" s="3"/>
      <c r="BI188" s="3"/>
      <c r="BJ188" s="3"/>
      <c r="BK188" s="3"/>
    </row>
    <row r="189" spans="1:63">
      <c r="A189" t="s">
        <v>16</v>
      </c>
    </row>
    <row r="221" spans="1:43">
      <c r="A221" t="s">
        <v>16</v>
      </c>
      <c r="J221" t="s">
        <v>669</v>
      </c>
    </row>
    <row r="222" spans="1:43">
      <c r="A222" t="s">
        <v>16</v>
      </c>
      <c r="J222" t="s">
        <v>643</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644</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645</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646</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647</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648</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649</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396</v>
      </c>
      <c r="J229" t="s">
        <v>650</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396</v>
      </c>
      <c r="J230" t="s">
        <v>651</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397</v>
      </c>
      <c r="J231" t="s">
        <v>652</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398</v>
      </c>
      <c r="J232" t="s">
        <v>653</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399</v>
      </c>
      <c r="J233" t="s">
        <v>654</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400</v>
      </c>
      <c r="J234" t="s">
        <v>655</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401</v>
      </c>
      <c r="J235" t="s">
        <v>656</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402</v>
      </c>
      <c r="J236" t="s">
        <v>657</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403</v>
      </c>
      <c r="J237" t="s">
        <v>658</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404</v>
      </c>
      <c r="J238" t="s">
        <v>659</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660</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661</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662</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663</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664</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665</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666</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667</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668</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51" zoomScale="50" zoomScaleNormal="50" workbookViewId="0">
      <selection activeCell="J275" sqref="J27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1"/>
      <c r="P1" s="372" t="s">
        <v>797</v>
      </c>
      <c r="Q1" s="372"/>
      <c r="R1" s="372"/>
      <c r="S1" s="372"/>
      <c r="T1" s="372"/>
      <c r="U1" s="372"/>
      <c r="V1" s="372"/>
      <c r="W1" s="372"/>
      <c r="X1" s="372"/>
      <c r="Y1" s="372"/>
      <c r="Z1" s="372"/>
    </row>
    <row r="2" spans="1:61" ht="15.75" thickBot="1">
      <c r="A2" t="s">
        <v>16</v>
      </c>
      <c r="B2" s="369" t="s">
        <v>280</v>
      </c>
      <c r="C2" s="369"/>
      <c r="J2"/>
      <c r="N2" s="119"/>
      <c r="P2" s="165" t="s">
        <v>209</v>
      </c>
      <c r="Q2" s="306" t="s">
        <v>522</v>
      </c>
      <c r="R2" s="306" t="s">
        <v>185</v>
      </c>
      <c r="S2" s="306" t="s">
        <v>526</v>
      </c>
      <c r="T2" s="306"/>
      <c r="U2" s="306"/>
      <c r="V2" s="306"/>
      <c r="W2" s="306" t="s">
        <v>600</v>
      </c>
      <c r="X2" s="306"/>
      <c r="Y2" s="306"/>
      <c r="Z2" s="306"/>
      <c r="AA2" s="24"/>
      <c r="AC2" s="24"/>
      <c r="AD2" s="24"/>
      <c r="AE2" s="24"/>
      <c r="AF2" s="24"/>
      <c r="AG2" s="24"/>
      <c r="AH2" s="24"/>
      <c r="AI2" s="24"/>
      <c r="AJ2" s="24"/>
      <c r="AK2" s="24"/>
      <c r="AL2" s="24"/>
      <c r="AM2" s="24"/>
      <c r="AN2" s="24"/>
      <c r="AO2" s="24"/>
      <c r="AP2" s="24"/>
      <c r="AQ2" s="24"/>
      <c r="AR2" s="24"/>
      <c r="AS2" s="24"/>
      <c r="AT2" s="24"/>
      <c r="AU2" s="24"/>
      <c r="AV2" s="24"/>
    </row>
    <row r="3" spans="1:61" ht="24.75">
      <c r="A3" t="s">
        <v>16</v>
      </c>
      <c r="B3" s="18"/>
      <c r="C3" s="165" t="str">
        <f>INDEX($Q$5:$Q$8,MATCH($D$3,$P$5:$P$8,0))</f>
        <v>NDC-PAMS-reference</v>
      </c>
      <c r="D3" s="169">
        <f>DriversGams!C164</f>
        <v>-1</v>
      </c>
      <c r="J3"/>
      <c r="N3" s="30"/>
      <c r="P3" s="165"/>
      <c r="Q3" s="306"/>
      <c r="R3" s="306"/>
      <c r="S3" s="306" t="s">
        <v>523</v>
      </c>
      <c r="T3" s="306" t="s">
        <v>523</v>
      </c>
      <c r="U3" s="306" t="s">
        <v>523</v>
      </c>
      <c r="V3" s="306" t="s">
        <v>528</v>
      </c>
      <c r="W3" s="306" t="s">
        <v>597</v>
      </c>
      <c r="X3" s="306" t="s">
        <v>598</v>
      </c>
      <c r="Y3" s="306" t="s">
        <v>599</v>
      </c>
      <c r="Z3" s="306"/>
    </row>
    <row r="4" spans="1:61" ht="24.75">
      <c r="A4" t="s">
        <v>16</v>
      </c>
      <c r="C4" s="2" t="s">
        <v>186</v>
      </c>
      <c r="D4" s="168">
        <f>INDEX($R$5:$R$8,MATCH($D$3,$P$5:$P$8,0))</f>
        <v>0</v>
      </c>
      <c r="E4">
        <v>2017</v>
      </c>
      <c r="F4">
        <v>2019</v>
      </c>
      <c r="G4">
        <v>2020</v>
      </c>
      <c r="H4">
        <v>2021</v>
      </c>
      <c r="I4">
        <v>2030</v>
      </c>
      <c r="J4">
        <v>2040</v>
      </c>
      <c r="K4" s="104">
        <v>2050</v>
      </c>
      <c r="L4">
        <v>2060</v>
      </c>
      <c r="M4" s="104">
        <v>2070</v>
      </c>
      <c r="N4" s="200"/>
      <c r="P4" s="165"/>
      <c r="Q4" s="306"/>
      <c r="R4" s="306"/>
      <c r="S4" s="306" t="s">
        <v>524</v>
      </c>
      <c r="T4" s="306" t="s">
        <v>525</v>
      </c>
      <c r="U4" s="306" t="s">
        <v>625</v>
      </c>
      <c r="V4" s="306"/>
      <c r="W4" s="306"/>
      <c r="X4" s="306"/>
      <c r="Y4" s="306"/>
      <c r="Z4" s="306"/>
      <c r="AA4" s="200"/>
      <c r="AC4" s="200"/>
      <c r="AD4" s="200"/>
      <c r="AE4" s="200"/>
      <c r="AF4" s="200"/>
      <c r="AG4" s="200"/>
      <c r="AH4" s="200"/>
      <c r="AI4" s="200"/>
      <c r="AJ4" s="200"/>
      <c r="AK4" s="200"/>
      <c r="AL4" s="200"/>
      <c r="AM4" s="200"/>
      <c r="AN4" s="200"/>
      <c r="AO4" s="200"/>
      <c r="AP4" s="200"/>
      <c r="AQ4" s="200"/>
      <c r="AR4" s="200"/>
      <c r="AS4" s="200"/>
      <c r="AT4" s="200"/>
      <c r="AU4" s="200"/>
      <c r="AV4" s="200"/>
      <c r="AW4" s="200"/>
    </row>
    <row r="5" spans="1:61" ht="15.75" thickBot="1">
      <c r="A5" t="s">
        <v>16</v>
      </c>
      <c r="B5" s="13"/>
      <c r="C5" s="13"/>
      <c r="J5"/>
      <c r="K5" s="104"/>
      <c r="L5" s="104"/>
      <c r="M5" s="104"/>
      <c r="P5" s="165">
        <v>-1</v>
      </c>
      <c r="Q5" s="165" t="s">
        <v>603</v>
      </c>
      <c r="R5" s="165">
        <v>0</v>
      </c>
      <c r="S5" s="162">
        <v>0.97499999999999998</v>
      </c>
      <c r="T5" s="163">
        <v>0.95</v>
      </c>
      <c r="U5" s="163">
        <v>0.95</v>
      </c>
      <c r="V5" s="173">
        <v>1</v>
      </c>
      <c r="W5" s="163">
        <v>0</v>
      </c>
      <c r="X5" s="160">
        <v>0</v>
      </c>
      <c r="Y5" s="163">
        <v>0</v>
      </c>
      <c r="Z5" s="165"/>
    </row>
    <row r="6" spans="1:61">
      <c r="A6" t="s">
        <v>16</v>
      </c>
      <c r="E6" s="3"/>
      <c r="G6" s="3"/>
      <c r="I6" s="3"/>
      <c r="J6" s="3"/>
      <c r="K6" s="127"/>
      <c r="L6" s="127"/>
      <c r="M6" s="127"/>
      <c r="N6" s="201"/>
      <c r="P6" s="165">
        <v>1</v>
      </c>
      <c r="Q6" s="165" t="s">
        <v>604</v>
      </c>
      <c r="R6" s="165">
        <v>1</v>
      </c>
      <c r="S6" s="364">
        <v>0.95</v>
      </c>
      <c r="T6" s="365">
        <v>0.95</v>
      </c>
      <c r="U6" s="163">
        <v>0.95</v>
      </c>
      <c r="V6" s="173">
        <v>1</v>
      </c>
      <c r="W6" s="163">
        <v>0</v>
      </c>
      <c r="X6" s="160">
        <v>0</v>
      </c>
      <c r="Y6" s="163">
        <v>0</v>
      </c>
      <c r="Z6" s="165"/>
      <c r="AA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row>
    <row r="7" spans="1:61">
      <c r="A7" t="s">
        <v>16</v>
      </c>
      <c r="J7"/>
      <c r="N7" s="31"/>
      <c r="P7" s="165">
        <v>2</v>
      </c>
      <c r="Q7" s="165" t="s">
        <v>595</v>
      </c>
      <c r="R7" s="165">
        <v>1</v>
      </c>
      <c r="S7" s="162">
        <v>0.97499999999999998</v>
      </c>
      <c r="T7" s="163">
        <v>0.95</v>
      </c>
      <c r="U7" s="163">
        <v>0.95</v>
      </c>
      <c r="V7" s="174">
        <v>1</v>
      </c>
      <c r="W7" s="163">
        <v>0</v>
      </c>
      <c r="X7" s="214">
        <v>0</v>
      </c>
      <c r="Y7" s="163">
        <v>0</v>
      </c>
      <c r="Z7" s="165"/>
    </row>
    <row r="8" spans="1:61">
      <c r="A8" t="s">
        <v>16</v>
      </c>
      <c r="J8"/>
      <c r="N8" s="31"/>
      <c r="P8" s="165">
        <v>3</v>
      </c>
      <c r="Q8" s="165" t="s">
        <v>605</v>
      </c>
      <c r="R8" s="165">
        <v>1</v>
      </c>
      <c r="S8" s="162">
        <v>0.97499999999999998</v>
      </c>
      <c r="T8" s="163">
        <v>0.95</v>
      </c>
      <c r="U8" s="163">
        <v>0.95</v>
      </c>
      <c r="V8" s="174">
        <v>1</v>
      </c>
      <c r="W8" s="162">
        <v>0.05</v>
      </c>
      <c r="X8" s="162">
        <v>2.5000000000000001E-2</v>
      </c>
      <c r="Y8" s="162">
        <v>0.2</v>
      </c>
      <c r="Z8" s="165"/>
    </row>
    <row r="9" spans="1:61">
      <c r="A9" t="s">
        <v>16</v>
      </c>
      <c r="J9"/>
      <c r="N9" s="31"/>
    </row>
    <row r="10" spans="1:61">
      <c r="A10" t="s">
        <v>16</v>
      </c>
      <c r="B10" s="18"/>
      <c r="C10" s="18"/>
      <c r="J10"/>
      <c r="N10" s="31"/>
    </row>
    <row r="11" spans="1:61"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1"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1">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54">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1">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1">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1">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495</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495</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390</v>
      </c>
      <c r="D21" s="26" t="s">
        <v>495</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RES!I45</f>
        <v>2.2230447152746691</v>
      </c>
      <c r="L21" s="6">
        <f>RES!J45</f>
        <v>2.5121731010596071</v>
      </c>
      <c r="M21" s="6">
        <f>RES!K45</f>
        <v>2.7411143514484757</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800</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48">
        <f t="shared" ref="Y24:AG24" si="22">Y$12</f>
        <v>2017</v>
      </c>
      <c r="Z24" s="248">
        <f t="shared" si="22"/>
        <v>2019</v>
      </c>
      <c r="AA24" s="248">
        <f t="shared" si="22"/>
        <v>2020</v>
      </c>
      <c r="AB24" s="248">
        <f t="shared" si="22"/>
        <v>2021</v>
      </c>
      <c r="AC24" s="248">
        <f t="shared" si="22"/>
        <v>2030</v>
      </c>
      <c r="AD24" s="248">
        <f t="shared" si="22"/>
        <v>2040</v>
      </c>
      <c r="AE24" s="248">
        <f t="shared" si="22"/>
        <v>2050</v>
      </c>
      <c r="AF24" s="248">
        <f t="shared" si="22"/>
        <v>2060</v>
      </c>
      <c r="AG24" s="248">
        <f t="shared" si="22"/>
        <v>2070</v>
      </c>
    </row>
    <row r="25" spans="1:61">
      <c r="A25" t="s">
        <v>16</v>
      </c>
      <c r="B25" s="166">
        <f>INDEX($U$5:$U$8,MATCH($D$3,$P$5:$P$8,0))</f>
        <v>0.95</v>
      </c>
      <c r="C25" s="18" t="str">
        <f>C19</f>
        <v>Low Income</v>
      </c>
      <c r="D25" t="s">
        <v>39</v>
      </c>
      <c r="E25" s="195">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2"/>
      <c r="O25" s="355">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3"/>
      <c r="Y25" s="117">
        <f t="shared" ref="Y25:AB27" si="26">O25</f>
        <v>0.02</v>
      </c>
      <c r="Z25" s="117">
        <f t="shared" si="26"/>
        <v>0.02</v>
      </c>
      <c r="AA25" s="117">
        <f t="shared" si="26"/>
        <v>0.02</v>
      </c>
      <c r="AB25" s="117">
        <f t="shared" si="26"/>
        <v>0.02</v>
      </c>
      <c r="AC25" s="56">
        <f>AB25</f>
        <v>0.02</v>
      </c>
      <c r="AD25" s="56">
        <f t="shared" ref="AD25:AG25" si="27">AC25</f>
        <v>0.02</v>
      </c>
      <c r="AE25" s="56">
        <f t="shared" si="27"/>
        <v>0.02</v>
      </c>
      <c r="AF25" s="56">
        <f t="shared" si="27"/>
        <v>0.02</v>
      </c>
      <c r="AG25" s="56">
        <f t="shared" si="27"/>
        <v>0.02</v>
      </c>
      <c r="AH25" s="203"/>
      <c r="AI25" s="203"/>
      <c r="AJ25" s="203"/>
      <c r="AK25" s="203"/>
      <c r="AL25" s="203"/>
      <c r="AM25" s="203"/>
      <c r="AN25" s="203"/>
      <c r="AO25" s="203"/>
      <c r="AP25" s="203"/>
      <c r="AQ25" s="203"/>
      <c r="AR25" s="203"/>
      <c r="AS25" s="203"/>
      <c r="AT25" s="203"/>
      <c r="AU25" s="203"/>
      <c r="AV25" s="203"/>
      <c r="AW25" s="203"/>
      <c r="AX25" s="203"/>
      <c r="AY25" s="203"/>
    </row>
    <row r="26" spans="1:61">
      <c r="A26" t="s">
        <v>16</v>
      </c>
      <c r="B26" s="166">
        <f>INDEX($T$5:$T$8,MATCH($D$3,$P$5:$P$8,0))</f>
        <v>0.95</v>
      </c>
      <c r="C26" s="18" t="str">
        <f>C20</f>
        <v>Middle Income</v>
      </c>
      <c r="D26" t="s">
        <v>39</v>
      </c>
      <c r="E26" s="195">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2"/>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3"/>
      <c r="Y26" s="48">
        <f t="shared" si="26"/>
        <v>0.53</v>
      </c>
      <c r="Z26" s="48">
        <f t="shared" si="26"/>
        <v>0.53</v>
      </c>
      <c r="AA26" s="48">
        <f t="shared" si="26"/>
        <v>0.53</v>
      </c>
      <c r="AB26" s="48">
        <f t="shared" si="26"/>
        <v>0.53</v>
      </c>
      <c r="AC26" s="363">
        <f>IF(INDEX($V$5:$V$8,MATCH($D$3,$P$5:$P$8,0)),AA26*$B$26,AA26)</f>
        <v>0.50349999999999995</v>
      </c>
      <c r="AD26" s="363">
        <f>IF(INDEX($V$5:$V$8,MATCH($D$3,$P$5:$P$8,0)),AC26*$B$26,AC26)</f>
        <v>0.47832499999999994</v>
      </c>
      <c r="AE26" s="363">
        <f>IF(INDEX($V$5:$V$8,MATCH($D$3,$P$5:$P$8,0)),AC26*$B$26,AC26)</f>
        <v>0.47832499999999994</v>
      </c>
      <c r="AF26" s="363">
        <f>IF(INDEX($V$5:$V$8,MATCH($D$3,$P$5:$P$8,0)),AC26*$B$26,AC26)</f>
        <v>0.47832499999999994</v>
      </c>
      <c r="AG26" s="363">
        <f>IF(INDEX($V$5:$V$8,MATCH($D$3,$P$5:$P$8,0)),AD26*$B$26,AD26)</f>
        <v>0.45440874999999992</v>
      </c>
      <c r="AH26" s="92" t="s">
        <v>798</v>
      </c>
      <c r="AI26" s="203"/>
      <c r="AJ26" s="203"/>
      <c r="AK26" s="203"/>
      <c r="AL26" s="203"/>
      <c r="AM26" s="203"/>
      <c r="AN26" s="203"/>
      <c r="AO26" s="203"/>
      <c r="AP26" s="203"/>
      <c r="AQ26" s="203"/>
      <c r="AR26" s="203"/>
      <c r="AS26" s="203"/>
      <c r="AT26" s="203"/>
      <c r="AU26" s="203"/>
      <c r="AV26" s="203"/>
      <c r="AW26" s="203"/>
      <c r="AX26" s="203"/>
      <c r="AY26" s="203"/>
    </row>
    <row r="27" spans="1:61">
      <c r="A27" t="s">
        <v>16</v>
      </c>
      <c r="B27" s="166">
        <f>INDEX($S$5:$S$8,MATCH($D$3,$P$5:$P$8,0))</f>
        <v>0.97499999999999998</v>
      </c>
      <c r="C27" s="18" t="str">
        <f>C21</f>
        <v>High Income</v>
      </c>
      <c r="D27" t="s">
        <v>39</v>
      </c>
      <c r="E27" s="232">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2"/>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3"/>
      <c r="Y27" s="48">
        <f t="shared" si="26"/>
        <v>0.76810810810810803</v>
      </c>
      <c r="Z27" s="48">
        <f t="shared" si="26"/>
        <v>0.76810810810810803</v>
      </c>
      <c r="AA27" s="48">
        <f t="shared" si="26"/>
        <v>0.76810810810810803</v>
      </c>
      <c r="AB27" s="48">
        <f t="shared" si="26"/>
        <v>0.76810810810810803</v>
      </c>
      <c r="AC27" s="363">
        <f>IF(INDEX($V$5:$V$8,MATCH($D$3,$P$5:$P$8,0)),AA27*$B$27,AA27)</f>
        <v>0.74890540540540529</v>
      </c>
      <c r="AD27" s="363">
        <f>IF(INDEX($V$5:$V$8,MATCH($D$3,$P$5:$P$8,0)),AC27*$B$27,AC27)</f>
        <v>0.73018277027027012</v>
      </c>
      <c r="AE27" s="363">
        <f>IF(INDEX($V$5:$V$8,MATCH($D$3,$P$5:$P$8,0)),AC27*$B$27,AC27)</f>
        <v>0.73018277027027012</v>
      </c>
      <c r="AF27" s="363">
        <f>IF(INDEX($V$5:$V$8,MATCH($D$3,$P$5:$P$8,0)),AC27*$B$27,AC27)</f>
        <v>0.73018277027027012</v>
      </c>
      <c r="AG27" s="363">
        <f>IF(INDEX($V$5:$V$8,MATCH($D$3,$P$5:$P$8,0)),AD27*$B$27,AD27)</f>
        <v>0.7119282010135134</v>
      </c>
      <c r="AH27" s="203"/>
      <c r="AI27" s="203"/>
      <c r="AJ27" s="203"/>
      <c r="AK27" s="203"/>
      <c r="AL27" s="203"/>
      <c r="AM27" s="203"/>
      <c r="AN27" s="203"/>
      <c r="AO27" s="203"/>
      <c r="AP27" s="203"/>
      <c r="AQ27" s="203"/>
      <c r="AR27" s="203"/>
      <c r="AS27" s="203"/>
      <c r="AT27" s="203"/>
      <c r="AU27" s="203"/>
      <c r="AV27" s="203"/>
      <c r="AW27" s="203"/>
      <c r="AX27" s="203"/>
      <c r="AY27" s="203"/>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0.34861809307349323</v>
      </c>
      <c r="I28" s="164">
        <f t="shared" si="32"/>
        <v>0.3784258208682183</v>
      </c>
      <c r="J28" s="164">
        <f t="shared" si="32"/>
        <v>0.42483401691820455</v>
      </c>
      <c r="K28" s="164">
        <f t="shared" ref="K28:L28" si="33">SUMPRODUCT(K25:K27,K13:K15)/K16</f>
        <v>0.46879681881448321</v>
      </c>
      <c r="L28" s="164">
        <f t="shared" si="33"/>
        <v>0.511681761737245</v>
      </c>
      <c r="M28" s="164">
        <f t="shared" si="32"/>
        <v>0.55460957461470184</v>
      </c>
      <c r="N28" s="31"/>
      <c r="Y28" t="s">
        <v>187</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0.25</v>
      </c>
      <c r="J30" s="47">
        <f t="shared" si="38"/>
        <v>0.25</v>
      </c>
      <c r="K30" s="47">
        <f>IF($D$4,AD30,T30)</f>
        <v>0.25</v>
      </c>
      <c r="L30" s="47">
        <f>IF($D$4,AD30,T30)</f>
        <v>0.25</v>
      </c>
      <c r="M30" s="47">
        <f>IF($D$4,AG30,W30)</f>
        <v>0.25</v>
      </c>
      <c r="N30" s="32"/>
      <c r="O30" s="356">
        <f>E30</f>
        <v>0.25</v>
      </c>
      <c r="P30" s="47">
        <f>O30</f>
        <v>0.25</v>
      </c>
      <c r="Q30" s="47">
        <f>P30</f>
        <v>0.25</v>
      </c>
      <c r="R30" s="47">
        <f>Q30</f>
        <v>0.25</v>
      </c>
      <c r="S30" s="34">
        <f t="shared" ref="S30:T30" si="39">R30</f>
        <v>0.25</v>
      </c>
      <c r="T30" s="34">
        <f t="shared" si="39"/>
        <v>0.25</v>
      </c>
      <c r="U30" s="34">
        <f>S30</f>
        <v>0.25</v>
      </c>
      <c r="V30" s="34">
        <f>S30</f>
        <v>0.25</v>
      </c>
      <c r="W30" s="34">
        <f>T30</f>
        <v>0.25</v>
      </c>
      <c r="X30" s="194"/>
      <c r="Y30" s="48">
        <f t="shared" ref="Y30:AB32" si="40">O30</f>
        <v>0.25</v>
      </c>
      <c r="Z30" s="48">
        <f t="shared" si="40"/>
        <v>0.25</v>
      </c>
      <c r="AA30" s="48">
        <f t="shared" si="40"/>
        <v>0.25</v>
      </c>
      <c r="AB30" s="48">
        <f t="shared" si="40"/>
        <v>0.25</v>
      </c>
      <c r="AC30" s="55">
        <f>AA30*$B25</f>
        <v>0.23749999999999999</v>
      </c>
      <c r="AD30" s="55">
        <f>AB30*$B25</f>
        <v>0.23749999999999999</v>
      </c>
      <c r="AE30" s="55">
        <f t="shared" ref="AE30:AG30" si="41">AC30*$B25</f>
        <v>0.22562499999999999</v>
      </c>
      <c r="AF30" s="55">
        <f t="shared" si="41"/>
        <v>0.22562499999999999</v>
      </c>
      <c r="AG30" s="55">
        <f t="shared" si="41"/>
        <v>0.21434374999999997</v>
      </c>
      <c r="AH30" s="194"/>
      <c r="AI30" s="194"/>
      <c r="AJ30" s="194"/>
      <c r="AK30" s="194"/>
      <c r="AL30" s="194"/>
      <c r="AM30" s="194"/>
      <c r="AN30" s="194"/>
      <c r="AO30" s="194"/>
      <c r="AP30" s="194"/>
      <c r="AQ30" s="194"/>
      <c r="AR30" s="194"/>
      <c r="AS30" s="194"/>
      <c r="AT30" s="194"/>
      <c r="AU30" s="194"/>
      <c r="AV30" s="194"/>
      <c r="AW30" s="194"/>
      <c r="AX30" s="194"/>
      <c r="AY30" s="194"/>
    </row>
    <row r="31" spans="1:61">
      <c r="A31" t="s">
        <v>16</v>
      </c>
      <c r="C31" s="18" t="str">
        <f>C26</f>
        <v>Middle Income</v>
      </c>
      <c r="D31" t="s">
        <v>39</v>
      </c>
      <c r="E31" s="37">
        <v>0.3</v>
      </c>
      <c r="F31" s="47">
        <f t="shared" si="38"/>
        <v>0.3</v>
      </c>
      <c r="G31" s="47">
        <f t="shared" si="38"/>
        <v>0.3</v>
      </c>
      <c r="H31" s="47">
        <f t="shared" si="38"/>
        <v>0.3</v>
      </c>
      <c r="I31" s="47">
        <f t="shared" si="38"/>
        <v>0.3</v>
      </c>
      <c r="J31" s="47">
        <f t="shared" si="38"/>
        <v>0.3</v>
      </c>
      <c r="K31" s="47">
        <f>IF($D$4,AD31,T31)</f>
        <v>0.3</v>
      </c>
      <c r="L31" s="47">
        <f>IF($D$4,AD31,T31)</f>
        <v>0.3</v>
      </c>
      <c r="M31" s="47">
        <f>IF($D$4,AG31,W31)</f>
        <v>0.3</v>
      </c>
      <c r="N31" s="32"/>
      <c r="O31" s="47">
        <f>E31</f>
        <v>0.3</v>
      </c>
      <c r="P31" s="47">
        <f t="shared" ref="P31:P32" si="42">O31</f>
        <v>0.3</v>
      </c>
      <c r="Q31" s="47">
        <f>P31</f>
        <v>0.3</v>
      </c>
      <c r="R31" s="47">
        <f>Q31</f>
        <v>0.3</v>
      </c>
      <c r="S31" s="34">
        <f t="shared" ref="S31:T31" si="43">R31</f>
        <v>0.3</v>
      </c>
      <c r="T31" s="34">
        <f t="shared" si="43"/>
        <v>0.3</v>
      </c>
      <c r="U31" s="34">
        <f>S31</f>
        <v>0.3</v>
      </c>
      <c r="V31" s="34">
        <f>S31</f>
        <v>0.3</v>
      </c>
      <c r="W31" s="34">
        <f>T31</f>
        <v>0.3</v>
      </c>
      <c r="X31" s="194"/>
      <c r="Y31" s="48">
        <f t="shared" si="40"/>
        <v>0.3</v>
      </c>
      <c r="Z31" s="48">
        <f t="shared" si="40"/>
        <v>0.3</v>
      </c>
      <c r="AA31" s="48">
        <f t="shared" si="40"/>
        <v>0.3</v>
      </c>
      <c r="AB31" s="48">
        <f t="shared" si="40"/>
        <v>0.3</v>
      </c>
      <c r="AC31" s="366">
        <f t="shared" ref="AC31:AG31" si="44">S31*$B26</f>
        <v>0.28499999999999998</v>
      </c>
      <c r="AD31" s="366">
        <f t="shared" si="44"/>
        <v>0.28499999999999998</v>
      </c>
      <c r="AE31" s="366">
        <f t="shared" si="44"/>
        <v>0.28499999999999998</v>
      </c>
      <c r="AF31" s="366">
        <f t="shared" si="44"/>
        <v>0.28499999999999998</v>
      </c>
      <c r="AG31" s="366">
        <f t="shared" si="44"/>
        <v>0.28499999999999998</v>
      </c>
      <c r="AH31" s="367" t="s">
        <v>799</v>
      </c>
      <c r="AI31" s="194"/>
      <c r="AJ31" s="194"/>
      <c r="AK31" s="194"/>
      <c r="AL31" s="194"/>
      <c r="AM31" s="194"/>
      <c r="AN31" s="194"/>
      <c r="AO31" s="194"/>
      <c r="AP31" s="194"/>
      <c r="AQ31" s="194"/>
      <c r="AR31" s="194"/>
      <c r="AS31" s="194"/>
      <c r="AT31" s="194"/>
      <c r="AU31" s="194"/>
      <c r="AV31" s="194"/>
      <c r="AW31" s="194"/>
      <c r="AX31" s="194"/>
      <c r="AY31" s="194"/>
    </row>
    <row r="32" spans="1:61" ht="15.75" thickBot="1">
      <c r="A32" t="s">
        <v>16</v>
      </c>
      <c r="C32" s="18" t="str">
        <f>C27</f>
        <v>High Income</v>
      </c>
      <c r="D32" t="s">
        <v>39</v>
      </c>
      <c r="E32" s="37">
        <v>0.40039186287579059</v>
      </c>
      <c r="F32" s="47">
        <f t="shared" si="38"/>
        <v>0.40039186287579059</v>
      </c>
      <c r="G32" s="47">
        <f t="shared" si="38"/>
        <v>0.3966824420527032</v>
      </c>
      <c r="H32" s="47">
        <f t="shared" si="38"/>
        <v>0.40045855369940653</v>
      </c>
      <c r="I32" s="47">
        <f t="shared" si="38"/>
        <v>0.41102326977270026</v>
      </c>
      <c r="J32" s="47">
        <f t="shared" si="38"/>
        <v>0.44904602555498063</v>
      </c>
      <c r="K32" s="47">
        <f>IF($D$4,AD32,T32)</f>
        <v>0.44904602555498063</v>
      </c>
      <c r="L32" s="47">
        <f>IF($D$4,AD32,T32)</f>
        <v>0.44904602555498063</v>
      </c>
      <c r="M32" s="47">
        <f>IF($D$4,AG32,W32)</f>
        <v>0.51865795945727067</v>
      </c>
      <c r="N32" s="32"/>
      <c r="O32" s="47">
        <f>E32</f>
        <v>0.40039186287579059</v>
      </c>
      <c r="P32" s="47">
        <f t="shared" si="42"/>
        <v>0.40039186287579059</v>
      </c>
      <c r="Q32" s="47">
        <f>P32*(1+Q21*(G21/F21-1))</f>
        <v>0.3966824420527032</v>
      </c>
      <c r="R32" s="47">
        <f>Q32*(1+R21*(H21/E21-1))</f>
        <v>0.40045855369940653</v>
      </c>
      <c r="S32" s="34">
        <f>R32*(1+S21*(I21/H21-1))</f>
        <v>0.41102326977270026</v>
      </c>
      <c r="T32" s="34">
        <f>S32*(1+T21*(J21/I21-1))</f>
        <v>0.44904602555498063</v>
      </c>
      <c r="U32" s="34">
        <f>S32*(1+U21*(L21/I21-1))</f>
        <v>0.51729204386729877</v>
      </c>
      <c r="V32" s="34">
        <f>S32*(1+V21*(L21/I21-1))</f>
        <v>0.51729204386729877</v>
      </c>
      <c r="W32" s="34">
        <f>T32*(1+W21*(M21/J21-1))</f>
        <v>0.51865795945727067</v>
      </c>
      <c r="X32" s="194"/>
      <c r="Y32" s="48">
        <f t="shared" si="40"/>
        <v>0.40039186287579059</v>
      </c>
      <c r="Z32" s="48">
        <f t="shared" si="40"/>
        <v>0.40039186287579059</v>
      </c>
      <c r="AA32" s="48">
        <f t="shared" si="40"/>
        <v>0.3966824420527032</v>
      </c>
      <c r="AB32" s="48">
        <f t="shared" si="40"/>
        <v>0.40045855369940653</v>
      </c>
      <c r="AC32" s="366">
        <f>S32*$B27</f>
        <v>0.40074768802838273</v>
      </c>
      <c r="AD32" s="366">
        <f>T32*$B27</f>
        <v>0.43781987491610613</v>
      </c>
      <c r="AE32" s="366">
        <f>U32*$B27</f>
        <v>0.50435974277061624</v>
      </c>
      <c r="AF32" s="366">
        <f>V32*$B27</f>
        <v>0.50435974277061624</v>
      </c>
      <c r="AG32" s="366">
        <f>W32*$B27</f>
        <v>0.50569151047083893</v>
      </c>
      <c r="AH32" s="194"/>
      <c r="AI32" s="194"/>
      <c r="AJ32" s="194"/>
      <c r="AK32" s="194"/>
      <c r="AL32" s="194"/>
      <c r="AM32" s="194"/>
      <c r="AN32" s="194"/>
      <c r="AO32" s="194"/>
      <c r="AP32" s="194"/>
      <c r="AQ32" s="194"/>
      <c r="AR32" s="194"/>
      <c r="AS32" s="194"/>
      <c r="AT32" s="194"/>
      <c r="AU32" s="194"/>
      <c r="AV32" s="194"/>
      <c r="AW32" s="194"/>
      <c r="AX32" s="194"/>
      <c r="AY32" s="194"/>
    </row>
    <row r="33" spans="1:51" ht="48.75">
      <c r="A33" t="s">
        <v>16</v>
      </c>
      <c r="C33" s="18"/>
      <c r="D33" s="361" t="s">
        <v>796</v>
      </c>
      <c r="E33" s="289">
        <f t="shared" ref="E33:M33" si="45">SUMPRODUCT(E30:E32,E$13:E$15)/E$16</f>
        <v>0.30091725422531551</v>
      </c>
      <c r="F33" s="289">
        <f t="shared" si="45"/>
        <v>0.30192482056635134</v>
      </c>
      <c r="G33" s="289">
        <f t="shared" si="45"/>
        <v>0.29650350250840096</v>
      </c>
      <c r="H33" s="289">
        <f t="shared" si="45"/>
        <v>0.29982801369349593</v>
      </c>
      <c r="I33" s="289">
        <f t="shared" si="45"/>
        <v>0.30755700375900014</v>
      </c>
      <c r="J33" s="289">
        <f t="shared" si="45"/>
        <v>0.32784140451869009</v>
      </c>
      <c r="K33" s="289">
        <f t="shared" ref="K33:L33" si="46">SUMPRODUCT(K30:K32,K$13:K$15)/K$16</f>
        <v>0.33682214059927695</v>
      </c>
      <c r="L33" s="289">
        <f t="shared" si="46"/>
        <v>0.34558159559897583</v>
      </c>
      <c r="M33" s="289">
        <f t="shared" si="45"/>
        <v>0.38305082850893846</v>
      </c>
      <c r="N33" s="32"/>
      <c r="X33" s="194"/>
      <c r="Y33" s="4" t="s">
        <v>795</v>
      </c>
      <c r="AH33" s="194"/>
      <c r="AI33" s="194"/>
      <c r="AJ33" s="194"/>
      <c r="AK33" s="194"/>
      <c r="AL33" s="194"/>
      <c r="AM33" s="194"/>
      <c r="AN33" s="194"/>
      <c r="AO33" s="194"/>
      <c r="AP33" s="194"/>
      <c r="AQ33" s="194"/>
      <c r="AR33" s="194"/>
      <c r="AS33" s="194"/>
      <c r="AT33" s="194"/>
      <c r="AU33" s="194"/>
      <c r="AV33" s="194"/>
      <c r="AW33" s="194"/>
      <c r="AX33" s="194"/>
      <c r="AY33" s="194"/>
    </row>
    <row r="34" spans="1:51" ht="15.75" thickBot="1">
      <c r="A34" t="s">
        <v>16</v>
      </c>
      <c r="B34" s="13" t="s">
        <v>177</v>
      </c>
      <c r="D34" s="362">
        <f>INDEX($X$5:$X$8,MATCH($D$3,$P$5:$P$8,0))</f>
        <v>0</v>
      </c>
      <c r="E34" s="4">
        <f>E4</f>
        <v>2017</v>
      </c>
      <c r="F34" s="4">
        <f t="shared" ref="F34:H34" si="47">F4</f>
        <v>2019</v>
      </c>
      <c r="G34" s="4">
        <f t="shared" si="47"/>
        <v>2020</v>
      </c>
      <c r="H34" s="4">
        <f t="shared" si="47"/>
        <v>2021</v>
      </c>
      <c r="I34" s="4">
        <v>2030</v>
      </c>
      <c r="J34" s="4">
        <v>2040</v>
      </c>
      <c r="K34" s="4">
        <v>2050</v>
      </c>
      <c r="L34" s="4">
        <v>2050</v>
      </c>
      <c r="M34" s="4">
        <v>2050</v>
      </c>
      <c r="N34" s="31"/>
      <c r="O34" s="4">
        <f t="shared" ref="O34:S34" si="48">O29</f>
        <v>2017</v>
      </c>
      <c r="P34" s="4">
        <f t="shared" si="48"/>
        <v>2019</v>
      </c>
      <c r="Q34" s="4">
        <f t="shared" si="48"/>
        <v>2020</v>
      </c>
      <c r="R34" s="4">
        <f t="shared" si="48"/>
        <v>2021</v>
      </c>
      <c r="S34" s="4">
        <f t="shared" si="48"/>
        <v>2030</v>
      </c>
      <c r="T34" s="4">
        <f>J34</f>
        <v>2040</v>
      </c>
      <c r="U34" s="4">
        <f>L34</f>
        <v>2050</v>
      </c>
      <c r="V34" s="4">
        <f>L34</f>
        <v>2050</v>
      </c>
      <c r="W34" s="4">
        <f>M34</f>
        <v>2050</v>
      </c>
      <c r="X34" s="194"/>
      <c r="Y34" s="4">
        <f t="shared" ref="Y34:AD34" si="49">E34</f>
        <v>2017</v>
      </c>
      <c r="Z34" s="4">
        <f t="shared" si="49"/>
        <v>2019</v>
      </c>
      <c r="AA34" s="4">
        <f t="shared" si="49"/>
        <v>2020</v>
      </c>
      <c r="AB34" s="4">
        <f t="shared" si="49"/>
        <v>2021</v>
      </c>
      <c r="AC34" s="4">
        <f t="shared" si="49"/>
        <v>2030</v>
      </c>
      <c r="AD34" s="4">
        <f t="shared" si="49"/>
        <v>2040</v>
      </c>
      <c r="AE34" s="4">
        <f>L34</f>
        <v>2050</v>
      </c>
      <c r="AF34" s="4">
        <f>L34</f>
        <v>2050</v>
      </c>
      <c r="AG34" s="4">
        <f>M34</f>
        <v>2050</v>
      </c>
    </row>
    <row r="35" spans="1:51">
      <c r="A35" t="s">
        <v>16</v>
      </c>
      <c r="C35" s="18" t="str">
        <f>C30</f>
        <v>Low Income</v>
      </c>
      <c r="D35" t="s">
        <v>85</v>
      </c>
      <c r="E35" s="37">
        <v>1.4</v>
      </c>
      <c r="F35" s="47">
        <f t="shared" ref="F35:J38" si="50">IF($D$4,Z35,P35)</f>
        <v>1.4</v>
      </c>
      <c r="G35" s="47">
        <f t="shared" si="50"/>
        <v>1.4</v>
      </c>
      <c r="H35" s="47">
        <f t="shared" si="50"/>
        <v>1.4</v>
      </c>
      <c r="I35" s="47">
        <f t="shared" si="50"/>
        <v>1.4</v>
      </c>
      <c r="J35" s="47">
        <f t="shared" si="50"/>
        <v>1.4</v>
      </c>
      <c r="K35" s="47">
        <f>IF($D$4,AD35,T35)</f>
        <v>1.4</v>
      </c>
      <c r="L35" s="47">
        <f>IF($D$4,AD35,T35)</f>
        <v>1.4</v>
      </c>
      <c r="M35" s="47">
        <f>IF($D$4,AG35,W35)</f>
        <v>1.4</v>
      </c>
      <c r="N35" s="32"/>
      <c r="O35" s="335">
        <f>E35</f>
        <v>1.4</v>
      </c>
      <c r="P35" s="358">
        <f t="shared" ref="P35:T35" si="51">O35</f>
        <v>1.4</v>
      </c>
      <c r="Q35" s="358">
        <f t="shared" si="51"/>
        <v>1.4</v>
      </c>
      <c r="R35" s="358">
        <f t="shared" ref="R35" si="52">Q35</f>
        <v>1.4</v>
      </c>
      <c r="S35" s="358">
        <f t="shared" si="51"/>
        <v>1.4</v>
      </c>
      <c r="T35" s="358">
        <f t="shared" si="51"/>
        <v>1.4</v>
      </c>
      <c r="U35" s="358">
        <f>S35</f>
        <v>1.4</v>
      </c>
      <c r="V35" s="358">
        <f t="shared" ref="V35:W38" si="53">S35</f>
        <v>1.4</v>
      </c>
      <c r="W35" s="358">
        <f t="shared" si="53"/>
        <v>1.4</v>
      </c>
      <c r="X35" s="359" t="s">
        <v>794</v>
      </c>
      <c r="Y35" s="358">
        <f t="shared" ref="Y35:AB38" si="54">O35</f>
        <v>1.4</v>
      </c>
      <c r="Z35" s="358">
        <f t="shared" si="54"/>
        <v>1.4</v>
      </c>
      <c r="AA35" s="358">
        <f t="shared" si="54"/>
        <v>1.4</v>
      </c>
      <c r="AB35" s="358">
        <f t="shared" si="54"/>
        <v>1.4</v>
      </c>
      <c r="AC35" s="360">
        <f>AA35*(1+$D$34)</f>
        <v>1.4</v>
      </c>
      <c r="AD35" s="360">
        <f t="shared" ref="AD35:AD38" si="55">AC35*(1+$D$34)</f>
        <v>1.4</v>
      </c>
      <c r="AE35" s="360">
        <f>AC35*(1+$D$34)</f>
        <v>1.4</v>
      </c>
      <c r="AF35" s="360">
        <f t="shared" ref="AF35:AG38" si="56">AC35*(1+$D$34)</f>
        <v>1.4</v>
      </c>
      <c r="AG35" s="360">
        <f t="shared" si="56"/>
        <v>1.4</v>
      </c>
      <c r="AH35" s="194"/>
      <c r="AI35" s="194"/>
      <c r="AJ35" s="194"/>
      <c r="AK35" s="194"/>
      <c r="AL35" s="194"/>
      <c r="AM35" s="194"/>
      <c r="AN35" s="194"/>
      <c r="AO35" s="194"/>
      <c r="AP35" s="194"/>
      <c r="AQ35" s="194"/>
      <c r="AR35" s="194"/>
      <c r="AS35" s="194"/>
      <c r="AT35" s="194"/>
      <c r="AU35" s="194"/>
      <c r="AV35" s="194"/>
      <c r="AW35" s="194"/>
      <c r="AX35" s="194"/>
      <c r="AY35" s="194"/>
    </row>
    <row r="36" spans="1:51">
      <c r="A36" t="s">
        <v>16</v>
      </c>
      <c r="C36" s="18" t="str">
        <f>C31</f>
        <v>Middle Income</v>
      </c>
      <c r="D36" t="s">
        <v>85</v>
      </c>
      <c r="E36" s="37">
        <v>1.4</v>
      </c>
      <c r="F36" s="47">
        <f t="shared" si="50"/>
        <v>1.4</v>
      </c>
      <c r="G36" s="47">
        <f t="shared" si="50"/>
        <v>1.4</v>
      </c>
      <c r="H36" s="47">
        <f t="shared" si="50"/>
        <v>1.4</v>
      </c>
      <c r="I36" s="47">
        <f t="shared" si="50"/>
        <v>1.4</v>
      </c>
      <c r="J36" s="47">
        <f t="shared" si="50"/>
        <v>1.4</v>
      </c>
      <c r="K36" s="47">
        <f>IF($D$4,AD36,T36)</f>
        <v>1.4</v>
      </c>
      <c r="L36" s="47">
        <f>IF($D$4,AD36,T36)</f>
        <v>1.4</v>
      </c>
      <c r="M36" s="47">
        <f>IF($D$4,AG36,W36)</f>
        <v>1.4</v>
      </c>
      <c r="N36" s="32"/>
      <c r="O36" s="335">
        <f t="shared" ref="O36:O38" si="57">E36</f>
        <v>1.4</v>
      </c>
      <c r="P36" s="358">
        <f t="shared" ref="P36:T38" si="58">O36</f>
        <v>1.4</v>
      </c>
      <c r="Q36" s="358">
        <f t="shared" si="58"/>
        <v>1.4</v>
      </c>
      <c r="R36" s="358">
        <f t="shared" ref="R36" si="59">Q36</f>
        <v>1.4</v>
      </c>
      <c r="S36" s="358">
        <f t="shared" si="58"/>
        <v>1.4</v>
      </c>
      <c r="T36" s="358">
        <f t="shared" si="58"/>
        <v>1.4</v>
      </c>
      <c r="U36" s="358">
        <f>S36</f>
        <v>1.4</v>
      </c>
      <c r="V36" s="358">
        <f t="shared" si="53"/>
        <v>1.4</v>
      </c>
      <c r="W36" s="358">
        <f t="shared" si="53"/>
        <v>1.4</v>
      </c>
      <c r="X36" s="359"/>
      <c r="Y36" s="358">
        <f t="shared" si="54"/>
        <v>1.4</v>
      </c>
      <c r="Z36" s="358">
        <f t="shared" si="54"/>
        <v>1.4</v>
      </c>
      <c r="AA36" s="358">
        <f t="shared" si="54"/>
        <v>1.4</v>
      </c>
      <c r="AB36" s="358">
        <f t="shared" si="54"/>
        <v>1.4</v>
      </c>
      <c r="AC36" s="360">
        <f>AA36*(1+$D$34)</f>
        <v>1.4</v>
      </c>
      <c r="AD36" s="360">
        <f t="shared" si="55"/>
        <v>1.4</v>
      </c>
      <c r="AE36" s="360">
        <f>AC36*(1+$D$34)</f>
        <v>1.4</v>
      </c>
      <c r="AF36" s="360">
        <f t="shared" si="56"/>
        <v>1.4</v>
      </c>
      <c r="AG36" s="360">
        <f t="shared" si="56"/>
        <v>1.4</v>
      </c>
      <c r="AH36" s="194"/>
      <c r="AI36" s="194"/>
      <c r="AJ36" s="194"/>
      <c r="AK36" s="194"/>
      <c r="AL36" s="194"/>
      <c r="AM36" s="194"/>
      <c r="AN36" s="194"/>
      <c r="AO36" s="194"/>
      <c r="AP36" s="194"/>
      <c r="AQ36" s="194"/>
      <c r="AR36" s="194"/>
      <c r="AS36" s="194"/>
      <c r="AT36" s="194"/>
      <c r="AU36" s="194"/>
      <c r="AV36" s="194"/>
      <c r="AW36" s="194"/>
      <c r="AX36" s="194"/>
      <c r="AY36" s="194"/>
    </row>
    <row r="37" spans="1:51">
      <c r="A37" t="s">
        <v>16</v>
      </c>
      <c r="C37" s="18" t="str">
        <f>C32</f>
        <v>High Income</v>
      </c>
      <c r="D37" t="s">
        <v>85</v>
      </c>
      <c r="E37" s="37">
        <v>1.4</v>
      </c>
      <c r="F37" s="47">
        <f t="shared" si="50"/>
        <v>1.4</v>
      </c>
      <c r="G37" s="47">
        <f t="shared" si="50"/>
        <v>1.4</v>
      </c>
      <c r="H37" s="47">
        <f t="shared" si="50"/>
        <v>1.4</v>
      </c>
      <c r="I37" s="47">
        <f t="shared" si="50"/>
        <v>1.4</v>
      </c>
      <c r="J37" s="47">
        <f t="shared" si="50"/>
        <v>1.4</v>
      </c>
      <c r="K37" s="47">
        <f>IF($D$4,AD37,T37)</f>
        <v>1.4</v>
      </c>
      <c r="L37" s="47">
        <f>IF($D$4,AD37,T37)</f>
        <v>1.4</v>
      </c>
      <c r="M37" s="47">
        <f>IF($D$4,AG37,W37)</f>
        <v>1.4</v>
      </c>
      <c r="N37" s="32"/>
      <c r="O37" s="335">
        <f t="shared" si="57"/>
        <v>1.4</v>
      </c>
      <c r="P37" s="358">
        <f t="shared" si="58"/>
        <v>1.4</v>
      </c>
      <c r="Q37" s="358">
        <f t="shared" si="58"/>
        <v>1.4</v>
      </c>
      <c r="R37" s="358">
        <f t="shared" ref="R37" si="60">Q37</f>
        <v>1.4</v>
      </c>
      <c r="S37" s="358">
        <f t="shared" si="58"/>
        <v>1.4</v>
      </c>
      <c r="T37" s="358">
        <f t="shared" si="58"/>
        <v>1.4</v>
      </c>
      <c r="U37" s="358">
        <f>S37</f>
        <v>1.4</v>
      </c>
      <c r="V37" s="358">
        <f t="shared" si="53"/>
        <v>1.4</v>
      </c>
      <c r="W37" s="358">
        <f t="shared" si="53"/>
        <v>1.4</v>
      </c>
      <c r="X37" s="359"/>
      <c r="Y37" s="358">
        <f t="shared" si="54"/>
        <v>1.4</v>
      </c>
      <c r="Z37" s="358">
        <f t="shared" si="54"/>
        <v>1.4</v>
      </c>
      <c r="AA37" s="358">
        <f t="shared" si="54"/>
        <v>1.4</v>
      </c>
      <c r="AB37" s="358">
        <f t="shared" si="54"/>
        <v>1.4</v>
      </c>
      <c r="AC37" s="360">
        <f>AA37*(1+$D$34)</f>
        <v>1.4</v>
      </c>
      <c r="AD37" s="360">
        <f t="shared" si="55"/>
        <v>1.4</v>
      </c>
      <c r="AE37" s="360">
        <f>AC37*(1+$D$34)</f>
        <v>1.4</v>
      </c>
      <c r="AF37" s="360">
        <f t="shared" si="56"/>
        <v>1.4</v>
      </c>
      <c r="AG37" s="360">
        <f t="shared" si="56"/>
        <v>1.4</v>
      </c>
      <c r="AH37" s="194"/>
      <c r="AI37" s="194"/>
      <c r="AJ37" s="194"/>
      <c r="AK37" s="194"/>
      <c r="AL37" s="194"/>
      <c r="AM37" s="194"/>
      <c r="AN37" s="194"/>
      <c r="AO37" s="194"/>
      <c r="AP37" s="194"/>
      <c r="AQ37" s="194"/>
      <c r="AR37" s="194"/>
      <c r="AS37" s="194"/>
      <c r="AT37" s="194"/>
      <c r="AU37" s="194"/>
      <c r="AV37" s="194"/>
      <c r="AW37" s="194"/>
      <c r="AX37" s="194"/>
      <c r="AY37" s="194"/>
    </row>
    <row r="38" spans="1:51">
      <c r="A38" t="s">
        <v>16</v>
      </c>
      <c r="C38" s="18" t="s">
        <v>183</v>
      </c>
      <c r="D38" t="s">
        <v>85</v>
      </c>
      <c r="E38" s="37">
        <v>1.4</v>
      </c>
      <c r="F38" s="47">
        <f t="shared" si="50"/>
        <v>1.4</v>
      </c>
      <c r="G38" s="47">
        <f t="shared" si="50"/>
        <v>1.4</v>
      </c>
      <c r="H38" s="47">
        <f t="shared" si="50"/>
        <v>1.4</v>
      </c>
      <c r="I38" s="47">
        <f t="shared" si="50"/>
        <v>1.4</v>
      </c>
      <c r="J38" s="47">
        <f t="shared" si="50"/>
        <v>1.4</v>
      </c>
      <c r="K38" s="47">
        <f>IF($D$4,AD38,T38)</f>
        <v>1.4</v>
      </c>
      <c r="L38" s="47">
        <f>IF($D$4,AD38,T38)</f>
        <v>1.4</v>
      </c>
      <c r="M38" s="47">
        <f>IF($D$4,AG38,W38)</f>
        <v>1.4</v>
      </c>
      <c r="N38" s="31"/>
      <c r="O38" s="335">
        <f t="shared" si="57"/>
        <v>1.4</v>
      </c>
      <c r="P38" s="358">
        <f t="shared" si="58"/>
        <v>1.4</v>
      </c>
      <c r="Q38" s="358">
        <f t="shared" si="58"/>
        <v>1.4</v>
      </c>
      <c r="R38" s="358">
        <f t="shared" ref="R38" si="61">Q38</f>
        <v>1.4</v>
      </c>
      <c r="S38" s="358">
        <f t="shared" si="58"/>
        <v>1.4</v>
      </c>
      <c r="T38" s="358">
        <f t="shared" si="58"/>
        <v>1.4</v>
      </c>
      <c r="U38" s="358">
        <f>S38</f>
        <v>1.4</v>
      </c>
      <c r="V38" s="358">
        <f t="shared" si="53"/>
        <v>1.4</v>
      </c>
      <c r="W38" s="358">
        <f t="shared" si="53"/>
        <v>1.4</v>
      </c>
      <c r="X38" s="281"/>
      <c r="Y38" s="358">
        <f t="shared" si="54"/>
        <v>1.4</v>
      </c>
      <c r="Z38" s="358">
        <f t="shared" si="54"/>
        <v>1.4</v>
      </c>
      <c r="AA38" s="358">
        <f t="shared" si="54"/>
        <v>1.4</v>
      </c>
      <c r="AB38" s="358">
        <f t="shared" si="54"/>
        <v>1.4</v>
      </c>
      <c r="AC38" s="360">
        <f>AA38*(1+$D$34)</f>
        <v>1.4</v>
      </c>
      <c r="AD38" s="360">
        <f t="shared" si="55"/>
        <v>1.4</v>
      </c>
      <c r="AE38" s="360">
        <f>AC38*(1+$D$34)</f>
        <v>1.4</v>
      </c>
      <c r="AF38" s="360">
        <f t="shared" si="56"/>
        <v>1.4</v>
      </c>
      <c r="AG38" s="360">
        <f t="shared" si="56"/>
        <v>1.4</v>
      </c>
    </row>
    <row r="39" spans="1:51">
      <c r="A39" t="s">
        <v>16</v>
      </c>
      <c r="C39" s="18"/>
      <c r="J39"/>
      <c r="N39" s="32"/>
      <c r="O39" s="3">
        <v>1</v>
      </c>
      <c r="P39" s="3"/>
      <c r="Q39" s="3"/>
      <c r="R39" s="3"/>
      <c r="S39" s="3"/>
      <c r="X39" s="194"/>
      <c r="Y39" t="s">
        <v>188</v>
      </c>
      <c r="AH39" s="194"/>
      <c r="AI39" s="194"/>
      <c r="AJ39" s="194"/>
      <c r="AK39" s="194"/>
      <c r="AL39" s="194"/>
      <c r="AM39" s="194"/>
      <c r="AN39" s="194"/>
      <c r="AO39" s="194"/>
      <c r="AP39" s="194"/>
      <c r="AQ39" s="194"/>
      <c r="AR39" s="194"/>
      <c r="AS39" s="194"/>
      <c r="AT39" s="194"/>
      <c r="AU39" s="194"/>
      <c r="AV39" s="194"/>
      <c r="AW39" s="194"/>
      <c r="AX39" s="194"/>
      <c r="AY39" s="194"/>
    </row>
    <row r="40" spans="1:51" ht="15.75" thickBot="1">
      <c r="A40" t="s">
        <v>16</v>
      </c>
      <c r="B40" s="13" t="s">
        <v>178</v>
      </c>
      <c r="D40" s="13"/>
      <c r="E40" s="4">
        <f>E4</f>
        <v>2017</v>
      </c>
      <c r="F40" s="4">
        <f t="shared" ref="F40:H40" si="62">F4</f>
        <v>2019</v>
      </c>
      <c r="G40" s="4">
        <f t="shared" si="62"/>
        <v>2020</v>
      </c>
      <c r="H40" s="4">
        <f t="shared" si="62"/>
        <v>2021</v>
      </c>
      <c r="I40" s="4">
        <v>2030</v>
      </c>
      <c r="J40" s="4">
        <v>2040</v>
      </c>
      <c r="K40" s="4">
        <v>2050</v>
      </c>
      <c r="L40" s="4">
        <v>2050</v>
      </c>
      <c r="M40" s="4">
        <v>2050</v>
      </c>
      <c r="N40" s="246" t="s">
        <v>626</v>
      </c>
      <c r="O40" s="4">
        <f t="shared" ref="O40:W40" si="63">O34</f>
        <v>2017</v>
      </c>
      <c r="P40" s="4">
        <f t="shared" si="63"/>
        <v>2019</v>
      </c>
      <c r="Q40" s="4">
        <f t="shared" si="63"/>
        <v>2020</v>
      </c>
      <c r="R40" s="4">
        <f t="shared" si="63"/>
        <v>2021</v>
      </c>
      <c r="S40" s="4">
        <f t="shared" si="63"/>
        <v>2030</v>
      </c>
      <c r="T40" s="4">
        <f t="shared" si="63"/>
        <v>2040</v>
      </c>
      <c r="U40" s="4">
        <f t="shared" ref="U40:V40" si="64">U34</f>
        <v>2050</v>
      </c>
      <c r="V40" s="4">
        <f t="shared" si="64"/>
        <v>2050</v>
      </c>
      <c r="W40" s="4">
        <f t="shared" si="63"/>
        <v>2050</v>
      </c>
      <c r="Y40" s="4">
        <f t="shared" ref="Y40:AD40" si="65">E40</f>
        <v>2017</v>
      </c>
      <c r="Z40" s="4">
        <f t="shared" si="65"/>
        <v>2019</v>
      </c>
      <c r="AA40" s="4">
        <f t="shared" si="65"/>
        <v>2020</v>
      </c>
      <c r="AB40" s="4">
        <f t="shared" si="65"/>
        <v>2021</v>
      </c>
      <c r="AC40" s="4">
        <f t="shared" si="65"/>
        <v>2030</v>
      </c>
      <c r="AD40" s="4">
        <f t="shared" si="65"/>
        <v>2040</v>
      </c>
      <c r="AE40" s="4">
        <f>L40</f>
        <v>2050</v>
      </c>
      <c r="AF40" s="4">
        <f>L40</f>
        <v>2050</v>
      </c>
      <c r="AG40" s="4">
        <f>M40</f>
        <v>2050</v>
      </c>
    </row>
    <row r="41" spans="1:51">
      <c r="A41" t="s">
        <v>16</v>
      </c>
      <c r="B41" s="166">
        <f>B25</f>
        <v>0.95</v>
      </c>
      <c r="C41" s="18" t="str">
        <f>C35</f>
        <v>Low Income</v>
      </c>
      <c r="D41" s="26" t="s">
        <v>159</v>
      </c>
      <c r="E41" s="37">
        <v>7.3852190250507794</v>
      </c>
      <c r="F41" s="47">
        <f t="shared" ref="F41:J44" si="66">IF($D$4,Z41,P41)</f>
        <v>7.3852190250507794</v>
      </c>
      <c r="G41" s="47">
        <f t="shared" si="66"/>
        <v>7.3852190250507794</v>
      </c>
      <c r="H41" s="47">
        <f t="shared" si="66"/>
        <v>7.3852190250507794</v>
      </c>
      <c r="I41" s="47">
        <f t="shared" si="66"/>
        <v>7.3852190250507794</v>
      </c>
      <c r="J41" s="47">
        <f t="shared" si="66"/>
        <v>7.3852190250507794</v>
      </c>
      <c r="K41" s="47">
        <f>IF($D$4,AD41,T41)</f>
        <v>7.3852190250507794</v>
      </c>
      <c r="L41" s="47">
        <f>IF($D$4,AD41,T41)</f>
        <v>7.3852190250507794</v>
      </c>
      <c r="M41" s="47">
        <f>IF($D$4,AG41,W41)</f>
        <v>7.3852190250507794</v>
      </c>
      <c r="N41" s="247">
        <v>1</v>
      </c>
      <c r="O41" s="337">
        <f>E41*O$39</f>
        <v>7.3852190250507794</v>
      </c>
      <c r="P41">
        <f t="shared" ref="P41:T41" si="67">O41</f>
        <v>7.3852190250507794</v>
      </c>
      <c r="Q41" s="47">
        <f>P41*$N41</f>
        <v>7.3852190250507794</v>
      </c>
      <c r="R41" s="47">
        <f>P41</f>
        <v>7.3852190250507794</v>
      </c>
      <c r="S41" s="34">
        <f t="shared" si="67"/>
        <v>7.3852190250507794</v>
      </c>
      <c r="T41" s="34">
        <f t="shared" si="67"/>
        <v>7.3852190250507794</v>
      </c>
      <c r="U41" s="34">
        <f>S41</f>
        <v>7.3852190250507794</v>
      </c>
      <c r="V41" s="34">
        <f t="shared" ref="V41:W44" si="68">S41</f>
        <v>7.3852190250507794</v>
      </c>
      <c r="W41" s="34">
        <f t="shared" si="68"/>
        <v>7.3852190250507794</v>
      </c>
      <c r="Y41" s="47">
        <f t="shared" ref="Y41:AB44" si="69">O41</f>
        <v>7.3852190250507794</v>
      </c>
      <c r="Z41" s="47">
        <f t="shared" si="69"/>
        <v>7.3852190250507794</v>
      </c>
      <c r="AA41" s="47">
        <f t="shared" si="69"/>
        <v>7.3852190250507794</v>
      </c>
      <c r="AB41" s="47">
        <f t="shared" si="69"/>
        <v>7.3852190250507794</v>
      </c>
      <c r="AC41" s="55">
        <f t="shared" ref="AC41:AD43" si="70">AB41*$B41</f>
        <v>7.0159580737982399</v>
      </c>
      <c r="AD41" s="55">
        <f t="shared" si="70"/>
        <v>6.6651601701083276</v>
      </c>
      <c r="AE41" s="55">
        <f>AC41*$B41</f>
        <v>6.6651601701083276</v>
      </c>
      <c r="AF41" s="55">
        <f t="shared" ref="AF41:AG44" si="71">AC41*$B41</f>
        <v>6.6651601701083276</v>
      </c>
      <c r="AG41" s="55">
        <f t="shared" si="71"/>
        <v>6.331902161602911</v>
      </c>
      <c r="AH41" s="194"/>
      <c r="AI41" s="194"/>
      <c r="AJ41" s="194"/>
      <c r="AK41" s="194"/>
      <c r="AL41" s="194"/>
      <c r="AM41" s="194"/>
      <c r="AN41" s="194"/>
      <c r="AO41" s="194"/>
      <c r="AP41" s="194"/>
      <c r="AQ41" s="194"/>
      <c r="AR41" s="194"/>
      <c r="AS41" s="194"/>
      <c r="AT41" s="194"/>
      <c r="AU41" s="194"/>
      <c r="AV41" s="194"/>
      <c r="AW41" s="194"/>
      <c r="AX41" s="194"/>
      <c r="AY41" s="194"/>
    </row>
    <row r="42" spans="1:51">
      <c r="A42" t="s">
        <v>16</v>
      </c>
      <c r="B42" s="166">
        <f t="shared" ref="B42:B43" si="72">B26</f>
        <v>0.95</v>
      </c>
      <c r="C42" s="18" t="str">
        <f>C36</f>
        <v>Middle Income</v>
      </c>
      <c r="D42" s="26" t="s">
        <v>159</v>
      </c>
      <c r="E42" s="37">
        <v>12.3446275646806</v>
      </c>
      <c r="F42" s="47">
        <f t="shared" si="66"/>
        <v>12.3446275646806</v>
      </c>
      <c r="G42" s="47">
        <f t="shared" si="66"/>
        <v>12.3446275646806</v>
      </c>
      <c r="H42" s="47">
        <f t="shared" si="66"/>
        <v>12.3446275646806</v>
      </c>
      <c r="I42" s="47">
        <f t="shared" si="66"/>
        <v>12.3446275646806</v>
      </c>
      <c r="J42" s="47">
        <f t="shared" si="66"/>
        <v>12.3446275646806</v>
      </c>
      <c r="K42" s="47">
        <f>IF($D$4,AD42,T42)</f>
        <v>12.3446275646806</v>
      </c>
      <c r="L42" s="47">
        <f>IF($D$4,AD42,T42)</f>
        <v>12.3446275646806</v>
      </c>
      <c r="M42" s="47">
        <f>IF($D$4,AG42,W42)</f>
        <v>12.3446275646806</v>
      </c>
      <c r="N42" s="247">
        <v>1</v>
      </c>
      <c r="O42" s="337">
        <f>E42*O$39</f>
        <v>12.3446275646806</v>
      </c>
      <c r="P42">
        <f t="shared" ref="P42:T44" si="73">O42</f>
        <v>12.3446275646806</v>
      </c>
      <c r="Q42" s="47">
        <f t="shared" ref="Q42:Q44" si="74">P42*$N42</f>
        <v>12.3446275646806</v>
      </c>
      <c r="R42" s="47">
        <f t="shared" ref="R42:R44" si="75">P42</f>
        <v>12.3446275646806</v>
      </c>
      <c r="S42" s="159">
        <f>R42</f>
        <v>12.3446275646806</v>
      </c>
      <c r="T42" s="159">
        <f t="shared" si="73"/>
        <v>12.3446275646806</v>
      </c>
      <c r="U42" s="159">
        <f>S42</f>
        <v>12.3446275646806</v>
      </c>
      <c r="V42" s="159">
        <f t="shared" si="68"/>
        <v>12.3446275646806</v>
      </c>
      <c r="W42" s="159">
        <f t="shared" si="68"/>
        <v>12.3446275646806</v>
      </c>
      <c r="Y42" s="47">
        <f t="shared" si="69"/>
        <v>12.3446275646806</v>
      </c>
      <c r="Z42" s="47">
        <f t="shared" si="69"/>
        <v>12.3446275646806</v>
      </c>
      <c r="AA42" s="47">
        <f t="shared" si="69"/>
        <v>12.3446275646806</v>
      </c>
      <c r="AB42" s="47">
        <f t="shared" si="69"/>
        <v>12.3446275646806</v>
      </c>
      <c r="AC42" s="55">
        <f t="shared" si="70"/>
        <v>11.727396186446569</v>
      </c>
      <c r="AD42" s="55">
        <f t="shared" si="70"/>
        <v>11.141026377124239</v>
      </c>
      <c r="AE42" s="55">
        <f>AC42*$B42</f>
        <v>11.141026377124239</v>
      </c>
      <c r="AF42" s="55">
        <f t="shared" si="71"/>
        <v>11.141026377124239</v>
      </c>
      <c r="AG42" s="55">
        <f t="shared" si="71"/>
        <v>10.583975058268027</v>
      </c>
      <c r="AH42" s="194"/>
      <c r="AI42" s="194"/>
      <c r="AJ42" s="194"/>
      <c r="AK42" s="194"/>
      <c r="AL42" s="194"/>
      <c r="AM42" s="194"/>
      <c r="AN42" s="194"/>
      <c r="AO42" s="194"/>
      <c r="AP42" s="194"/>
      <c r="AQ42" s="194"/>
      <c r="AR42" s="194"/>
      <c r="AS42" s="194"/>
      <c r="AT42" s="194"/>
      <c r="AU42" s="194"/>
      <c r="AV42" s="194"/>
      <c r="AW42" s="194"/>
      <c r="AX42" s="194"/>
      <c r="AY42" s="194"/>
    </row>
    <row r="43" spans="1:51">
      <c r="A43" t="s">
        <v>16</v>
      </c>
      <c r="B43" s="166">
        <f t="shared" si="72"/>
        <v>0.97499999999999998</v>
      </c>
      <c r="C43" s="18" t="str">
        <f>C37</f>
        <v>High Income</v>
      </c>
      <c r="D43" s="26" t="s">
        <v>159</v>
      </c>
      <c r="E43" s="37">
        <v>13.330035321564491</v>
      </c>
      <c r="F43" s="47">
        <f t="shared" si="66"/>
        <v>13.330035321564491</v>
      </c>
      <c r="G43" s="47">
        <f t="shared" si="66"/>
        <v>13.330035321564491</v>
      </c>
      <c r="H43" s="47">
        <f t="shared" si="66"/>
        <v>13.330035321564491</v>
      </c>
      <c r="I43" s="47">
        <f t="shared" si="66"/>
        <v>13.330035321564491</v>
      </c>
      <c r="J43" s="47">
        <f t="shared" si="66"/>
        <v>13.330035321564491</v>
      </c>
      <c r="K43" s="47">
        <f>IF($D$4,AD43,T43)</f>
        <v>13.330035321564491</v>
      </c>
      <c r="L43" s="47">
        <f>IF($D$4,AD43,T43)</f>
        <v>13.330035321564491</v>
      </c>
      <c r="M43" s="47">
        <f>IF($D$4,AG43,W43)</f>
        <v>13.330035321564491</v>
      </c>
      <c r="N43" s="247">
        <v>1</v>
      </c>
      <c r="O43" s="337">
        <f>E43*O$39</f>
        <v>13.330035321564491</v>
      </c>
      <c r="P43">
        <f t="shared" si="73"/>
        <v>13.330035321564491</v>
      </c>
      <c r="Q43" s="47">
        <f t="shared" si="74"/>
        <v>13.330035321564491</v>
      </c>
      <c r="R43" s="47">
        <f t="shared" si="75"/>
        <v>13.330035321564491</v>
      </c>
      <c r="S43" s="34">
        <f t="shared" si="73"/>
        <v>13.330035321564491</v>
      </c>
      <c r="T43" s="34">
        <f t="shared" si="73"/>
        <v>13.330035321564491</v>
      </c>
      <c r="U43" s="34">
        <f>S43</f>
        <v>13.330035321564491</v>
      </c>
      <c r="V43" s="34">
        <f t="shared" si="68"/>
        <v>13.330035321564491</v>
      </c>
      <c r="W43" s="34">
        <f t="shared" si="68"/>
        <v>13.330035321564491</v>
      </c>
      <c r="Y43" s="47">
        <f t="shared" si="69"/>
        <v>13.330035321564491</v>
      </c>
      <c r="Z43" s="47">
        <f t="shared" si="69"/>
        <v>13.330035321564491</v>
      </c>
      <c r="AA43" s="47">
        <f t="shared" si="69"/>
        <v>13.330035321564491</v>
      </c>
      <c r="AB43" s="47">
        <f t="shared" si="69"/>
        <v>13.330035321564491</v>
      </c>
      <c r="AC43" s="55">
        <f t="shared" si="70"/>
        <v>12.996784438525378</v>
      </c>
      <c r="AD43" s="55">
        <f t="shared" si="70"/>
        <v>12.671864827562242</v>
      </c>
      <c r="AE43" s="55">
        <f>AC43*$B43</f>
        <v>12.671864827562242</v>
      </c>
      <c r="AF43" s="55">
        <f t="shared" si="71"/>
        <v>12.671864827562242</v>
      </c>
      <c r="AG43" s="55">
        <f t="shared" si="71"/>
        <v>12.355068206873186</v>
      </c>
      <c r="AH43" s="194"/>
      <c r="AI43" s="194"/>
      <c r="AJ43" s="194"/>
      <c r="AK43" s="194"/>
      <c r="AL43" s="194"/>
      <c r="AM43" s="194"/>
      <c r="AN43" s="194"/>
      <c r="AO43" s="194"/>
      <c r="AP43" s="194"/>
      <c r="AQ43" s="194"/>
      <c r="AR43" s="194"/>
      <c r="AS43" s="194"/>
      <c r="AT43" s="194"/>
      <c r="AU43" s="194"/>
      <c r="AV43" s="194"/>
      <c r="AW43" s="194"/>
      <c r="AX43" s="194"/>
      <c r="AY43" s="194"/>
    </row>
    <row r="44" spans="1:51">
      <c r="A44" t="s">
        <v>16</v>
      </c>
      <c r="B44" s="166">
        <f>B43</f>
        <v>0.97499999999999998</v>
      </c>
      <c r="C44" s="18" t="s">
        <v>183</v>
      </c>
      <c r="D44" s="26" t="s">
        <v>159</v>
      </c>
      <c r="E44" s="37">
        <v>13.5</v>
      </c>
      <c r="F44" s="47">
        <f t="shared" si="66"/>
        <v>13.5</v>
      </c>
      <c r="G44" s="47">
        <f t="shared" si="66"/>
        <v>13.5</v>
      </c>
      <c r="H44" s="47">
        <f t="shared" si="66"/>
        <v>13.5</v>
      </c>
      <c r="I44" s="47">
        <f t="shared" si="66"/>
        <v>13.5</v>
      </c>
      <c r="J44" s="47">
        <f t="shared" si="66"/>
        <v>13.5</v>
      </c>
      <c r="K44" s="47">
        <f>IF($D$4,AD44,T44)</f>
        <v>13.5</v>
      </c>
      <c r="L44" s="47">
        <f>IF($D$4,AD44,T44)</f>
        <v>13.5</v>
      </c>
      <c r="M44" s="47">
        <f>IF($D$4,AG44,W44)</f>
        <v>13.5</v>
      </c>
      <c r="N44" s="247">
        <v>1</v>
      </c>
      <c r="O44" s="257">
        <f>E44</f>
        <v>13.5</v>
      </c>
      <c r="P44">
        <f t="shared" si="73"/>
        <v>13.5</v>
      </c>
      <c r="Q44" s="47">
        <f t="shared" si="74"/>
        <v>13.5</v>
      </c>
      <c r="R44" s="47">
        <f t="shared" si="75"/>
        <v>13.5</v>
      </c>
      <c r="S44" s="34">
        <f>R44</f>
        <v>13.5</v>
      </c>
      <c r="T44" s="34">
        <f t="shared" si="73"/>
        <v>13.5</v>
      </c>
      <c r="U44" s="34">
        <f>S44</f>
        <v>13.5</v>
      </c>
      <c r="V44" s="34">
        <f t="shared" si="68"/>
        <v>13.5</v>
      </c>
      <c r="W44" s="34">
        <f t="shared" si="68"/>
        <v>13.5</v>
      </c>
      <c r="Y44" s="47">
        <f t="shared" si="69"/>
        <v>13.5</v>
      </c>
      <c r="Z44" s="47">
        <f t="shared" si="69"/>
        <v>13.5</v>
      </c>
      <c r="AA44" s="47">
        <f t="shared" si="69"/>
        <v>13.5</v>
      </c>
      <c r="AB44" s="47">
        <f t="shared" si="69"/>
        <v>13.5</v>
      </c>
      <c r="AC44" s="55">
        <f>AB44*$B44</f>
        <v>13.1625</v>
      </c>
      <c r="AD44" s="55">
        <f t="shared" ref="AD44" si="76">AC44*$B44</f>
        <v>12.833437499999999</v>
      </c>
      <c r="AE44" s="55">
        <f>AC44*$B44</f>
        <v>12.833437499999999</v>
      </c>
      <c r="AF44" s="55">
        <f t="shared" si="71"/>
        <v>12.833437499999999</v>
      </c>
      <c r="AG44" s="55">
        <f t="shared" si="71"/>
        <v>12.512601562499999</v>
      </c>
      <c r="AH44" s="194"/>
      <c r="AI44" s="194"/>
      <c r="AJ44" s="194"/>
      <c r="AK44" s="194"/>
      <c r="AL44" s="194"/>
      <c r="AM44" s="194"/>
      <c r="AN44" s="194"/>
      <c r="AO44" s="194"/>
      <c r="AP44" s="194"/>
      <c r="AQ44" s="194"/>
      <c r="AR44" s="194"/>
      <c r="AS44" s="194"/>
      <c r="AT44" s="194"/>
      <c r="AU44" s="194"/>
      <c r="AV44" s="194"/>
      <c r="AW44" s="194"/>
      <c r="AX44" s="194"/>
      <c r="AY44" s="194"/>
    </row>
    <row r="45" spans="1:51">
      <c r="A45" t="s">
        <v>16</v>
      </c>
      <c r="C45" s="18" t="s">
        <v>6</v>
      </c>
      <c r="D45" s="26" t="s">
        <v>159</v>
      </c>
      <c r="E45" s="3">
        <f t="shared" ref="E45:J45" si="77">SUMPRODUCT(E41:E44,E54:E57)/SUM(E54:E57)</f>
        <v>12.901036769438678</v>
      </c>
      <c r="F45" s="3">
        <f t="shared" si="77"/>
        <v>12.901919445200708</v>
      </c>
      <c r="G45" s="3">
        <f t="shared" si="77"/>
        <v>12.84553690620824</v>
      </c>
      <c r="H45" s="3">
        <f t="shared" si="77"/>
        <v>12.888418631359706</v>
      </c>
      <c r="I45" s="3">
        <f t="shared" si="77"/>
        <v>12.916521722621837</v>
      </c>
      <c r="J45" s="3">
        <f t="shared" si="77"/>
        <v>12.977617670730055</v>
      </c>
      <c r="K45" s="3">
        <f>SUMPRODUCT(K41:K44,K54:K57)/SUM(K54:K57)</f>
        <v>12.977617670730055</v>
      </c>
      <c r="L45" s="3">
        <f>SUMPRODUCT(L41:L44,L54:L57)/SUM(L54:L57)</f>
        <v>12.977617670730055</v>
      </c>
      <c r="M45" s="3">
        <f>SUMPRODUCT(M41:M44,M54:M57)/SUM(M54:M57)</f>
        <v>13.049272982565739</v>
      </c>
      <c r="N45" s="32"/>
      <c r="X45" s="194"/>
      <c r="AA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4"/>
      <c r="AI46" s="194"/>
      <c r="AJ46" s="194"/>
      <c r="AK46" s="194"/>
      <c r="AL46" s="194"/>
      <c r="AM46" s="194"/>
      <c r="AN46" s="194"/>
      <c r="AO46" s="194"/>
      <c r="AP46" s="194"/>
      <c r="AQ46" s="194"/>
      <c r="AR46" s="194"/>
      <c r="AS46" s="194"/>
      <c r="AT46" s="194"/>
      <c r="AU46" s="194"/>
      <c r="AV46" s="194"/>
      <c r="AW46" s="194"/>
      <c r="AX46" s="194"/>
      <c r="AY46" s="194"/>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8">F47</f>
        <v>4454.71</v>
      </c>
      <c r="Q47" s="3">
        <f t="shared" si="78"/>
        <v>4168.5599999999995</v>
      </c>
      <c r="R47" s="3">
        <f t="shared" si="78"/>
        <v>4364.6310325648556</v>
      </c>
      <c r="S47" s="3">
        <f t="shared" si="78"/>
        <v>5005.9886470812162</v>
      </c>
      <c r="T47" s="3">
        <f t="shared" si="78"/>
        <v>7009.392166140904</v>
      </c>
      <c r="U47" s="3">
        <f t="shared" si="78"/>
        <v>9889.0394007788</v>
      </c>
      <c r="V47" s="3">
        <f t="shared" si="78"/>
        <v>9889.0394007788</v>
      </c>
      <c r="W47" s="3">
        <f t="shared" si="78"/>
        <v>9889.0394007788</v>
      </c>
      <c r="X47" s="194"/>
      <c r="Y47" s="3">
        <f>E47</f>
        <v>4369.2882721535752</v>
      </c>
      <c r="Z47" s="3">
        <f t="shared" ref="Z47:AG47" si="79">F47</f>
        <v>4454.71</v>
      </c>
      <c r="AA47" s="3">
        <f t="shared" si="79"/>
        <v>4168.5599999999995</v>
      </c>
      <c r="AB47" s="3">
        <f t="shared" si="79"/>
        <v>4364.6310325648556</v>
      </c>
      <c r="AC47" s="3">
        <f t="shared" si="79"/>
        <v>5005.9886470812162</v>
      </c>
      <c r="AD47" s="3">
        <f t="shared" si="79"/>
        <v>7009.392166140904</v>
      </c>
      <c r="AE47" s="3">
        <f t="shared" si="79"/>
        <v>9889.0394007788</v>
      </c>
      <c r="AF47" s="3">
        <f t="shared" si="79"/>
        <v>9889.0394007788</v>
      </c>
      <c r="AG47" s="3">
        <f t="shared" si="79"/>
        <v>9889.0394007788</v>
      </c>
      <c r="AH47" s="194"/>
      <c r="AI47" s="194"/>
      <c r="AJ47" s="194"/>
      <c r="AK47" s="194"/>
      <c r="AL47" s="194"/>
      <c r="AM47" s="194"/>
      <c r="AN47" s="194"/>
      <c r="AO47" s="194"/>
      <c r="AP47" s="194"/>
      <c r="AQ47" s="194"/>
      <c r="AR47" s="194"/>
      <c r="AS47" s="194"/>
      <c r="AT47" s="194"/>
      <c r="AU47" s="194"/>
      <c r="AV47" s="194"/>
      <c r="AW47" s="194"/>
      <c r="AX47" s="194"/>
      <c r="AY47" s="194"/>
    </row>
    <row r="48" spans="1:51">
      <c r="A48" t="s">
        <v>16</v>
      </c>
      <c r="C48" t="s">
        <v>151</v>
      </c>
      <c r="E48" s="37">
        <v>0.5</v>
      </c>
      <c r="F48" s="57">
        <f t="shared" ref="F48:J51" si="80">IF($D$4,Z48,P48)</f>
        <v>0.5</v>
      </c>
      <c r="G48" s="57">
        <f t="shared" si="80"/>
        <v>0.5</v>
      </c>
      <c r="H48" s="57">
        <f t="shared" si="80"/>
        <v>0.5</v>
      </c>
      <c r="I48" s="57">
        <f t="shared" si="80"/>
        <v>0.5</v>
      </c>
      <c r="J48" s="57">
        <f t="shared" si="80"/>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4"/>
      <c r="Y48" s="57">
        <f t="shared" ref="Y48:AB51" si="81">O48</f>
        <v>0.5</v>
      </c>
      <c r="Z48" s="57">
        <f t="shared" si="81"/>
        <v>0.5</v>
      </c>
      <c r="AA48" s="57">
        <f t="shared" si="81"/>
        <v>0.5</v>
      </c>
      <c r="AB48" s="57">
        <f t="shared" si="81"/>
        <v>0.5</v>
      </c>
      <c r="AC48" s="34">
        <f>AB48</f>
        <v>0.5</v>
      </c>
      <c r="AD48" s="34">
        <v>0.4</v>
      </c>
      <c r="AE48" s="34">
        <v>0.3</v>
      </c>
      <c r="AF48" s="34">
        <v>0.3</v>
      </c>
      <c r="AG48" s="34">
        <v>0.3</v>
      </c>
      <c r="AH48" s="194"/>
      <c r="AI48" s="194"/>
      <c r="AJ48" s="194"/>
      <c r="AK48" s="194"/>
      <c r="AL48" s="194"/>
      <c r="AM48" s="194"/>
      <c r="AN48" s="194"/>
      <c r="AO48" s="194"/>
      <c r="AP48" s="194"/>
      <c r="AQ48" s="194"/>
      <c r="AR48" s="194"/>
      <c r="AS48" s="194"/>
      <c r="AT48" s="194"/>
      <c r="AU48" s="194"/>
      <c r="AV48" s="194"/>
      <c r="AW48" s="194"/>
      <c r="AX48" s="194"/>
      <c r="AY48" s="194"/>
    </row>
    <row r="49" spans="1:51">
      <c r="A49" t="s">
        <v>16</v>
      </c>
      <c r="C49" s="18" t="s">
        <v>150</v>
      </c>
      <c r="D49" t="s">
        <v>152</v>
      </c>
      <c r="E49" s="37">
        <v>0.82</v>
      </c>
      <c r="F49" s="57">
        <f t="shared" si="80"/>
        <v>0.82801570101021782</v>
      </c>
      <c r="G49" s="57">
        <f t="shared" si="80"/>
        <v>0.80142174844719194</v>
      </c>
      <c r="H49" s="57">
        <f t="shared" si="80"/>
        <v>0.82026945481797375</v>
      </c>
      <c r="I49" s="57">
        <f t="shared" si="80"/>
        <v>0.8805364117356973</v>
      </c>
      <c r="J49" s="57">
        <f t="shared" si="80"/>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4"/>
      <c r="Y49" s="57">
        <f t="shared" si="81"/>
        <v>0.82</v>
      </c>
      <c r="Z49" s="57">
        <f t="shared" si="81"/>
        <v>0.82801570101021782</v>
      </c>
      <c r="AA49" s="57">
        <f t="shared" si="81"/>
        <v>0.80142174844719194</v>
      </c>
      <c r="AB49" s="57">
        <f t="shared" si="81"/>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4"/>
      <c r="AI49" s="194"/>
      <c r="AJ49" s="194"/>
      <c r="AK49" s="194"/>
      <c r="AL49" s="194"/>
      <c r="AM49" s="194"/>
      <c r="AN49" s="194"/>
      <c r="AO49" s="194"/>
      <c r="AP49" s="194"/>
      <c r="AQ49" s="194"/>
      <c r="AR49" s="194"/>
      <c r="AS49" s="194"/>
      <c r="AT49" s="194"/>
      <c r="AU49" s="194"/>
      <c r="AV49" s="194"/>
      <c r="AW49" s="194"/>
      <c r="AX49" s="194"/>
      <c r="AY49" s="194"/>
    </row>
    <row r="50" spans="1:51">
      <c r="A50" t="s">
        <v>16</v>
      </c>
      <c r="C50" s="18" t="s">
        <v>160</v>
      </c>
      <c r="D50" t="s">
        <v>161</v>
      </c>
      <c r="E50" s="37">
        <v>6.8311858080285788</v>
      </c>
      <c r="F50" s="57">
        <f t="shared" si="80"/>
        <v>11.17821196363794</v>
      </c>
      <c r="G50" s="57">
        <f t="shared" si="80"/>
        <v>10.819193604037091</v>
      </c>
      <c r="H50" s="57">
        <f t="shared" si="80"/>
        <v>11.073637640042646</v>
      </c>
      <c r="I50" s="57">
        <f t="shared" si="80"/>
        <v>11.887241558431914</v>
      </c>
      <c r="J50" s="57">
        <f t="shared" si="80"/>
        <v>14.265886742132098</v>
      </c>
      <c r="K50" s="57">
        <f>IF($D$4,AD50,T50)</f>
        <v>14.265886742132098</v>
      </c>
      <c r="L50" s="57">
        <f>IF($D$4,AD50,T50)</f>
        <v>14.265886742132098</v>
      </c>
      <c r="M50" s="57">
        <f>IF($D$4,AG50,W50)</f>
        <v>17.196292141981164</v>
      </c>
      <c r="N50" s="32"/>
      <c r="O50" s="3">
        <f t="shared" ref="O50:W50" si="82">O49*O44</f>
        <v>11.069999999999999</v>
      </c>
      <c r="P50" s="3">
        <f t="shared" si="82"/>
        <v>11.17821196363794</v>
      </c>
      <c r="Q50" s="57">
        <f t="shared" si="82"/>
        <v>10.819193604037091</v>
      </c>
      <c r="R50" s="57">
        <f t="shared" si="82"/>
        <v>11.073637640042646</v>
      </c>
      <c r="S50" s="34">
        <f t="shared" si="82"/>
        <v>11.887241558431914</v>
      </c>
      <c r="T50" s="34">
        <f t="shared" si="82"/>
        <v>14.265886742132098</v>
      </c>
      <c r="U50" s="34">
        <f t="shared" ref="U50:V50" si="83">U49*U44</f>
        <v>17.684897919991023</v>
      </c>
      <c r="V50" s="34">
        <f t="shared" si="83"/>
        <v>17.684897919991023</v>
      </c>
      <c r="W50" s="34">
        <f t="shared" si="82"/>
        <v>17.196292141981164</v>
      </c>
      <c r="X50" s="194"/>
      <c r="Y50" s="57">
        <f t="shared" si="81"/>
        <v>11.069999999999999</v>
      </c>
      <c r="Z50" s="57">
        <f t="shared" si="81"/>
        <v>11.17821196363794</v>
      </c>
      <c r="AA50" s="57">
        <f t="shared" si="81"/>
        <v>10.819193604037091</v>
      </c>
      <c r="AB50" s="57">
        <f t="shared" si="81"/>
        <v>11.073637640042646</v>
      </c>
      <c r="AC50" s="34">
        <f>AC49*AC44</f>
        <v>11.608287705030941</v>
      </c>
      <c r="AD50" s="34">
        <f>AD49*AD44</f>
        <v>13.129885047021842</v>
      </c>
      <c r="AE50" s="34">
        <f>AE49*AE44</f>
        <v>14.630119280735199</v>
      </c>
      <c r="AF50" s="34">
        <f>AF49*AF44</f>
        <v>14.630119280735199</v>
      </c>
      <c r="AG50" s="34">
        <f>AG49*AG44</f>
        <v>14.379415295709457</v>
      </c>
      <c r="AH50" s="194"/>
      <c r="AI50" s="194"/>
      <c r="AJ50" s="194"/>
      <c r="AK50" s="194"/>
      <c r="AL50" s="194"/>
      <c r="AM50" s="194"/>
      <c r="AN50" s="194"/>
      <c r="AO50" s="194"/>
      <c r="AP50" s="194"/>
      <c r="AQ50" s="194"/>
      <c r="AR50" s="194"/>
      <c r="AS50" s="194"/>
      <c r="AT50" s="194"/>
      <c r="AU50" s="194"/>
      <c r="AV50" s="194"/>
      <c r="AW50" s="194"/>
      <c r="AX50" s="194"/>
      <c r="AY50" s="194"/>
    </row>
    <row r="51" spans="1:51" ht="15.75" thickBot="1">
      <c r="A51" t="s">
        <v>16</v>
      </c>
      <c r="C51" s="18" t="s">
        <v>162</v>
      </c>
      <c r="D51" t="s">
        <v>124</v>
      </c>
      <c r="E51" s="37">
        <v>9.5636601312400096</v>
      </c>
      <c r="F51" s="57">
        <f t="shared" si="80"/>
        <v>15.649496749093116</v>
      </c>
      <c r="G51" s="57">
        <f t="shared" si="80"/>
        <v>15.146871045651926</v>
      </c>
      <c r="H51" s="57">
        <f t="shared" si="80"/>
        <v>15.503092696059703</v>
      </c>
      <c r="I51" s="57">
        <f t="shared" si="80"/>
        <v>16.642138181804679</v>
      </c>
      <c r="J51" s="57">
        <f t="shared" si="80"/>
        <v>19.972241438984938</v>
      </c>
      <c r="K51" s="57">
        <f>IF($D$4,AD51,T51)</f>
        <v>19.972241438984938</v>
      </c>
      <c r="L51" s="57">
        <f>IF($D$4,AD51,T51)</f>
        <v>19.972241438984938</v>
      </c>
      <c r="M51" s="57">
        <f>IF($D$4,AG51,W51)</f>
        <v>24.07480899877363</v>
      </c>
      <c r="N51" s="32"/>
      <c r="O51" s="3">
        <f t="shared" ref="O51:W51" si="84">O50*O38</f>
        <v>15.497999999999998</v>
      </c>
      <c r="P51" s="3">
        <f t="shared" si="84"/>
        <v>15.649496749093116</v>
      </c>
      <c r="Q51" s="320">
        <f>Q50*Q38</f>
        <v>15.146871045651926</v>
      </c>
      <c r="R51" s="320">
        <f t="shared" si="84"/>
        <v>15.503092696059703</v>
      </c>
      <c r="S51" s="321">
        <f t="shared" si="84"/>
        <v>16.642138181804679</v>
      </c>
      <c r="T51" s="321">
        <f t="shared" si="84"/>
        <v>19.972241438984938</v>
      </c>
      <c r="U51" s="321">
        <f t="shared" ref="U51:V51" si="85">U50*U38</f>
        <v>24.75885708798743</v>
      </c>
      <c r="V51" s="321">
        <f t="shared" si="85"/>
        <v>24.75885708798743</v>
      </c>
      <c r="W51" s="321">
        <f t="shared" si="84"/>
        <v>24.07480899877363</v>
      </c>
      <c r="X51" s="194"/>
      <c r="Y51" s="320">
        <f t="shared" si="81"/>
        <v>15.497999999999998</v>
      </c>
      <c r="Z51" s="320">
        <f t="shared" si="81"/>
        <v>15.649496749093116</v>
      </c>
      <c r="AA51" s="320">
        <f t="shared" si="81"/>
        <v>15.146871045651926</v>
      </c>
      <c r="AB51" s="320">
        <f t="shared" si="81"/>
        <v>15.503092696059703</v>
      </c>
      <c r="AC51" s="321">
        <f>AC50*AC38</f>
        <v>16.251602787043318</v>
      </c>
      <c r="AD51" s="321">
        <f>AD50*AD38</f>
        <v>18.381839065830579</v>
      </c>
      <c r="AE51" s="321">
        <f>AE50*AE38</f>
        <v>20.482166993029278</v>
      </c>
      <c r="AF51" s="321">
        <f>AF50*AF38</f>
        <v>20.482166993029278</v>
      </c>
      <c r="AG51" s="321">
        <f>AG50*AG38</f>
        <v>20.131181413993239</v>
      </c>
      <c r="AH51" s="194"/>
      <c r="AI51" s="194"/>
      <c r="AJ51" s="194"/>
      <c r="AK51" s="194"/>
      <c r="AL51" s="194"/>
      <c r="AM51" s="194"/>
      <c r="AN51" s="194"/>
      <c r="AO51" s="194"/>
      <c r="AP51" s="194"/>
      <c r="AQ51" s="194"/>
      <c r="AR51" s="194"/>
      <c r="AS51" s="194"/>
      <c r="AT51" s="194"/>
      <c r="AU51" s="194"/>
      <c r="AV51" s="194"/>
      <c r="AW51" s="194"/>
      <c r="AX51" s="194"/>
      <c r="AY51" s="194"/>
    </row>
    <row r="52" spans="1:51" ht="15.75" thickTop="1">
      <c r="A52" t="s">
        <v>16</v>
      </c>
      <c r="C52" s="18"/>
      <c r="J52"/>
      <c r="N52" s="308"/>
      <c r="O52" s="329" t="s">
        <v>785</v>
      </c>
      <c r="P52" s="309"/>
      <c r="Q52" s="309"/>
      <c r="R52" s="309"/>
      <c r="S52" s="328" t="s">
        <v>792</v>
      </c>
      <c r="T52" s="309"/>
      <c r="U52" s="309"/>
      <c r="V52" s="309"/>
      <c r="W52" s="309"/>
      <c r="X52" s="309"/>
      <c r="Y52" s="309"/>
      <c r="Z52" s="309"/>
      <c r="AA52" s="309"/>
      <c r="AB52" s="309"/>
      <c r="AC52" s="309"/>
      <c r="AD52" s="309"/>
      <c r="AE52" s="309"/>
      <c r="AF52" s="309"/>
      <c r="AG52" s="309"/>
      <c r="AH52" s="310"/>
    </row>
    <row r="53" spans="1:51" ht="15.75" thickBot="1">
      <c r="A53" t="s">
        <v>16</v>
      </c>
      <c r="B53" s="13" t="s">
        <v>73</v>
      </c>
      <c r="D53" s="13"/>
      <c r="E53" s="4">
        <f t="shared" ref="E53:M53" si="86">E40</f>
        <v>2017</v>
      </c>
      <c r="F53" s="4">
        <f t="shared" si="86"/>
        <v>2019</v>
      </c>
      <c r="G53" s="4">
        <f t="shared" si="86"/>
        <v>2020</v>
      </c>
      <c r="H53" s="4">
        <f t="shared" si="86"/>
        <v>2021</v>
      </c>
      <c r="I53" s="4">
        <f t="shared" si="86"/>
        <v>2030</v>
      </c>
      <c r="J53" s="4">
        <f t="shared" si="86"/>
        <v>2040</v>
      </c>
      <c r="K53" s="4">
        <f t="shared" ref="K53:L53" si="87">K40</f>
        <v>2050</v>
      </c>
      <c r="L53" s="4">
        <f t="shared" si="87"/>
        <v>2050</v>
      </c>
      <c r="M53" s="4">
        <f t="shared" si="86"/>
        <v>2050</v>
      </c>
      <c r="N53" s="311"/>
      <c r="O53" s="4">
        <f t="shared" ref="O53:W53" si="88">O40</f>
        <v>2017</v>
      </c>
      <c r="P53" s="4">
        <f t="shared" si="88"/>
        <v>2019</v>
      </c>
      <c r="Q53" s="4">
        <f t="shared" si="88"/>
        <v>2020</v>
      </c>
      <c r="R53" s="4">
        <f t="shared" si="88"/>
        <v>2021</v>
      </c>
      <c r="S53" s="4">
        <f t="shared" si="88"/>
        <v>2030</v>
      </c>
      <c r="T53" s="4">
        <f t="shared" si="88"/>
        <v>2040</v>
      </c>
      <c r="U53" s="4">
        <f t="shared" ref="U53:V53" si="89">U40</f>
        <v>2050</v>
      </c>
      <c r="V53" s="4">
        <f t="shared" si="89"/>
        <v>2050</v>
      </c>
      <c r="W53" s="4">
        <f t="shared" si="88"/>
        <v>2050</v>
      </c>
      <c r="Y53" s="248">
        <f t="shared" ref="Y53:AG53" si="90">Y$12</f>
        <v>2017</v>
      </c>
      <c r="Z53" s="248">
        <f t="shared" si="90"/>
        <v>2019</v>
      </c>
      <c r="AA53" s="248">
        <f t="shared" si="90"/>
        <v>2020</v>
      </c>
      <c r="AB53" s="248">
        <f t="shared" si="90"/>
        <v>2021</v>
      </c>
      <c r="AC53" s="248">
        <f t="shared" si="90"/>
        <v>2030</v>
      </c>
      <c r="AD53" s="248">
        <f t="shared" si="90"/>
        <v>2040</v>
      </c>
      <c r="AE53" s="248">
        <f t="shared" si="90"/>
        <v>2050</v>
      </c>
      <c r="AF53" s="248">
        <f t="shared" si="90"/>
        <v>2060</v>
      </c>
      <c r="AG53" s="248">
        <f t="shared" si="90"/>
        <v>2070</v>
      </c>
      <c r="AH53" s="312"/>
    </row>
    <row r="54" spans="1:51">
      <c r="A54" t="s">
        <v>16</v>
      </c>
      <c r="C54" s="18" t="str">
        <f>C30</f>
        <v>Low Income</v>
      </c>
      <c r="D54" t="s">
        <v>58</v>
      </c>
      <c r="E54" s="47">
        <f t="shared" ref="E54:J59" si="91">IF($D$4,Y54,O54)</f>
        <v>0.12877680945571371</v>
      </c>
      <c r="F54" s="47">
        <f t="shared" si="91"/>
        <v>0.12973355042768442</v>
      </c>
      <c r="G54" s="47">
        <f t="shared" si="91"/>
        <v>0.13499132813487882</v>
      </c>
      <c r="H54" s="47">
        <f t="shared" si="91"/>
        <v>0.13727664268348302</v>
      </c>
      <c r="I54" s="47">
        <f t="shared" si="91"/>
        <v>0.13467635944921375</v>
      </c>
      <c r="J54" s="47">
        <f t="shared" si="91"/>
        <v>0.12127086905281675</v>
      </c>
      <c r="K54" s="47">
        <f t="shared" ref="K54:K59" si="92">IF($D$4,AD54,T54)</f>
        <v>0.12127086905281675</v>
      </c>
      <c r="L54" s="47">
        <f t="shared" ref="L54:L59" si="93">IF($D$4,AD54,T54)</f>
        <v>0.12127086905281675</v>
      </c>
      <c r="M54" s="319">
        <f t="shared" ref="M54:M59" si="94">IF($D$4,AG54,W54)</f>
        <v>5.5274070540596965E-2</v>
      </c>
      <c r="N54" s="323"/>
      <c r="O54" s="357">
        <f t="shared" ref="O54:Q56" si="95">O30*O25*O13</f>
        <v>0.12877680945571371</v>
      </c>
      <c r="P54" s="3">
        <f t="shared" si="95"/>
        <v>0.12973355042768442</v>
      </c>
      <c r="Q54" s="3">
        <f t="shared" si="95"/>
        <v>0.13499132813487882</v>
      </c>
      <c r="R54" s="3">
        <f>R30*R25*R13</f>
        <v>0.13727664268348302</v>
      </c>
      <c r="S54" s="350">
        <f t="shared" ref="S54:W54" si="96">S30*S25*S13</f>
        <v>0.13467635944921375</v>
      </c>
      <c r="T54" s="350">
        <f t="shared" si="96"/>
        <v>0.12127086905281675</v>
      </c>
      <c r="U54" s="350">
        <f t="shared" ref="U54:V54" si="97">U30*U25*U13</f>
        <v>0.10259459503730881</v>
      </c>
      <c r="V54" s="350">
        <f t="shared" si="97"/>
        <v>8.0159897757257167E-2</v>
      </c>
      <c r="W54" s="350">
        <f t="shared" si="96"/>
        <v>5.5274070540596965E-2</v>
      </c>
      <c r="X54" s="351"/>
      <c r="Y54" s="3">
        <f t="shared" ref="Y54:AB56" si="98">Y30*Y25*Y13</f>
        <v>0.12877680945571371</v>
      </c>
      <c r="Z54" s="3">
        <f t="shared" si="98"/>
        <v>0.12973355042768442</v>
      </c>
      <c r="AA54" s="3">
        <f t="shared" si="98"/>
        <v>0.13499132813487882</v>
      </c>
      <c r="AB54" s="3">
        <f t="shared" si="98"/>
        <v>0.13727664268348302</v>
      </c>
      <c r="AC54" s="350">
        <f t="shared" ref="AC54" si="99">AC30*AC25*AC13</f>
        <v>0.12794254147675305</v>
      </c>
      <c r="AD54" s="350">
        <f t="shared" ref="AD54:AG56" si="100">AD30*AD25*AD13</f>
        <v>0.11520732560017592</v>
      </c>
      <c r="AE54" s="350">
        <f t="shared" ref="AE54:AF54" si="101">AE30*AE25*AE13</f>
        <v>9.2591622021171202E-2</v>
      </c>
      <c r="AF54" s="350">
        <f t="shared" si="101"/>
        <v>7.2344307725924581E-2</v>
      </c>
      <c r="AG54" s="350">
        <f t="shared" si="100"/>
        <v>4.7390606229744323E-2</v>
      </c>
      <c r="AH54" s="324"/>
      <c r="AI54" s="194"/>
      <c r="AJ54" s="194"/>
      <c r="AK54" s="194"/>
      <c r="AL54" s="194"/>
      <c r="AM54" s="194"/>
      <c r="AN54" s="194"/>
      <c r="AO54" s="194"/>
      <c r="AP54" s="194"/>
      <c r="AQ54" s="194"/>
      <c r="AR54" s="194"/>
      <c r="AS54" s="194"/>
      <c r="AT54" s="194"/>
      <c r="AU54" s="194"/>
      <c r="AV54" s="194"/>
      <c r="AW54" s="194"/>
      <c r="AX54" s="194"/>
      <c r="AY54" s="194"/>
    </row>
    <row r="55" spans="1:51">
      <c r="A55" t="s">
        <v>16</v>
      </c>
      <c r="C55" s="18" t="str">
        <f>C31</f>
        <v>Middle Income</v>
      </c>
      <c r="D55" t="s">
        <v>58</v>
      </c>
      <c r="E55" s="47">
        <f t="shared" si="91"/>
        <v>2.7702164245855587</v>
      </c>
      <c r="F55" s="47">
        <f t="shared" si="91"/>
        <v>2.92184375996167</v>
      </c>
      <c r="G55" s="47">
        <f t="shared" si="91"/>
        <v>3.0704902512012651</v>
      </c>
      <c r="H55" s="47">
        <f t="shared" si="91"/>
        <v>2.9214030134612732</v>
      </c>
      <c r="I55" s="47">
        <f t="shared" si="91"/>
        <v>3.3695901156689172</v>
      </c>
      <c r="J55" s="47">
        <f t="shared" si="91"/>
        <v>3.8638450762306458</v>
      </c>
      <c r="K55" s="47">
        <f t="shared" si="92"/>
        <v>3.8638450762306458</v>
      </c>
      <c r="L55" s="47">
        <f t="shared" si="93"/>
        <v>3.8638450762306458</v>
      </c>
      <c r="M55" s="319">
        <f t="shared" si="94"/>
        <v>5.3841148112939399</v>
      </c>
      <c r="N55" s="323"/>
      <c r="O55" s="257">
        <f t="shared" si="95"/>
        <v>2.7702164245855587</v>
      </c>
      <c r="P55" s="3">
        <f t="shared" si="95"/>
        <v>2.92184375996167</v>
      </c>
      <c r="Q55" s="3">
        <f>Q31*Q26*Q14</f>
        <v>3.0704902512012651</v>
      </c>
      <c r="R55" s="3">
        <f t="shared" ref="R55:W55" si="102">R31*R26*R14</f>
        <v>2.9214030134612732</v>
      </c>
      <c r="S55" s="350">
        <f t="shared" si="102"/>
        <v>3.3695901156689172</v>
      </c>
      <c r="T55" s="350">
        <f t="shared" si="102"/>
        <v>3.8638450762306458</v>
      </c>
      <c r="U55" s="350">
        <f t="shared" ref="U55:V55" si="103">U31*U26*U14</f>
        <v>4.4459156463111924</v>
      </c>
      <c r="V55" s="350">
        <f t="shared" si="103"/>
        <v>4.9470511107691104</v>
      </c>
      <c r="W55" s="350">
        <f t="shared" si="102"/>
        <v>5.3841148112939399</v>
      </c>
      <c r="X55" s="351"/>
      <c r="Y55" s="3">
        <f t="shared" si="98"/>
        <v>2.7702164245855587</v>
      </c>
      <c r="Z55" s="3">
        <f t="shared" si="98"/>
        <v>2.92184375996167</v>
      </c>
      <c r="AA55" s="3">
        <f t="shared" si="98"/>
        <v>3.0704902512012651</v>
      </c>
      <c r="AB55" s="3">
        <f t="shared" si="98"/>
        <v>2.9214030134612732</v>
      </c>
      <c r="AC55" s="350">
        <f t="shared" ref="AC55" si="104">AC31*AC26*AC14</f>
        <v>3.0410550793911968</v>
      </c>
      <c r="AD55" s="350">
        <f t="shared" si="100"/>
        <v>3.312764172233249</v>
      </c>
      <c r="AE55" s="350">
        <f t="shared" ref="AE55:AF55" si="105">AE31*AE26*AE14</f>
        <v>3.8118169272560576</v>
      </c>
      <c r="AF55" s="350">
        <f t="shared" si="105"/>
        <v>4.2414779460956655</v>
      </c>
      <c r="AG55" s="350">
        <f t="shared" si="100"/>
        <v>4.385395164516483</v>
      </c>
      <c r="AH55" s="324"/>
      <c r="AI55" s="194"/>
      <c r="AJ55" s="194"/>
      <c r="AK55" s="194"/>
      <c r="AL55" s="194"/>
      <c r="AM55" s="194"/>
      <c r="AN55" s="194"/>
      <c r="AO55" s="194"/>
      <c r="AP55" s="194"/>
      <c r="AQ55" s="194"/>
      <c r="AR55" s="194"/>
      <c r="AS55" s="194"/>
      <c r="AT55" s="194"/>
      <c r="AU55" s="194"/>
      <c r="AV55" s="194"/>
      <c r="AW55" s="194"/>
      <c r="AX55" s="194"/>
      <c r="AY55" s="194"/>
    </row>
    <row r="56" spans="1:51">
      <c r="A56" t="s">
        <v>16</v>
      </c>
      <c r="C56" s="18" t="str">
        <f>C32</f>
        <v>High Income</v>
      </c>
      <c r="D56" t="s">
        <v>58</v>
      </c>
      <c r="E56" s="47">
        <f t="shared" si="91"/>
        <v>4.1038214947082041</v>
      </c>
      <c r="F56" s="47">
        <f t="shared" si="91"/>
        <v>4.3184589686023154</v>
      </c>
      <c r="G56" s="47">
        <f t="shared" si="91"/>
        <v>3.6132870620523043</v>
      </c>
      <c r="H56" s="47">
        <f t="shared" si="91"/>
        <v>4.172016483740788</v>
      </c>
      <c r="I56" s="47">
        <f t="shared" si="91"/>
        <v>5.2192013732033935</v>
      </c>
      <c r="J56" s="47">
        <f t="shared" si="91"/>
        <v>7.2980239078622837</v>
      </c>
      <c r="K56" s="47">
        <f t="shared" si="92"/>
        <v>7.2980239078622837</v>
      </c>
      <c r="L56" s="47">
        <f t="shared" si="93"/>
        <v>7.2980239078622837</v>
      </c>
      <c r="M56" s="319">
        <f t="shared" si="94"/>
        <v>12.582995815205363</v>
      </c>
      <c r="N56" s="323"/>
      <c r="O56" s="257">
        <f t="shared" si="95"/>
        <v>4.1038214947082041</v>
      </c>
      <c r="P56" s="3">
        <f t="shared" si="95"/>
        <v>4.3184589686023154</v>
      </c>
      <c r="Q56" s="3">
        <f t="shared" si="95"/>
        <v>3.6132870620523043</v>
      </c>
      <c r="R56" s="3">
        <f t="shared" ref="R56:W56" si="106">R32*R27*R15</f>
        <v>4.172016483740788</v>
      </c>
      <c r="S56" s="350">
        <f t="shared" si="106"/>
        <v>5.2192013732033935</v>
      </c>
      <c r="T56" s="350">
        <f t="shared" si="106"/>
        <v>7.2980239078622837</v>
      </c>
      <c r="U56" s="350">
        <f t="shared" ref="U56:V56" si="107">U32*U27*U15</f>
        <v>9.9529146831187632</v>
      </c>
      <c r="V56" s="350">
        <f t="shared" si="107"/>
        <v>11.331110733973251</v>
      </c>
      <c r="W56" s="350">
        <f t="shared" si="106"/>
        <v>12.582995815205363</v>
      </c>
      <c r="X56" s="351"/>
      <c r="Y56" s="3">
        <f t="shared" si="98"/>
        <v>4.1038214947082041</v>
      </c>
      <c r="Z56" s="3">
        <f t="shared" si="98"/>
        <v>4.3184589686023154</v>
      </c>
      <c r="AA56" s="3">
        <f t="shared" si="98"/>
        <v>3.6132870620523043</v>
      </c>
      <c r="AB56" s="3">
        <f t="shared" si="98"/>
        <v>4.172016483740788</v>
      </c>
      <c r="AC56" s="350">
        <f t="shared" ref="AC56" si="108">AC32*AC27*AC15</f>
        <v>4.9615033054014743</v>
      </c>
      <c r="AD56" s="350">
        <f t="shared" si="100"/>
        <v>6.7642418779762927</v>
      </c>
      <c r="AE56" s="350">
        <f t="shared" ref="AE56:AF56" si="109">AE32*AE27*AE15</f>
        <v>9.2249522826237769</v>
      </c>
      <c r="AF56" s="350">
        <f t="shared" si="109"/>
        <v>10.502346212946236</v>
      </c>
      <c r="AG56" s="350">
        <f t="shared" si="100"/>
        <v>11.371100945986138</v>
      </c>
      <c r="AH56" s="324"/>
      <c r="AI56" s="194"/>
      <c r="AJ56" s="194"/>
      <c r="AK56" s="194"/>
      <c r="AL56" s="194"/>
      <c r="AM56" s="194"/>
      <c r="AN56" s="194"/>
      <c r="AO56" s="194"/>
      <c r="AP56" s="194"/>
      <c r="AQ56" s="194"/>
      <c r="AR56" s="194"/>
      <c r="AS56" s="194"/>
      <c r="AT56" s="194"/>
      <c r="AU56" s="194"/>
      <c r="AV56" s="194"/>
      <c r="AW56" s="194"/>
      <c r="AX56" s="194"/>
      <c r="AY56" s="194"/>
    </row>
    <row r="57" spans="1:51" ht="15.75" thickBot="1">
      <c r="A57" t="s">
        <v>16</v>
      </c>
      <c r="C57" s="18" t="s">
        <v>153</v>
      </c>
      <c r="D57" t="s">
        <v>58</v>
      </c>
      <c r="E57" s="47">
        <f t="shared" si="91"/>
        <v>0.82</v>
      </c>
      <c r="F57" s="47">
        <f t="shared" si="91"/>
        <v>0.82801570101021782</v>
      </c>
      <c r="G57" s="47">
        <f t="shared" si="91"/>
        <v>0.80142174844719194</v>
      </c>
      <c r="H57" s="47">
        <f t="shared" si="91"/>
        <v>0.82026945481797375</v>
      </c>
      <c r="I57" s="47">
        <f t="shared" si="91"/>
        <v>0.8805364117356973</v>
      </c>
      <c r="J57" s="47">
        <f t="shared" si="91"/>
        <v>1.0567323512690443</v>
      </c>
      <c r="K57" s="47">
        <f t="shared" si="92"/>
        <v>1.0567323512690443</v>
      </c>
      <c r="L57" s="47">
        <f t="shared" si="93"/>
        <v>1.0567323512690443</v>
      </c>
      <c r="M57" s="319">
        <f t="shared" si="94"/>
        <v>1.2737994179245307</v>
      </c>
      <c r="N57" s="325"/>
      <c r="O57" s="336">
        <f t="shared" ref="O57:Q57" si="110">O49</f>
        <v>0.82</v>
      </c>
      <c r="P57" s="326">
        <f t="shared" si="110"/>
        <v>0.82801570101021782</v>
      </c>
      <c r="Q57" s="326">
        <f t="shared" si="110"/>
        <v>0.80142174844719194</v>
      </c>
      <c r="R57" s="326">
        <f>R49</f>
        <v>0.82026945481797375</v>
      </c>
      <c r="S57" s="352">
        <f t="shared" ref="S57:W57" si="111">S49</f>
        <v>0.8805364117356973</v>
      </c>
      <c r="T57" s="352">
        <f t="shared" si="111"/>
        <v>1.0567323512690443</v>
      </c>
      <c r="U57" s="352">
        <f t="shared" ref="U57:V57" si="112">U49</f>
        <v>1.3099924385178536</v>
      </c>
      <c r="V57" s="352">
        <f t="shared" si="112"/>
        <v>1.3099924385178536</v>
      </c>
      <c r="W57" s="352">
        <f t="shared" si="111"/>
        <v>1.2737994179245307</v>
      </c>
      <c r="X57" s="353" t="s">
        <v>793</v>
      </c>
      <c r="Y57" s="326">
        <f t="shared" ref="Y57:AB57" si="113">Y49</f>
        <v>0.82</v>
      </c>
      <c r="Z57" s="326">
        <f t="shared" si="113"/>
        <v>0.82801570101021782</v>
      </c>
      <c r="AA57" s="326">
        <f t="shared" si="113"/>
        <v>0.80142174844719194</v>
      </c>
      <c r="AB57" s="326">
        <f t="shared" si="113"/>
        <v>0.82026945481797375</v>
      </c>
      <c r="AC57" s="352">
        <f t="shared" ref="AC57" si="114">AC49</f>
        <v>0.88192119316474382</v>
      </c>
      <c r="AD57" s="352">
        <f>AD49</f>
        <v>1.0230996213619183</v>
      </c>
      <c r="AE57" s="352">
        <f>AE49</f>
        <v>1.1400000413556539</v>
      </c>
      <c r="AF57" s="352">
        <f>AF49</f>
        <v>1.1400000413556539</v>
      </c>
      <c r="AG57" s="352">
        <f>AG49</f>
        <v>1.1491946917581279</v>
      </c>
      <c r="AH57" s="327"/>
      <c r="AI57" s="194"/>
      <c r="AJ57" s="194"/>
      <c r="AK57" s="194"/>
      <c r="AL57" s="194"/>
      <c r="AM57" s="194"/>
      <c r="AN57" s="194"/>
      <c r="AO57" s="194"/>
      <c r="AP57" s="194"/>
      <c r="AQ57" s="194"/>
      <c r="AR57" s="194"/>
      <c r="AS57" s="194"/>
      <c r="AT57" s="194"/>
      <c r="AU57" s="194"/>
      <c r="AV57" s="194"/>
      <c r="AW57" s="194"/>
      <c r="AX57" s="194"/>
      <c r="AY57" s="194"/>
    </row>
    <row r="58" spans="1:51" ht="15.75" thickTop="1">
      <c r="A58" t="s">
        <v>16</v>
      </c>
      <c r="C58" s="18" t="s">
        <v>55</v>
      </c>
      <c r="D58" t="s">
        <v>58</v>
      </c>
      <c r="E58" s="47">
        <f t="shared" si="91"/>
        <v>7.8228147287494769</v>
      </c>
      <c r="F58" s="47">
        <f t="shared" si="91"/>
        <v>8.1980519800018872</v>
      </c>
      <c r="G58" s="47">
        <f t="shared" si="91"/>
        <v>7.6201903898356402</v>
      </c>
      <c r="H58" s="47">
        <f t="shared" si="91"/>
        <v>8.0509655947035181</v>
      </c>
      <c r="I58" s="47">
        <f t="shared" si="91"/>
        <v>9.6040042600572217</v>
      </c>
      <c r="J58" s="47">
        <f t="shared" si="91"/>
        <v>12.339872204414791</v>
      </c>
      <c r="K58" s="47">
        <f t="shared" si="92"/>
        <v>12.339872204414791</v>
      </c>
      <c r="L58" s="47">
        <f t="shared" si="93"/>
        <v>12.339872204414791</v>
      </c>
      <c r="M58" s="47">
        <f t="shared" si="94"/>
        <v>19.296184114964429</v>
      </c>
      <c r="N58" s="32"/>
      <c r="O58" s="3">
        <f t="shared" ref="O58:Q58" si="115">SUM(O54:O57)</f>
        <v>7.8228147287494769</v>
      </c>
      <c r="P58" s="3">
        <f t="shared" si="115"/>
        <v>8.1980519800018872</v>
      </c>
      <c r="Q58" s="3">
        <f t="shared" si="115"/>
        <v>7.6201903898356402</v>
      </c>
      <c r="R58" s="3">
        <f>SUM(R54:R57)</f>
        <v>8.0509655947035181</v>
      </c>
      <c r="S58" s="322">
        <f t="shared" ref="S58" si="116">SUM(S54:S57)</f>
        <v>9.6040042600572217</v>
      </c>
      <c r="T58" s="322">
        <f t="shared" ref="T58" si="117">SUM(T54:T57)</f>
        <v>12.339872204414791</v>
      </c>
      <c r="U58" s="322">
        <f>SUM(U54:U57)</f>
        <v>15.81141736298512</v>
      </c>
      <c r="V58" s="322">
        <f>SUM(V54:V57)</f>
        <v>17.668314181017472</v>
      </c>
      <c r="W58" s="322">
        <f>SUM(W54:W57)</f>
        <v>19.296184114964429</v>
      </c>
      <c r="X58" s="194"/>
      <c r="Y58" s="3">
        <f t="shared" ref="Y58:AC58" si="118">SUM(Y54:Y57)</f>
        <v>7.8228147287494769</v>
      </c>
      <c r="Z58" s="3">
        <f t="shared" si="118"/>
        <v>8.1980519800018872</v>
      </c>
      <c r="AA58" s="3">
        <f t="shared" si="118"/>
        <v>7.6201903898356402</v>
      </c>
      <c r="AB58" s="3">
        <f t="shared" si="118"/>
        <v>8.0509655947035181</v>
      </c>
      <c r="AC58" s="322">
        <f t="shared" si="118"/>
        <v>9.0124221194341665</v>
      </c>
      <c r="AD58" s="322">
        <f>SUM(AD54:AD57)</f>
        <v>11.215312997171637</v>
      </c>
      <c r="AE58" s="322">
        <f>SUM(AE54:AE57)</f>
        <v>14.269360873256659</v>
      </c>
      <c r="AF58" s="322">
        <f>SUM(AF54:AF57)</f>
        <v>15.956168508123481</v>
      </c>
      <c r="AG58" s="322">
        <f>SUM(AG54:AG57)</f>
        <v>16.953081408490494</v>
      </c>
      <c r="AH58" s="194"/>
      <c r="AI58" s="194"/>
      <c r="AJ58" s="194"/>
      <c r="AK58" s="194"/>
      <c r="AL58" s="194"/>
      <c r="AM58" s="194"/>
      <c r="AN58" s="194"/>
      <c r="AO58" s="194"/>
      <c r="AP58" s="194"/>
      <c r="AQ58" s="194"/>
      <c r="AR58" s="194"/>
      <c r="AS58" s="194"/>
      <c r="AT58" s="194"/>
      <c r="AU58" s="194"/>
      <c r="AV58" s="194"/>
      <c r="AW58" s="194"/>
      <c r="AX58" s="194"/>
      <c r="AY58" s="194"/>
    </row>
    <row r="59" spans="1:51">
      <c r="A59" t="s">
        <v>16</v>
      </c>
      <c r="C59" s="18" t="s">
        <v>56</v>
      </c>
      <c r="D59" t="s">
        <v>57</v>
      </c>
      <c r="E59" s="47">
        <f t="shared" si="91"/>
        <v>7.2252699317964622</v>
      </c>
      <c r="F59" s="47">
        <f t="shared" si="91"/>
        <v>7.1193540934106165</v>
      </c>
      <c r="G59" s="47">
        <f t="shared" si="91"/>
        <v>7.6334348116433448</v>
      </c>
      <c r="H59" s="47">
        <f t="shared" si="91"/>
        <v>7.3770350029904908</v>
      </c>
      <c r="I59" s="47">
        <f t="shared" si="91"/>
        <v>6.7325332485446809</v>
      </c>
      <c r="J59" s="47">
        <f t="shared" si="91"/>
        <v>5.6494861409552284</v>
      </c>
      <c r="K59" s="47">
        <f t="shared" si="92"/>
        <v>5.6494861409552284</v>
      </c>
      <c r="L59" s="47">
        <f t="shared" si="93"/>
        <v>5.6494861409552284</v>
      </c>
      <c r="M59" s="47">
        <f t="shared" si="94"/>
        <v>3.9646260910555697</v>
      </c>
      <c r="N59" s="32"/>
      <c r="O59" s="35">
        <f t="shared" ref="O59:T59" si="119">E16/O58</f>
        <v>7.2252699317964622</v>
      </c>
      <c r="P59" s="35">
        <f t="shared" si="119"/>
        <v>7.1193540934106165</v>
      </c>
      <c r="Q59" s="3">
        <f t="shared" si="119"/>
        <v>7.6334348116433448</v>
      </c>
      <c r="R59" s="3">
        <f t="shared" si="119"/>
        <v>7.3770350029904908</v>
      </c>
      <c r="S59" s="34">
        <f t="shared" si="119"/>
        <v>6.7325332485446809</v>
      </c>
      <c r="T59" s="34">
        <f t="shared" si="119"/>
        <v>5.6494861409552284</v>
      </c>
      <c r="U59" s="34">
        <f>L16/U58</f>
        <v>4.785352018923315</v>
      </c>
      <c r="V59" s="34">
        <f>L16/V58</f>
        <v>4.2824231686626453</v>
      </c>
      <c r="W59" s="34">
        <f>M16/W58</f>
        <v>3.9646260910555697</v>
      </c>
      <c r="X59" s="194"/>
      <c r="Y59" s="35">
        <f t="shared" ref="Y59:AC59" si="120">Y16/Y58</f>
        <v>7.2252699317964622</v>
      </c>
      <c r="Z59" s="35">
        <f t="shared" si="120"/>
        <v>7.1193540934106165</v>
      </c>
      <c r="AA59" s="35">
        <f t="shared" si="120"/>
        <v>7.6334348116433448</v>
      </c>
      <c r="AB59" s="35">
        <f t="shared" si="120"/>
        <v>7.3770350029904908</v>
      </c>
      <c r="AC59" s="34">
        <f t="shared" si="120"/>
        <v>7.1744617754388482</v>
      </c>
      <c r="AD59" s="34">
        <f>AD16/AD58</f>
        <v>6.2159600019706085</v>
      </c>
      <c r="AE59" s="34">
        <f>AE16/AE58</f>
        <v>5.1529815282622744</v>
      </c>
      <c r="AF59" s="34">
        <f>AF16/AF58</f>
        <v>4.741940269775851</v>
      </c>
      <c r="AG59" s="34">
        <f>AG16/AG58</f>
        <v>4.5125811147043722</v>
      </c>
      <c r="AH59" s="194"/>
      <c r="AI59" s="194"/>
      <c r="AJ59" s="194"/>
      <c r="AK59" s="194"/>
      <c r="AL59" s="194"/>
      <c r="AM59" s="194"/>
      <c r="AN59" s="194"/>
      <c r="AO59" s="194"/>
      <c r="AP59" s="194"/>
      <c r="AQ59" s="194"/>
      <c r="AR59" s="194"/>
      <c r="AS59" s="194"/>
      <c r="AT59" s="194"/>
      <c r="AU59" s="194"/>
      <c r="AV59" s="194"/>
      <c r="AW59" s="194"/>
      <c r="AX59" s="194"/>
      <c r="AY59" s="194"/>
    </row>
    <row r="60" spans="1:51">
      <c r="A60" t="s">
        <v>16</v>
      </c>
      <c r="C60" s="18" t="s">
        <v>154</v>
      </c>
      <c r="D60" t="s">
        <v>132</v>
      </c>
      <c r="E60" s="3">
        <f t="shared" ref="E60:M60" si="121">1000/E59</f>
        <v>138.40313364615901</v>
      </c>
      <c r="F60" s="3">
        <f t="shared" si="121"/>
        <v>140.46218054044525</v>
      </c>
      <c r="G60" s="3">
        <f t="shared" si="121"/>
        <v>131.00262524999772</v>
      </c>
      <c r="H60" s="3">
        <f t="shared" si="121"/>
        <v>135.55581606900626</v>
      </c>
      <c r="I60" s="3">
        <f t="shared" si="121"/>
        <v>148.53250078136074</v>
      </c>
      <c r="J60" s="3">
        <f t="shared" si="121"/>
        <v>177.00724898688179</v>
      </c>
      <c r="K60" s="3">
        <f t="shared" ref="K60:L60" si="122">1000/K59</f>
        <v>177.00724898688179</v>
      </c>
      <c r="L60" s="3">
        <f t="shared" si="122"/>
        <v>177.00724898688179</v>
      </c>
      <c r="M60" s="3">
        <f t="shared" si="121"/>
        <v>252.2305955298178</v>
      </c>
      <c r="N60" s="31"/>
      <c r="O60" s="3">
        <f t="shared" ref="O60:Q60" si="123">1000/O59</f>
        <v>138.40313364615901</v>
      </c>
      <c r="P60" s="3">
        <f t="shared" si="123"/>
        <v>140.46218054044525</v>
      </c>
      <c r="Q60" s="3">
        <f t="shared" si="123"/>
        <v>131.00262524999772</v>
      </c>
      <c r="R60" s="3">
        <f>1000/R59</f>
        <v>135.55581606900626</v>
      </c>
      <c r="S60" s="3">
        <f t="shared" ref="S60" si="124">1000/S59</f>
        <v>148.53250078136074</v>
      </c>
      <c r="T60" s="3">
        <f t="shared" ref="T60" si="125">1000/T59</f>
        <v>177.00724898688179</v>
      </c>
      <c r="U60" s="3">
        <f t="shared" ref="U60:W60" si="126">1000/U59</f>
        <v>208.97104247411164</v>
      </c>
      <c r="V60" s="3">
        <f t="shared" ref="V60" si="127">1000/V59</f>
        <v>233.51265407810908</v>
      </c>
      <c r="W60" s="3">
        <f t="shared" si="126"/>
        <v>252.2305955298178</v>
      </c>
      <c r="Y60" s="3">
        <f t="shared" ref="Y60:AC60" si="128">1000/Y59</f>
        <v>138.40313364615901</v>
      </c>
      <c r="Z60" s="3">
        <f t="shared" si="128"/>
        <v>140.46218054044525</v>
      </c>
      <c r="AA60" s="3">
        <f t="shared" si="128"/>
        <v>131.00262524999772</v>
      </c>
      <c r="AB60" s="3">
        <f t="shared" si="128"/>
        <v>135.55581606900626</v>
      </c>
      <c r="AC60" s="3">
        <f t="shared" si="128"/>
        <v>139.38327797959894</v>
      </c>
      <c r="AD60" s="3">
        <f>1000/AD59</f>
        <v>160.87619606351649</v>
      </c>
      <c r="AE60" s="3">
        <f>1000/AE59</f>
        <v>194.0624072714709</v>
      </c>
      <c r="AF60" s="3">
        <f>1000/AF59</f>
        <v>210.88414090194127</v>
      </c>
      <c r="AG60" s="3">
        <f>1000/AG59</f>
        <v>221.60266476794666</v>
      </c>
    </row>
    <row r="61" spans="1:51">
      <c r="A61" t="s">
        <v>16</v>
      </c>
      <c r="C61" s="18" t="s">
        <v>155</v>
      </c>
      <c r="E61" s="197">
        <f>IF($D$4,AA61,Q61)</f>
        <v>0.10517083005120005</v>
      </c>
      <c r="F61" s="197">
        <f>IF($D$4,AC61,S61)</f>
        <v>9.1684300411842071E-2</v>
      </c>
      <c r="G61" s="197">
        <f>IF($D$4,AD61,T61)</f>
        <v>8.5635599280435099E-2</v>
      </c>
      <c r="H61" s="197">
        <f>IF($D$4,AG61,W61)</f>
        <v>6.6013021555732534E-2</v>
      </c>
      <c r="I61" s="197">
        <f>IF($D$4,AC61,S61)</f>
        <v>9.1684300411842071E-2</v>
      </c>
      <c r="J61" s="197">
        <f>IF($D$4,AD61,T61)</f>
        <v>8.5635599280435099E-2</v>
      </c>
      <c r="K61" s="197">
        <f>IF($D$4,AD61,T61)</f>
        <v>8.5635599280435099E-2</v>
      </c>
      <c r="L61" s="197">
        <f>IF($D$4,AD61,T61)</f>
        <v>8.5635599280435099E-2</v>
      </c>
      <c r="M61" s="197">
        <f>IF($D$4,AG61,W61)</f>
        <v>6.6013021555732534E-2</v>
      </c>
      <c r="N61" s="31"/>
      <c r="O61" s="197">
        <f t="shared" ref="O61:Q61" si="129">O57/O58</f>
        <v>0.10482160557713756</v>
      </c>
      <c r="P61" s="197">
        <f>P57/P58</f>
        <v>0.10100151877910235</v>
      </c>
      <c r="Q61" s="197">
        <f t="shared" si="129"/>
        <v>0.10517083005120005</v>
      </c>
      <c r="R61" s="197">
        <f>R57/R58</f>
        <v>0.10188460566240697</v>
      </c>
      <c r="S61" s="197">
        <f t="shared" ref="S61:W61" si="130">S57/S58</f>
        <v>9.1684300411842071E-2</v>
      </c>
      <c r="T61" s="197">
        <f t="shared" si="130"/>
        <v>8.5635599280435099E-2</v>
      </c>
      <c r="U61" s="197">
        <f t="shared" ref="U61:V61" si="131">U57/U58</f>
        <v>8.2851044181818587E-2</v>
      </c>
      <c r="V61" s="197">
        <f t="shared" si="131"/>
        <v>7.4143601087040129E-2</v>
      </c>
      <c r="W61" s="197">
        <f t="shared" si="130"/>
        <v>6.6013021555732534E-2</v>
      </c>
      <c r="Y61" s="197">
        <f t="shared" ref="Y61:AB61" si="132">Y57/Y58</f>
        <v>0.10482160557713756</v>
      </c>
      <c r="Z61" s="197">
        <f t="shared" si="132"/>
        <v>0.10100151877910235</v>
      </c>
      <c r="AA61" s="197">
        <f t="shared" si="132"/>
        <v>0.10517083005120005</v>
      </c>
      <c r="AB61" s="197">
        <f t="shared" si="132"/>
        <v>0.10188460566240697</v>
      </c>
      <c r="AC61" s="197">
        <f t="shared" ref="AC61" si="133">AC57/AC58</f>
        <v>9.7856179113380695E-2</v>
      </c>
      <c r="AD61" s="197">
        <f>AD57/AD58</f>
        <v>9.122345685937891E-2</v>
      </c>
      <c r="AE61" s="197">
        <f>AE57/AE58</f>
        <v>7.9891457752128081E-2</v>
      </c>
      <c r="AF61" s="197">
        <f>AF57/AF58</f>
        <v>7.1445725881828459E-2</v>
      </c>
      <c r="AG61" s="197">
        <f>AG57/AG58</f>
        <v>6.7786773629399596E-2</v>
      </c>
    </row>
    <row r="62" spans="1:51">
      <c r="A62" t="s">
        <v>16</v>
      </c>
      <c r="C62" s="18"/>
      <c r="E62" s="197"/>
      <c r="G62" s="197"/>
      <c r="I62" s="197"/>
      <c r="J62" s="197"/>
      <c r="K62" s="197"/>
      <c r="L62" s="197"/>
      <c r="M62" s="197"/>
      <c r="N62" s="31"/>
      <c r="O62">
        <v>7.7429715476704368</v>
      </c>
      <c r="P62" s="3">
        <f>O62-O58</f>
        <v>-7.9843181079040093E-2</v>
      </c>
    </row>
    <row r="63" spans="1:51" ht="15.75" thickBot="1">
      <c r="A63" t="s">
        <v>16</v>
      </c>
      <c r="C63" s="13" t="s">
        <v>69</v>
      </c>
      <c r="E63" s="4">
        <f t="shared" ref="E63:M63" si="134">E53</f>
        <v>2017</v>
      </c>
      <c r="F63" s="4">
        <f t="shared" si="134"/>
        <v>2019</v>
      </c>
      <c r="G63" s="4">
        <f t="shared" si="134"/>
        <v>2020</v>
      </c>
      <c r="H63" s="4">
        <f t="shared" si="134"/>
        <v>2021</v>
      </c>
      <c r="I63" s="4">
        <f t="shared" si="134"/>
        <v>2030</v>
      </c>
      <c r="J63" s="4">
        <f t="shared" si="134"/>
        <v>2040</v>
      </c>
      <c r="K63" s="4">
        <f t="shared" ref="K63:L63" si="135">K53</f>
        <v>2050</v>
      </c>
      <c r="L63" s="4">
        <f t="shared" si="135"/>
        <v>2050</v>
      </c>
      <c r="M63" s="4">
        <f t="shared" si="134"/>
        <v>2050</v>
      </c>
      <c r="N63" s="31"/>
      <c r="O63" s="4">
        <f t="shared" ref="O63:W63" si="136">O53</f>
        <v>2017</v>
      </c>
      <c r="P63" s="4">
        <f t="shared" si="136"/>
        <v>2019</v>
      </c>
      <c r="Q63" s="4">
        <f t="shared" si="136"/>
        <v>2020</v>
      </c>
      <c r="R63" s="4">
        <f t="shared" si="136"/>
        <v>2021</v>
      </c>
      <c r="S63" s="4">
        <f t="shared" si="136"/>
        <v>2030</v>
      </c>
      <c r="T63" s="4">
        <f t="shared" si="136"/>
        <v>2040</v>
      </c>
      <c r="U63" s="4">
        <f t="shared" ref="U63:V63" si="137">U53</f>
        <v>2050</v>
      </c>
      <c r="V63" s="4">
        <f t="shared" si="137"/>
        <v>2050</v>
      </c>
      <c r="W63" s="4">
        <f t="shared" si="136"/>
        <v>2050</v>
      </c>
      <c r="Y63" s="248">
        <f t="shared" ref="Y63:AG63" si="138">Y$12</f>
        <v>2017</v>
      </c>
      <c r="Z63" s="248">
        <f t="shared" si="138"/>
        <v>2019</v>
      </c>
      <c r="AA63" s="248">
        <f t="shared" si="138"/>
        <v>2020</v>
      </c>
      <c r="AB63" s="248">
        <f t="shared" si="138"/>
        <v>2021</v>
      </c>
      <c r="AC63" s="248">
        <f t="shared" si="138"/>
        <v>2030</v>
      </c>
      <c r="AD63" s="248">
        <f t="shared" si="138"/>
        <v>2040</v>
      </c>
      <c r="AE63" s="248">
        <f t="shared" si="138"/>
        <v>2050</v>
      </c>
      <c r="AF63" s="248">
        <f t="shared" si="138"/>
        <v>2060</v>
      </c>
      <c r="AG63" s="248">
        <f t="shared" si="138"/>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9">P64</f>
        <v>330</v>
      </c>
      <c r="R64" s="3">
        <f t="shared" si="139"/>
        <v>330</v>
      </c>
      <c r="S64" s="46">
        <f t="shared" si="139"/>
        <v>330</v>
      </c>
      <c r="T64" s="46">
        <f t="shared" si="139"/>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8" t="s">
        <v>167</v>
      </c>
      <c r="D67" t="s">
        <v>158</v>
      </c>
      <c r="E67" s="172">
        <v>33.5</v>
      </c>
      <c r="F67" s="58">
        <f t="shared" ref="F67:J70" si="142">IF($D$4,Z67,P67)</f>
        <v>33.5</v>
      </c>
      <c r="G67" s="58">
        <f t="shared" si="142"/>
        <v>33.5</v>
      </c>
      <c r="H67" s="58">
        <f t="shared" si="142"/>
        <v>33.5</v>
      </c>
      <c r="I67" s="58">
        <f t="shared" si="142"/>
        <v>33.5</v>
      </c>
      <c r="J67" s="58">
        <f t="shared" si="142"/>
        <v>33.5</v>
      </c>
      <c r="K67" s="58">
        <f>IF($D$4,AD67,T67)</f>
        <v>33.5</v>
      </c>
      <c r="L67" s="58">
        <f>IF($D$4,AD67,T67)</f>
        <v>33.5</v>
      </c>
      <c r="M67" s="58">
        <f>IF($D$4,AG67,W67)</f>
        <v>33.5</v>
      </c>
      <c r="N67" s="31"/>
      <c r="O67" s="57">
        <f>E67</f>
        <v>33.5</v>
      </c>
      <c r="P67" s="58">
        <f t="shared" ref="P67:T67" si="143">O67</f>
        <v>33.5</v>
      </c>
      <c r="Q67" s="3">
        <f t="shared" si="143"/>
        <v>33.5</v>
      </c>
      <c r="R67" s="3">
        <f t="shared" si="143"/>
        <v>33.5</v>
      </c>
      <c r="S67" s="46">
        <f t="shared" si="143"/>
        <v>33.5</v>
      </c>
      <c r="T67" s="46">
        <f t="shared" si="143"/>
        <v>33.5</v>
      </c>
      <c r="U67" s="46">
        <f>S67</f>
        <v>33.5</v>
      </c>
      <c r="V67" s="46">
        <f t="shared" ref="V67:W70" si="144">S67</f>
        <v>33.5</v>
      </c>
      <c r="W67" s="46">
        <f t="shared" si="144"/>
        <v>33.5</v>
      </c>
      <c r="Y67" s="58">
        <f t="shared" ref="Y67:AB70" si="145">O67</f>
        <v>33.5</v>
      </c>
      <c r="Z67" s="58">
        <f t="shared" si="145"/>
        <v>33.5</v>
      </c>
      <c r="AA67" s="58">
        <f t="shared" si="145"/>
        <v>33.5</v>
      </c>
      <c r="AB67" s="58">
        <f t="shared" si="145"/>
        <v>33.5</v>
      </c>
      <c r="AC67" s="46">
        <f>AA67</f>
        <v>33.5</v>
      </c>
      <c r="AD67" s="46">
        <f>AC67</f>
        <v>33.5</v>
      </c>
      <c r="AE67" s="46">
        <f>AC67</f>
        <v>33.5</v>
      </c>
      <c r="AF67" s="46">
        <f>AC67</f>
        <v>33.5</v>
      </c>
      <c r="AG67" s="46">
        <f>AD67</f>
        <v>33.5</v>
      </c>
    </row>
    <row r="68" spans="1:51">
      <c r="A68" t="s">
        <v>16</v>
      </c>
      <c r="C68" s="18" t="s">
        <v>54</v>
      </c>
      <c r="D68" t="s">
        <v>158</v>
      </c>
      <c r="E68" s="46">
        <f>E70*1.5</f>
        <v>32.25</v>
      </c>
      <c r="F68" s="58">
        <f t="shared" si="142"/>
        <v>32.25</v>
      </c>
      <c r="G68" s="58">
        <f t="shared" si="142"/>
        <v>32.25</v>
      </c>
      <c r="H68" s="58">
        <f t="shared" si="142"/>
        <v>32.25</v>
      </c>
      <c r="I68" s="58">
        <f t="shared" si="142"/>
        <v>32.25</v>
      </c>
      <c r="J68" s="58">
        <f t="shared" si="142"/>
        <v>32.25</v>
      </c>
      <c r="K68" s="58">
        <f>IF($D$4,AD68,T68)</f>
        <v>32.25</v>
      </c>
      <c r="L68" s="58">
        <f>IF($D$4,AD68,T68)</f>
        <v>32.25</v>
      </c>
      <c r="M68" s="58">
        <f>IF($D$4,AG68,W68)</f>
        <v>32.25</v>
      </c>
      <c r="N68" s="31"/>
      <c r="O68" s="58">
        <f>E68</f>
        <v>32.25</v>
      </c>
      <c r="P68" s="58">
        <f t="shared" ref="P68:T68" si="146">O68</f>
        <v>32.25</v>
      </c>
      <c r="Q68" s="3">
        <f t="shared" si="146"/>
        <v>32.25</v>
      </c>
      <c r="R68" s="3">
        <f t="shared" si="146"/>
        <v>32.25</v>
      </c>
      <c r="S68" s="46">
        <f t="shared" si="146"/>
        <v>32.25</v>
      </c>
      <c r="T68" s="46">
        <f t="shared" si="146"/>
        <v>32.25</v>
      </c>
      <c r="U68" s="46">
        <f>S68</f>
        <v>32.25</v>
      </c>
      <c r="V68" s="46">
        <f t="shared" si="144"/>
        <v>32.25</v>
      </c>
      <c r="W68" s="46">
        <f t="shared" si="144"/>
        <v>32.25</v>
      </c>
      <c r="Y68" s="58">
        <f t="shared" si="145"/>
        <v>32.25</v>
      </c>
      <c r="Z68" s="58">
        <f t="shared" si="145"/>
        <v>32.25</v>
      </c>
      <c r="AA68" s="58">
        <f t="shared" si="145"/>
        <v>32.25</v>
      </c>
      <c r="AB68" s="58">
        <f t="shared" si="145"/>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42"/>
        <v>43</v>
      </c>
      <c r="G69" s="58">
        <f t="shared" si="142"/>
        <v>43</v>
      </c>
      <c r="H69" s="58">
        <f t="shared" si="142"/>
        <v>43</v>
      </c>
      <c r="I69" s="58">
        <f t="shared" si="142"/>
        <v>43</v>
      </c>
      <c r="J69" s="58">
        <f t="shared" si="142"/>
        <v>43</v>
      </c>
      <c r="K69" s="58">
        <f>IF($D$4,AD69,T69)</f>
        <v>43</v>
      </c>
      <c r="L69" s="58">
        <f>IF($D$4,AD69,T69)</f>
        <v>43</v>
      </c>
      <c r="M69" s="58">
        <f>IF($D$4,AG69,W69)</f>
        <v>43</v>
      </c>
      <c r="N69" s="31"/>
      <c r="O69" s="58">
        <f>E69</f>
        <v>43</v>
      </c>
      <c r="P69" s="58">
        <f t="shared" ref="P69:T69" si="147">O69</f>
        <v>43</v>
      </c>
      <c r="Q69" s="3">
        <f t="shared" si="147"/>
        <v>43</v>
      </c>
      <c r="R69" s="3">
        <f t="shared" si="147"/>
        <v>43</v>
      </c>
      <c r="S69" s="46">
        <f t="shared" si="147"/>
        <v>43</v>
      </c>
      <c r="T69" s="46">
        <f t="shared" si="147"/>
        <v>43</v>
      </c>
      <c r="U69" s="46">
        <f>S69</f>
        <v>43</v>
      </c>
      <c r="V69" s="46">
        <f t="shared" si="144"/>
        <v>43</v>
      </c>
      <c r="W69" s="46">
        <f t="shared" si="144"/>
        <v>43</v>
      </c>
      <c r="Y69" s="58">
        <f t="shared" si="145"/>
        <v>43</v>
      </c>
      <c r="Z69" s="58">
        <f t="shared" si="145"/>
        <v>43</v>
      </c>
      <c r="AA69" s="58">
        <f t="shared" si="145"/>
        <v>43</v>
      </c>
      <c r="AB69" s="58">
        <f t="shared" si="145"/>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42"/>
        <v>18.899999999999999</v>
      </c>
      <c r="G70" s="58">
        <f t="shared" si="142"/>
        <v>18.899999999999999</v>
      </c>
      <c r="H70" s="58">
        <f t="shared" si="142"/>
        <v>18.899999999999999</v>
      </c>
      <c r="I70" s="58">
        <f t="shared" si="142"/>
        <v>18.899999999999999</v>
      </c>
      <c r="J70" s="58">
        <f t="shared" si="142"/>
        <v>18.899999999999999</v>
      </c>
      <c r="K70" s="58">
        <f>IF($D$4,AD70,T70)</f>
        <v>18.899999999999999</v>
      </c>
      <c r="L70" s="58">
        <f>IF($D$4,AD70,T70)</f>
        <v>18.899999999999999</v>
      </c>
      <c r="M70" s="58">
        <f>IF($D$4,AG70,W70)</f>
        <v>18.899999999999999</v>
      </c>
      <c r="N70" s="31"/>
      <c r="O70" s="263">
        <v>18.899999999999999</v>
      </c>
      <c r="P70" s="57">
        <f t="shared" ref="P70:T70" si="148">O70</f>
        <v>18.899999999999999</v>
      </c>
      <c r="Q70" s="3">
        <f t="shared" si="148"/>
        <v>18.899999999999999</v>
      </c>
      <c r="R70" s="3">
        <f t="shared" si="148"/>
        <v>18.899999999999999</v>
      </c>
      <c r="S70" s="262">
        <f t="shared" si="148"/>
        <v>18.899999999999999</v>
      </c>
      <c r="T70" s="262">
        <f t="shared" si="148"/>
        <v>18.899999999999999</v>
      </c>
      <c r="U70" s="262">
        <f>S70</f>
        <v>18.899999999999999</v>
      </c>
      <c r="V70" s="262">
        <f t="shared" si="144"/>
        <v>18.899999999999999</v>
      </c>
      <c r="W70" s="262">
        <f t="shared" si="144"/>
        <v>18.899999999999999</v>
      </c>
      <c r="Y70" s="57">
        <f t="shared" si="145"/>
        <v>18.899999999999999</v>
      </c>
      <c r="Z70" s="58">
        <f t="shared" si="145"/>
        <v>18.899999999999999</v>
      </c>
      <c r="AA70" s="58">
        <f t="shared" si="145"/>
        <v>18.899999999999999</v>
      </c>
      <c r="AB70" s="58">
        <f t="shared" si="145"/>
        <v>18.899999999999999</v>
      </c>
      <c r="AC70" s="46">
        <f>AA70</f>
        <v>18.899999999999999</v>
      </c>
      <c r="AD70" s="46">
        <f>AC70</f>
        <v>18.899999999999999</v>
      </c>
      <c r="AE70" s="46">
        <f>AC70</f>
        <v>18.899999999999999</v>
      </c>
      <c r="AF70" s="46">
        <f>AC70</f>
        <v>18.899999999999999</v>
      </c>
      <c r="AG70" s="46">
        <f>AD70</f>
        <v>18.899999999999999</v>
      </c>
    </row>
    <row r="71" spans="1:51">
      <c r="A71" t="s">
        <v>16</v>
      </c>
      <c r="C71" s="222" t="s">
        <v>609</v>
      </c>
      <c r="J71"/>
      <c r="N71" s="31"/>
    </row>
    <row r="72" spans="1:51" ht="15.75" thickBot="1">
      <c r="A72" t="s">
        <v>16</v>
      </c>
      <c r="C72" s="13" t="s">
        <v>165</v>
      </c>
      <c r="J72"/>
      <c r="N72" s="31"/>
      <c r="O72" s="243">
        <f t="shared" ref="O72:W113" si="149">O$12</f>
        <v>2017</v>
      </c>
      <c r="P72" s="243">
        <f t="shared" si="149"/>
        <v>2019</v>
      </c>
      <c r="Q72" s="243">
        <f t="shared" si="149"/>
        <v>2020</v>
      </c>
      <c r="R72" s="243">
        <f t="shared" si="149"/>
        <v>2021</v>
      </c>
      <c r="S72" s="243">
        <f t="shared" si="149"/>
        <v>2030</v>
      </c>
      <c r="T72" s="243">
        <f t="shared" si="149"/>
        <v>2040</v>
      </c>
      <c r="U72" s="243">
        <f t="shared" si="149"/>
        <v>2050</v>
      </c>
      <c r="V72" s="243">
        <f t="shared" si="149"/>
        <v>2060</v>
      </c>
      <c r="W72" s="243">
        <f t="shared" si="149"/>
        <v>2070</v>
      </c>
    </row>
    <row r="73" spans="1:51">
      <c r="A73" t="s">
        <v>16</v>
      </c>
      <c r="C73" s="18" t="s">
        <v>169</v>
      </c>
      <c r="E73" s="195">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6">
        <f>E73</f>
        <v>0.55000000000000004</v>
      </c>
      <c r="P73" s="196">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6">
        <f>O73</f>
        <v>0.55000000000000004</v>
      </c>
      <c r="Z73" s="196">
        <f>P73</f>
        <v>0.55000000000000004</v>
      </c>
      <c r="AA73" s="196">
        <f>Q73</f>
        <v>0.55000000000000004</v>
      </c>
      <c r="AB73" s="196">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189</v>
      </c>
    </row>
    <row r="75" spans="1:51">
      <c r="A75" t="s">
        <v>16</v>
      </c>
      <c r="C75" s="29" t="str">
        <f>C54</f>
        <v>Low Income</v>
      </c>
      <c r="D75" t="s">
        <v>179</v>
      </c>
      <c r="E75" s="47">
        <f t="shared" ref="E75:J75" si="150">IF($D$4,Y75,O75)</f>
        <v>0.51510723782285484</v>
      </c>
      <c r="F75" s="47">
        <f t="shared" si="150"/>
        <v>0.51893420171073767</v>
      </c>
      <c r="G75" s="47">
        <f t="shared" si="150"/>
        <v>0.5399653125395153</v>
      </c>
      <c r="H75" s="47">
        <f t="shared" si="150"/>
        <v>0.5491065707339321</v>
      </c>
      <c r="I75" s="47">
        <f t="shared" si="150"/>
        <v>0.53870543779685498</v>
      </c>
      <c r="J75" s="47">
        <f t="shared" si="150"/>
        <v>0.48508347621126702</v>
      </c>
      <c r="K75" s="47">
        <f>IF($D$4,AD75,T75)</f>
        <v>0.48508347621126702</v>
      </c>
      <c r="L75" s="47">
        <f>IF($D$4,AD75,T75)</f>
        <v>0.48508347621126702</v>
      </c>
      <c r="M75" s="47">
        <f>IF($D$4,AG75,W75)</f>
        <v>0.22109628216238786</v>
      </c>
      <c r="N75" s="31"/>
      <c r="O75" s="3">
        <f t="shared" ref="O75:W75" si="151">O25*O13</f>
        <v>0.51510723782285484</v>
      </c>
      <c r="P75" s="3">
        <f>P25*P13</f>
        <v>0.51893420171073767</v>
      </c>
      <c r="Q75" s="3">
        <f t="shared" si="151"/>
        <v>0.5399653125395153</v>
      </c>
      <c r="R75" s="3">
        <f t="shared" si="151"/>
        <v>0.5491065707339321</v>
      </c>
      <c r="S75" s="3">
        <f t="shared" si="151"/>
        <v>0.53870543779685498</v>
      </c>
      <c r="T75" s="3">
        <f t="shared" si="151"/>
        <v>0.48508347621126702</v>
      </c>
      <c r="U75" s="3">
        <f t="shared" ref="U75:V75" si="152">U25*U13</f>
        <v>0.41037838014923522</v>
      </c>
      <c r="V75" s="3">
        <f t="shared" si="152"/>
        <v>0.32063959102902867</v>
      </c>
      <c r="W75" s="3">
        <f t="shared" si="151"/>
        <v>0.22109628216238786</v>
      </c>
      <c r="Y75" s="3">
        <f>O75</f>
        <v>0.51510723782285484</v>
      </c>
      <c r="Z75" s="3">
        <f>P75</f>
        <v>0.51893420171073767</v>
      </c>
      <c r="AA75" s="3">
        <f>Q75</f>
        <v>0.5399653125395153</v>
      </c>
      <c r="AB75" s="3">
        <f>R75</f>
        <v>0.5491065707339321</v>
      </c>
      <c r="AC75" s="3">
        <f>AC25*AC13</f>
        <v>0.53870543779685498</v>
      </c>
      <c r="AD75" s="3">
        <f>AD25*AD13</f>
        <v>0.48508347621126702</v>
      </c>
      <c r="AE75" s="3">
        <f>AE25*AE13</f>
        <v>0.41037838014923522</v>
      </c>
      <c r="AF75" s="3">
        <f>AF25*AF13</f>
        <v>0.32063959102902867</v>
      </c>
      <c r="AG75" s="3">
        <f>AG25*AG13</f>
        <v>0.22109628216238786</v>
      </c>
    </row>
    <row r="76" spans="1:51">
      <c r="A76" t="s">
        <v>16</v>
      </c>
      <c r="C76" s="29"/>
      <c r="E76" s="3"/>
      <c r="G76" s="3"/>
      <c r="I76" s="3"/>
      <c r="J76" s="3"/>
      <c r="K76" s="3"/>
      <c r="L76" s="3"/>
      <c r="M76" s="3"/>
      <c r="N76" s="31"/>
      <c r="O76" s="248">
        <f t="shared" ref="O76:W76" si="153">O$12</f>
        <v>2017</v>
      </c>
      <c r="P76" s="248">
        <f t="shared" si="153"/>
        <v>2019</v>
      </c>
      <c r="Q76" s="248">
        <f t="shared" si="153"/>
        <v>2020</v>
      </c>
      <c r="R76" s="248">
        <f t="shared" si="153"/>
        <v>2021</v>
      </c>
      <c r="S76" s="248">
        <f t="shared" si="153"/>
        <v>2030</v>
      </c>
      <c r="T76" s="248">
        <f t="shared" si="153"/>
        <v>2040</v>
      </c>
      <c r="U76" s="248">
        <f t="shared" si="153"/>
        <v>2050</v>
      </c>
      <c r="V76" s="248">
        <f t="shared" si="153"/>
        <v>2060</v>
      </c>
      <c r="W76" s="248">
        <f t="shared" si="153"/>
        <v>2070</v>
      </c>
      <c r="Y76" s="248">
        <f t="shared" ref="Y76:AG76" si="154">Y$12</f>
        <v>2017</v>
      </c>
      <c r="Z76" s="248">
        <f t="shared" si="154"/>
        <v>2019</v>
      </c>
      <c r="AA76" s="248">
        <f t="shared" si="154"/>
        <v>2020</v>
      </c>
      <c r="AB76" s="248">
        <f t="shared" si="154"/>
        <v>2021</v>
      </c>
      <c r="AC76" s="248">
        <f t="shared" si="154"/>
        <v>2030</v>
      </c>
      <c r="AD76" s="248">
        <f t="shared" si="154"/>
        <v>2040</v>
      </c>
      <c r="AE76" s="248">
        <f t="shared" si="154"/>
        <v>2050</v>
      </c>
      <c r="AF76" s="248">
        <f t="shared" si="154"/>
        <v>2060</v>
      </c>
      <c r="AG76" s="248">
        <f t="shared" si="154"/>
        <v>2070</v>
      </c>
    </row>
    <row r="77" spans="1:51">
      <c r="A77" t="s">
        <v>16</v>
      </c>
      <c r="C77" t="s">
        <v>72</v>
      </c>
      <c r="D77" t="s">
        <v>39</v>
      </c>
      <c r="E77" s="48">
        <f t="shared" ref="E77:J77" si="155">IF($D$4,Y77,O77)</f>
        <v>0.23381516587677725</v>
      </c>
      <c r="F77" s="48">
        <f t="shared" si="155"/>
        <v>0.23381516587677725</v>
      </c>
      <c r="G77" s="48">
        <f t="shared" si="155"/>
        <v>0.23381516587677725</v>
      </c>
      <c r="H77" s="48">
        <f t="shared" si="155"/>
        <v>0.23381516587677725</v>
      </c>
      <c r="I77" s="48">
        <f t="shared" si="155"/>
        <v>0.23381516587677725</v>
      </c>
      <c r="J77" s="48">
        <f t="shared" si="155"/>
        <v>0.23381516587677725</v>
      </c>
      <c r="K77" s="48">
        <f>IF($D$4,AD77,T77)</f>
        <v>0.23381516587677725</v>
      </c>
      <c r="L77" s="48">
        <f>IF($D$4,AD77,T77)</f>
        <v>0.23381516587677725</v>
      </c>
      <c r="M77" s="48">
        <f>IF($D$4,AG77,W77)</f>
        <v>0.23381516587677725</v>
      </c>
      <c r="N77" s="204"/>
      <c r="O77" s="48">
        <f t="shared" ref="O77:W77" si="156">O$41*1000*O$35*O$30/O$67/O$64</f>
        <v>0.23381516587677725</v>
      </c>
      <c r="P77" s="48">
        <f t="shared" si="156"/>
        <v>0.23381516587677725</v>
      </c>
      <c r="Q77" s="164">
        <f t="shared" si="156"/>
        <v>0.23381516587677725</v>
      </c>
      <c r="R77" s="164">
        <f t="shared" si="156"/>
        <v>0.23381516587677725</v>
      </c>
      <c r="S77" s="236">
        <f t="shared" si="156"/>
        <v>0.23381516587677725</v>
      </c>
      <c r="T77" s="236">
        <f t="shared" si="156"/>
        <v>0.23381516587677725</v>
      </c>
      <c r="U77" s="236">
        <f t="shared" si="156"/>
        <v>0.23381516587677725</v>
      </c>
      <c r="V77" s="236">
        <f t="shared" si="156"/>
        <v>0.23381516587677725</v>
      </c>
      <c r="W77" s="236">
        <f t="shared" si="156"/>
        <v>0.23381516587677725</v>
      </c>
      <c r="X77" s="203"/>
      <c r="Y77" s="48">
        <f t="shared" ref="Y77:Y90" si="157">O77</f>
        <v>0.23381516587677725</v>
      </c>
      <c r="Z77" s="48">
        <f t="shared" ref="Z77:Z90" si="158">P77</f>
        <v>0.23381516587677725</v>
      </c>
      <c r="AA77" s="48">
        <f t="shared" ref="AA77:AA90" si="159">Q77</f>
        <v>0.23381516587677725</v>
      </c>
      <c r="AB77" s="48">
        <f t="shared" ref="AB77:AB90" si="160">R77</f>
        <v>0.23381516587677725</v>
      </c>
      <c r="AC77" s="48">
        <f>AC$41*1000*AC$35*AC$30/AC$67/AC$64</f>
        <v>0.21101818720379142</v>
      </c>
      <c r="AD77" s="48">
        <f>AD$41*1000*AD$35*AD$30/AD$67/AD$64</f>
        <v>0.20046727784360185</v>
      </c>
      <c r="AE77" s="48">
        <f>AE$41*1000*AE$35*AE$30/AE$67/AE$64</f>
        <v>0.19044391395142174</v>
      </c>
      <c r="AF77" s="48">
        <f>AF$41*1000*AF$35*AF$30/AF$67/AF$64</f>
        <v>0.19044391395142174</v>
      </c>
      <c r="AG77" s="48">
        <f>AG$41*1000*AG$35*AG$30/AG$67/AG$64</f>
        <v>0.17187563234115816</v>
      </c>
      <c r="AH77" s="203"/>
      <c r="AI77" s="203"/>
      <c r="AJ77" s="203"/>
      <c r="AK77" s="203"/>
      <c r="AL77" s="203"/>
      <c r="AM77" s="203"/>
      <c r="AN77" s="203"/>
      <c r="AO77" s="203"/>
      <c r="AP77" s="203"/>
      <c r="AQ77" s="203"/>
      <c r="AR77" s="203"/>
      <c r="AS77" s="203"/>
      <c r="AT77" s="203"/>
      <c r="AU77" s="203"/>
      <c r="AV77" s="203"/>
      <c r="AW77" s="203"/>
      <c r="AX77" s="203"/>
      <c r="AY77" s="203"/>
    </row>
    <row r="78" spans="1:51">
      <c r="A78" t="s">
        <v>16</v>
      </c>
      <c r="C78" t="s">
        <v>54</v>
      </c>
      <c r="D78" t="s">
        <v>39</v>
      </c>
      <c r="E78" s="239">
        <v>5.0000000000000001E-3</v>
      </c>
      <c r="F78" s="48">
        <f t="shared" ref="F78:J79" si="161">IF($D$4,Z78,P78)</f>
        <v>5.0000000000000001E-3</v>
      </c>
      <c r="G78" s="48">
        <f t="shared" si="161"/>
        <v>5.0000000000000001E-3</v>
      </c>
      <c r="H78" s="48">
        <f t="shared" si="161"/>
        <v>5.0000000000000001E-3</v>
      </c>
      <c r="I78" s="48">
        <f t="shared" si="161"/>
        <v>5.0000000000000001E-3</v>
      </c>
      <c r="J78" s="48">
        <f t="shared" si="161"/>
        <v>5.0000000000000001E-3</v>
      </c>
      <c r="K78" s="48">
        <f>IF($D$4,AD78,T78)</f>
        <v>5.0000000000000001E-3</v>
      </c>
      <c r="L78" s="48">
        <f>IF($D$4,AD78,T78)</f>
        <v>5.0000000000000001E-3</v>
      </c>
      <c r="M78" s="48">
        <f>IF($D$4,AG78,W78)</f>
        <v>5.0000000000000001E-3</v>
      </c>
      <c r="N78" s="204"/>
      <c r="O78" s="205">
        <f>E78</f>
        <v>5.0000000000000001E-3</v>
      </c>
      <c r="P78" s="205">
        <f>O78</f>
        <v>5.0000000000000001E-3</v>
      </c>
      <c r="Q78" s="92">
        <f>P78</f>
        <v>5.0000000000000001E-3</v>
      </c>
      <c r="R78" s="92">
        <f>Q78</f>
        <v>5.0000000000000001E-3</v>
      </c>
      <c r="S78" s="92">
        <f t="shared" ref="S78:W78" si="162">R78</f>
        <v>5.0000000000000001E-3</v>
      </c>
      <c r="T78" s="92">
        <f t="shared" si="162"/>
        <v>5.0000000000000001E-3</v>
      </c>
      <c r="U78" s="92">
        <f t="shared" si="162"/>
        <v>5.0000000000000001E-3</v>
      </c>
      <c r="V78" s="92">
        <f t="shared" si="162"/>
        <v>5.0000000000000001E-3</v>
      </c>
      <c r="W78" s="92">
        <f t="shared" si="162"/>
        <v>5.0000000000000001E-3</v>
      </c>
      <c r="X78" s="203"/>
      <c r="Y78" s="48">
        <f t="shared" si="157"/>
        <v>5.0000000000000001E-3</v>
      </c>
      <c r="Z78" s="48">
        <f t="shared" si="158"/>
        <v>5.0000000000000001E-3</v>
      </c>
      <c r="AA78" s="48">
        <f t="shared" si="159"/>
        <v>5.0000000000000001E-3</v>
      </c>
      <c r="AB78" s="117">
        <f t="shared" si="160"/>
        <v>5.0000000000000001E-3</v>
      </c>
      <c r="AC78" s="92">
        <f t="shared" ref="AC78:AG78" si="163">AB78</f>
        <v>5.0000000000000001E-3</v>
      </c>
      <c r="AD78" s="92">
        <f t="shared" si="163"/>
        <v>5.0000000000000001E-3</v>
      </c>
      <c r="AE78" s="92">
        <f t="shared" si="163"/>
        <v>5.0000000000000001E-3</v>
      </c>
      <c r="AF78" s="92">
        <f t="shared" si="163"/>
        <v>5.0000000000000001E-3</v>
      </c>
      <c r="AG78" s="92">
        <f t="shared" si="163"/>
        <v>5.0000000000000001E-3</v>
      </c>
      <c r="AH78" s="203"/>
      <c r="AI78" s="203"/>
      <c r="AJ78" s="203"/>
      <c r="AK78" s="203"/>
      <c r="AL78" s="203"/>
      <c r="AM78" s="203"/>
      <c r="AN78" s="203"/>
      <c r="AO78" s="203"/>
      <c r="AP78" s="203"/>
      <c r="AQ78" s="203"/>
      <c r="AR78" s="203"/>
      <c r="AS78" s="203"/>
      <c r="AT78" s="203"/>
      <c r="AU78" s="203"/>
      <c r="AV78" s="203"/>
      <c r="AW78" s="203"/>
      <c r="AX78" s="203"/>
      <c r="AY78" s="203"/>
    </row>
    <row r="79" spans="1:51">
      <c r="A79" t="s">
        <v>16</v>
      </c>
      <c r="C79" t="s">
        <v>71</v>
      </c>
      <c r="D79" t="s">
        <v>39</v>
      </c>
      <c r="E79" s="239">
        <v>0</v>
      </c>
      <c r="F79" s="48">
        <f t="shared" si="161"/>
        <v>5.0000000000000001E-3</v>
      </c>
      <c r="G79" s="48">
        <f t="shared" si="161"/>
        <v>5.0000000000000001E-3</v>
      </c>
      <c r="H79" s="48">
        <f t="shared" si="161"/>
        <v>5.0000000000000001E-3</v>
      </c>
      <c r="I79" s="48">
        <f t="shared" si="161"/>
        <v>5.0000000000000001E-3</v>
      </c>
      <c r="J79" s="48">
        <f t="shared" si="161"/>
        <v>5.0000000000000001E-3</v>
      </c>
      <c r="K79" s="48">
        <f>IF($D$4,AD79,T79)</f>
        <v>5.0000000000000001E-3</v>
      </c>
      <c r="L79" s="48">
        <f>IF($D$4,AD79,T79)</f>
        <v>5.0000000000000001E-3</v>
      </c>
      <c r="M79" s="48">
        <f>IF($D$4,AG79,W79)</f>
        <v>5.0000000000000001E-3</v>
      </c>
      <c r="N79" s="204"/>
      <c r="O79" s="196">
        <f>E79</f>
        <v>0</v>
      </c>
      <c r="P79" s="196">
        <v>5.0000000000000001E-3</v>
      </c>
      <c r="Q79" s="164">
        <v>5.0000000000000001E-3</v>
      </c>
      <c r="R79" s="164">
        <v>5.0000000000000001E-3</v>
      </c>
      <c r="S79" s="237">
        <v>5.0000000000000001E-3</v>
      </c>
      <c r="T79" s="237">
        <v>5.0000000000000001E-3</v>
      </c>
      <c r="U79" s="237">
        <v>5.0000000000000001E-3</v>
      </c>
      <c r="V79" s="237">
        <v>5.0000000000000001E-3</v>
      </c>
      <c r="W79" s="237">
        <v>5.0000000000000001E-3</v>
      </c>
      <c r="X79" s="203"/>
      <c r="Y79" s="48">
        <f t="shared" si="157"/>
        <v>0</v>
      </c>
      <c r="Z79" s="48">
        <f t="shared" si="158"/>
        <v>5.0000000000000001E-3</v>
      </c>
      <c r="AA79" s="48">
        <f t="shared" si="159"/>
        <v>5.0000000000000001E-3</v>
      </c>
      <c r="AB79" s="48">
        <f t="shared" si="160"/>
        <v>5.0000000000000001E-3</v>
      </c>
      <c r="AC79" s="25">
        <v>0</v>
      </c>
      <c r="AD79" s="25">
        <v>0</v>
      </c>
      <c r="AE79" s="25">
        <v>0</v>
      </c>
      <c r="AF79" s="25">
        <v>0</v>
      </c>
      <c r="AG79" s="25">
        <v>0</v>
      </c>
      <c r="AH79" s="203"/>
      <c r="AI79" s="203"/>
      <c r="AJ79" s="203"/>
      <c r="AK79" s="203"/>
      <c r="AL79" s="203"/>
      <c r="AM79" s="203"/>
      <c r="AN79" s="203"/>
      <c r="AO79" s="203"/>
      <c r="AP79" s="203"/>
      <c r="AQ79" s="203"/>
      <c r="AR79" s="203"/>
      <c r="AS79" s="203"/>
      <c r="AT79" s="203"/>
      <c r="AU79" s="203"/>
      <c r="AV79" s="203"/>
      <c r="AW79" s="203"/>
      <c r="AX79" s="203"/>
      <c r="AY79" s="203"/>
    </row>
    <row r="80" spans="1:51">
      <c r="A80" t="s">
        <v>16</v>
      </c>
      <c r="C80" t="s">
        <v>70</v>
      </c>
      <c r="D80" t="s">
        <v>39</v>
      </c>
      <c r="E80" s="24">
        <f t="shared" ref="E80:M80" si="164">1-SUM(E77:E79)</f>
        <v>0.7611848341232228</v>
      </c>
      <c r="F80" s="24">
        <f t="shared" si="164"/>
        <v>0.75618483412322268</v>
      </c>
      <c r="G80" s="24">
        <f t="shared" si="164"/>
        <v>0.75618483412322268</v>
      </c>
      <c r="H80" s="24">
        <f t="shared" si="164"/>
        <v>0.75618483412322268</v>
      </c>
      <c r="I80" s="24">
        <f t="shared" si="164"/>
        <v>0.75618483412322268</v>
      </c>
      <c r="J80" s="24">
        <f t="shared" si="164"/>
        <v>0.75618483412322268</v>
      </c>
      <c r="K80" s="24">
        <f t="shared" ref="K80:L80" si="165">1-SUM(K77:K79)</f>
        <v>0.75618483412322268</v>
      </c>
      <c r="L80" s="24">
        <f t="shared" si="165"/>
        <v>0.75618483412322268</v>
      </c>
      <c r="M80" s="24">
        <f t="shared" si="164"/>
        <v>0.75618483412322268</v>
      </c>
      <c r="N80" s="204"/>
      <c r="O80" s="24">
        <f t="shared" ref="O80:Q80" si="166">1-SUM(O77:O79)</f>
        <v>0.7611848341232228</v>
      </c>
      <c r="P80" s="24">
        <f t="shared" si="166"/>
        <v>0.75618483412322268</v>
      </c>
      <c r="Q80" s="24">
        <f t="shared" si="166"/>
        <v>0.75618483412322268</v>
      </c>
      <c r="R80" s="24">
        <f t="shared" ref="R80" si="167">1-SUM(R77:R79)</f>
        <v>0.75618483412322268</v>
      </c>
      <c r="S80" s="24">
        <f t="shared" ref="S80:T80" si="168">1-SUM(S77:S79)</f>
        <v>0.75618483412322268</v>
      </c>
      <c r="T80" s="24">
        <f t="shared" si="168"/>
        <v>0.75618483412322268</v>
      </c>
      <c r="U80" s="24">
        <f t="shared" ref="U80:W80" si="169">1-SUM(U77:U79)</f>
        <v>0.75618483412322268</v>
      </c>
      <c r="V80" s="24">
        <f t="shared" ref="V80" si="170">1-SUM(V77:V79)</f>
        <v>0.75618483412322268</v>
      </c>
      <c r="W80" s="24">
        <f t="shared" si="169"/>
        <v>0.75618483412322268</v>
      </c>
      <c r="X80" s="203"/>
      <c r="Y80" s="48">
        <f t="shared" si="157"/>
        <v>0.7611848341232228</v>
      </c>
      <c r="Z80" s="48">
        <f t="shared" si="158"/>
        <v>0.75618483412322268</v>
      </c>
      <c r="AA80" s="48">
        <f t="shared" si="159"/>
        <v>0.75618483412322268</v>
      </c>
      <c r="AB80" s="48">
        <f t="shared" si="160"/>
        <v>0.75618483412322268</v>
      </c>
      <c r="AC80" s="24">
        <f>1-SUM(AC77:AC79)</f>
        <v>0.7839818127962086</v>
      </c>
      <c r="AD80" s="24">
        <f>1-SUM(AD77:AD79)</f>
        <v>0.79453272215639814</v>
      </c>
      <c r="AE80" s="24">
        <f>1-SUM(AE77:AE79)</f>
        <v>0.80455608604857831</v>
      </c>
      <c r="AF80" s="24">
        <f>1-SUM(AF77:AF79)</f>
        <v>0.80455608604857831</v>
      </c>
      <c r="AG80" s="24">
        <f>1-SUM(AG77:AG79)</f>
        <v>0.82312436765884178</v>
      </c>
      <c r="AH80" s="203"/>
      <c r="AI80" s="203"/>
      <c r="AJ80" s="203"/>
      <c r="AK80" s="203"/>
      <c r="AL80" s="203"/>
      <c r="AM80" s="203"/>
      <c r="AN80" s="203"/>
      <c r="AO80" s="203"/>
      <c r="AP80" s="203"/>
      <c r="AQ80" s="203"/>
      <c r="AR80" s="203"/>
      <c r="AS80" s="203"/>
      <c r="AT80" s="203"/>
      <c r="AU80" s="203"/>
      <c r="AV80" s="203"/>
      <c r="AW80" s="203"/>
      <c r="AX80" s="203"/>
      <c r="AY80" s="203"/>
    </row>
    <row r="81" spans="1:51">
      <c r="A81" t="s">
        <v>16</v>
      </c>
      <c r="C81" s="29" t="str">
        <f>C55</f>
        <v>Middle Income</v>
      </c>
      <c r="D81" t="s">
        <v>179</v>
      </c>
      <c r="E81" s="3">
        <f t="shared" ref="E81:J82" si="171">IF($D$4,Y81,O81)</f>
        <v>9.2340547486185294</v>
      </c>
      <c r="F81" s="3">
        <f t="shared" si="171"/>
        <v>9.7394791998722337</v>
      </c>
      <c r="G81" s="3">
        <f t="shared" si="171"/>
        <v>10.234967504004217</v>
      </c>
      <c r="H81" s="3">
        <f t="shared" si="171"/>
        <v>9.7380100448709115</v>
      </c>
      <c r="I81" s="3">
        <f t="shared" si="171"/>
        <v>11.231967052229724</v>
      </c>
      <c r="J81" s="3">
        <f t="shared" si="171"/>
        <v>12.879483587435486</v>
      </c>
      <c r="K81" s="3">
        <f>IF($D$4,AD81,T81)</f>
        <v>12.879483587435486</v>
      </c>
      <c r="L81" s="3">
        <f>IF($D$4,AD81,T81)</f>
        <v>12.879483587435486</v>
      </c>
      <c r="M81" s="3">
        <f>IF($D$4,AG81,W81)</f>
        <v>17.947049370979801</v>
      </c>
      <c r="N81" s="31"/>
      <c r="O81" s="3">
        <f t="shared" ref="O81:W81" si="172">O$26*O$14</f>
        <v>9.2340547486185294</v>
      </c>
      <c r="P81" s="3">
        <f t="shared" si="172"/>
        <v>9.7394791998722337</v>
      </c>
      <c r="Q81" s="3">
        <f t="shared" si="172"/>
        <v>10.234967504004217</v>
      </c>
      <c r="R81" s="3">
        <f t="shared" si="172"/>
        <v>9.7380100448709115</v>
      </c>
      <c r="S81" s="238">
        <f t="shared" si="172"/>
        <v>11.231967052229724</v>
      </c>
      <c r="T81" s="238">
        <f t="shared" si="172"/>
        <v>12.879483587435486</v>
      </c>
      <c r="U81" s="238">
        <f t="shared" si="172"/>
        <v>14.819718821037307</v>
      </c>
      <c r="V81" s="238">
        <f t="shared" si="172"/>
        <v>16.49017036923037</v>
      </c>
      <c r="W81" s="238">
        <f t="shared" si="172"/>
        <v>17.947049370979801</v>
      </c>
      <c r="Y81" s="48">
        <f t="shared" si="157"/>
        <v>9.2340547486185294</v>
      </c>
      <c r="Z81" s="48">
        <f t="shared" si="158"/>
        <v>9.7394791998722337</v>
      </c>
      <c r="AA81" s="48">
        <f t="shared" si="159"/>
        <v>10.234967504004217</v>
      </c>
      <c r="AB81" s="48">
        <f t="shared" si="160"/>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71"/>
        <v>0.46899534845462248</v>
      </c>
      <c r="F82" s="48">
        <f t="shared" si="171"/>
        <v>0.46899534845462248</v>
      </c>
      <c r="G82" s="48">
        <f t="shared" si="171"/>
        <v>0.46899534845462248</v>
      </c>
      <c r="H82" s="48">
        <f t="shared" si="171"/>
        <v>0.46899534845462248</v>
      </c>
      <c r="I82" s="48">
        <f t="shared" si="171"/>
        <v>0.46899534845462248</v>
      </c>
      <c r="J82" s="48">
        <f t="shared" si="171"/>
        <v>0.46899534845462248</v>
      </c>
      <c r="K82" s="48">
        <f>IF($D$4,AD82,T82)</f>
        <v>0.46899534845462248</v>
      </c>
      <c r="L82" s="48">
        <f>IF($D$4,AD82,T82)</f>
        <v>0.46899534845462248</v>
      </c>
      <c r="M82" s="48">
        <f>IF($D$4,AG82,W82)</f>
        <v>0.46899534845462248</v>
      </c>
      <c r="N82" s="204"/>
      <c r="O82" s="48">
        <f t="shared" ref="O82:W82" si="173">O$42*1000*O$36*O$31/O$67/O$64</f>
        <v>0.46899534845462248</v>
      </c>
      <c r="P82" s="48">
        <f t="shared" si="173"/>
        <v>0.46899534845462248</v>
      </c>
      <c r="Q82" s="3">
        <f t="shared" si="173"/>
        <v>0.46899534845462248</v>
      </c>
      <c r="R82" s="3">
        <f t="shared" si="173"/>
        <v>0.46899534845462248</v>
      </c>
      <c r="S82" s="236">
        <f t="shared" si="173"/>
        <v>0.46899534845462248</v>
      </c>
      <c r="T82" s="236">
        <f t="shared" si="173"/>
        <v>0.46899534845462248</v>
      </c>
      <c r="U82" s="236">
        <f t="shared" si="173"/>
        <v>0.46899534845462248</v>
      </c>
      <c r="V82" s="236">
        <f t="shared" si="173"/>
        <v>0.46899534845462248</v>
      </c>
      <c r="W82" s="236">
        <f t="shared" si="173"/>
        <v>0.46899534845462248</v>
      </c>
      <c r="X82" s="203"/>
      <c r="Y82" s="48">
        <f t="shared" si="157"/>
        <v>0.46899534845462248</v>
      </c>
      <c r="Z82" s="48">
        <f t="shared" si="158"/>
        <v>0.46899534845462248</v>
      </c>
      <c r="AA82" s="48">
        <f t="shared" si="159"/>
        <v>0.46899534845462248</v>
      </c>
      <c r="AB82" s="48">
        <f t="shared" si="160"/>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0.3819996425372178</v>
      </c>
      <c r="AH82" s="203"/>
      <c r="AI82" s="203"/>
      <c r="AJ82" s="203"/>
      <c r="AK82" s="203"/>
      <c r="AL82" s="203"/>
      <c r="AM82" s="203"/>
      <c r="AN82" s="203"/>
      <c r="AO82" s="203"/>
      <c r="AP82" s="203"/>
      <c r="AQ82" s="203"/>
      <c r="AR82" s="203"/>
      <c r="AS82" s="203"/>
      <c r="AT82" s="203"/>
      <c r="AU82" s="203"/>
      <c r="AV82" s="203"/>
      <c r="AW82" s="203"/>
      <c r="AX82" s="203"/>
      <c r="AY82" s="203"/>
    </row>
    <row r="83" spans="1:51">
      <c r="A83" t="s">
        <v>16</v>
      </c>
      <c r="C83" t="str">
        <f>C78</f>
        <v>BRT</v>
      </c>
      <c r="D83" t="s">
        <v>39</v>
      </c>
      <c r="E83" s="239">
        <v>0.01</v>
      </c>
      <c r="F83" s="48">
        <f t="shared" ref="F83:J84" si="174">IF($D$4,Z83,P83)</f>
        <v>0.01</v>
      </c>
      <c r="G83" s="48">
        <f t="shared" si="174"/>
        <v>0.01</v>
      </c>
      <c r="H83" s="48">
        <f t="shared" si="174"/>
        <v>0.01</v>
      </c>
      <c r="I83" s="48">
        <f t="shared" si="174"/>
        <v>0.01</v>
      </c>
      <c r="J83" s="48">
        <f t="shared" si="174"/>
        <v>0.01</v>
      </c>
      <c r="K83" s="48">
        <f>IF($D$4,AD83,T83)</f>
        <v>0.01</v>
      </c>
      <c r="L83" s="48">
        <f>IF($D$4,AD83,T83)</f>
        <v>0.01</v>
      </c>
      <c r="M83" s="48">
        <f>IF($D$4,AG83,W83)</f>
        <v>0.01</v>
      </c>
      <c r="N83" s="204"/>
      <c r="O83" s="205">
        <f>E83</f>
        <v>0.01</v>
      </c>
      <c r="P83" s="205">
        <f t="shared" ref="P83:T84" si="175">O83</f>
        <v>0.01</v>
      </c>
      <c r="Q83" s="164">
        <f>P83</f>
        <v>0.01</v>
      </c>
      <c r="R83" s="164">
        <f>Q83</f>
        <v>0.01</v>
      </c>
      <c r="S83" s="92">
        <f t="shared" ref="S83:W83" si="176">R83</f>
        <v>0.01</v>
      </c>
      <c r="T83" s="92">
        <f t="shared" si="176"/>
        <v>0.01</v>
      </c>
      <c r="U83" s="92">
        <f t="shared" si="176"/>
        <v>0.01</v>
      </c>
      <c r="V83" s="92">
        <f t="shared" si="176"/>
        <v>0.01</v>
      </c>
      <c r="W83" s="92">
        <f t="shared" si="176"/>
        <v>0.01</v>
      </c>
      <c r="X83" s="203"/>
      <c r="Y83" s="48">
        <f t="shared" si="157"/>
        <v>0.01</v>
      </c>
      <c r="Z83" s="48">
        <f t="shared" si="158"/>
        <v>0.01</v>
      </c>
      <c r="AA83" s="48">
        <f t="shared" si="159"/>
        <v>0.01</v>
      </c>
      <c r="AB83" s="48">
        <f t="shared" si="160"/>
        <v>0.01</v>
      </c>
      <c r="AC83" s="54">
        <f>S83</f>
        <v>0.01</v>
      </c>
      <c r="AD83" s="54">
        <f t="shared" ref="AD83" si="177">T83</f>
        <v>0.01</v>
      </c>
      <c r="AE83" s="54">
        <f t="shared" ref="AE83" si="178">U83</f>
        <v>0.01</v>
      </c>
      <c r="AF83" s="54">
        <f t="shared" ref="AF83" si="179">V83</f>
        <v>0.01</v>
      </c>
      <c r="AG83" s="54">
        <f t="shared" ref="AG83" si="180">W83</f>
        <v>0.01</v>
      </c>
      <c r="AH83" s="203"/>
      <c r="AI83" s="203"/>
      <c r="AJ83" s="203"/>
      <c r="AK83" s="203"/>
      <c r="AL83" s="203"/>
      <c r="AM83" s="203"/>
      <c r="AN83" s="203"/>
      <c r="AO83" s="203"/>
      <c r="AP83" s="203"/>
      <c r="AQ83" s="203"/>
      <c r="AR83" s="203"/>
      <c r="AS83" s="203"/>
      <c r="AT83" s="203"/>
      <c r="AU83" s="203"/>
      <c r="AV83" s="203"/>
      <c r="AW83" s="203"/>
      <c r="AX83" s="203"/>
      <c r="AY83" s="203"/>
    </row>
    <row r="84" spans="1:51">
      <c r="A84" t="s">
        <v>16</v>
      </c>
      <c r="C84" t="str">
        <f>C79</f>
        <v>Gautrain</v>
      </c>
      <c r="D84" t="s">
        <v>39</v>
      </c>
      <c r="E84" s="239">
        <v>2E-3</v>
      </c>
      <c r="F84" s="118">
        <f t="shared" si="174"/>
        <v>2E-3</v>
      </c>
      <c r="G84" s="118">
        <f t="shared" si="174"/>
        <v>2E-3</v>
      </c>
      <c r="H84" s="118">
        <f t="shared" si="174"/>
        <v>2E-3</v>
      </c>
      <c r="I84" s="118">
        <f t="shared" si="174"/>
        <v>2E-3</v>
      </c>
      <c r="J84" s="118">
        <f t="shared" si="174"/>
        <v>2E-3</v>
      </c>
      <c r="K84" s="118">
        <f>IF($D$4,AD84,T84)</f>
        <v>2E-3</v>
      </c>
      <c r="L84" s="118">
        <f>IF($D$4,AD84,T84)</f>
        <v>2E-3</v>
      </c>
      <c r="M84" s="118">
        <f>IF($D$4,AG84,W84)</f>
        <v>2E-3</v>
      </c>
      <c r="N84" s="204"/>
      <c r="O84" s="240">
        <f>E84</f>
        <v>2E-3</v>
      </c>
      <c r="P84" s="240">
        <f t="shared" si="175"/>
        <v>2E-3</v>
      </c>
      <c r="Q84" s="3">
        <f t="shared" si="175"/>
        <v>2E-3</v>
      </c>
      <c r="R84" s="3">
        <f t="shared" si="175"/>
        <v>2E-3</v>
      </c>
      <c r="S84" s="241">
        <f t="shared" si="175"/>
        <v>2E-3</v>
      </c>
      <c r="T84" s="241">
        <f t="shared" si="175"/>
        <v>2E-3</v>
      </c>
      <c r="U84" s="241">
        <f>S84</f>
        <v>2E-3</v>
      </c>
      <c r="V84" s="241">
        <f>S84</f>
        <v>2E-3</v>
      </c>
      <c r="W84" s="241">
        <f>T84</f>
        <v>2E-3</v>
      </c>
      <c r="X84" s="203"/>
      <c r="Y84" s="48">
        <f t="shared" si="157"/>
        <v>2E-3</v>
      </c>
      <c r="Z84" s="48">
        <f t="shared" si="158"/>
        <v>2E-3</v>
      </c>
      <c r="AA84" s="48">
        <f t="shared" si="159"/>
        <v>2E-3</v>
      </c>
      <c r="AB84" s="48">
        <f t="shared" si="160"/>
        <v>2E-3</v>
      </c>
      <c r="AC84" s="56">
        <v>0.01</v>
      </c>
      <c r="AD84" s="56">
        <v>0.02</v>
      </c>
      <c r="AE84" s="56">
        <v>0.03</v>
      </c>
      <c r="AF84" s="56">
        <v>0.03</v>
      </c>
      <c r="AG84" s="56">
        <v>0.03</v>
      </c>
      <c r="AH84" s="203"/>
      <c r="AI84" s="203"/>
      <c r="AJ84" s="203"/>
      <c r="AK84" s="203"/>
      <c r="AL84" s="203"/>
      <c r="AM84" s="203"/>
      <c r="AN84" s="203"/>
      <c r="AO84" s="203"/>
      <c r="AP84" s="203"/>
      <c r="AQ84" s="203"/>
      <c r="AR84" s="203"/>
      <c r="AS84" s="203"/>
      <c r="AT84" s="203"/>
      <c r="AU84" s="203"/>
      <c r="AV84" s="203"/>
      <c r="AW84" s="203"/>
      <c r="AX84" s="203"/>
      <c r="AY84" s="203"/>
    </row>
    <row r="85" spans="1:51">
      <c r="A85" t="s">
        <v>16</v>
      </c>
      <c r="C85" t="str">
        <f>C80</f>
        <v>Bus, minibus, metro rail</v>
      </c>
      <c r="D85" t="s">
        <v>39</v>
      </c>
      <c r="E85" s="24">
        <f t="shared" ref="E85:M85" si="181">1-SUM(E82:E84)</f>
        <v>0.51900465154537745</v>
      </c>
      <c r="F85" s="24">
        <f t="shared" si="181"/>
        <v>0.51900465154537745</v>
      </c>
      <c r="G85" s="24">
        <f t="shared" si="181"/>
        <v>0.51900465154537745</v>
      </c>
      <c r="H85" s="24">
        <f t="shared" si="181"/>
        <v>0.51900465154537745</v>
      </c>
      <c r="I85" s="24">
        <f t="shared" si="181"/>
        <v>0.51900465154537745</v>
      </c>
      <c r="J85" s="24">
        <f t="shared" si="181"/>
        <v>0.51900465154537745</v>
      </c>
      <c r="K85" s="24">
        <f t="shared" ref="K85:L85" si="182">1-SUM(K82:K84)</f>
        <v>0.51900465154537745</v>
      </c>
      <c r="L85" s="24">
        <f t="shared" si="182"/>
        <v>0.51900465154537745</v>
      </c>
      <c r="M85" s="24">
        <f t="shared" si="181"/>
        <v>0.51900465154537745</v>
      </c>
      <c r="N85" s="204"/>
      <c r="O85" s="24">
        <f t="shared" ref="O85:Q85" si="183">1-SUM(O82:O84)</f>
        <v>0.51900465154537745</v>
      </c>
      <c r="P85" s="24">
        <f t="shared" si="183"/>
        <v>0.51900465154537745</v>
      </c>
      <c r="Q85" s="24">
        <f t="shared" si="183"/>
        <v>0.51900465154537745</v>
      </c>
      <c r="R85" s="24">
        <f t="shared" ref="R85" si="184">1-SUM(R82:R84)</f>
        <v>0.51900465154537745</v>
      </c>
      <c r="S85" s="24">
        <f t="shared" ref="S85:T85" si="185">1-SUM(S82:S84)</f>
        <v>0.51900465154537745</v>
      </c>
      <c r="T85" s="24">
        <f t="shared" si="185"/>
        <v>0.51900465154537745</v>
      </c>
      <c r="U85" s="24">
        <f t="shared" ref="U85:W85" si="186">1-SUM(U82:U84)</f>
        <v>0.51900465154537745</v>
      </c>
      <c r="V85" s="24">
        <f t="shared" ref="V85" si="187">1-SUM(V82:V84)</f>
        <v>0.51900465154537745</v>
      </c>
      <c r="W85" s="24">
        <f t="shared" si="186"/>
        <v>0.51900465154537745</v>
      </c>
      <c r="X85" s="203"/>
      <c r="Y85" s="48">
        <f t="shared" si="157"/>
        <v>0.51900465154537745</v>
      </c>
      <c r="Z85" s="48">
        <f t="shared" si="158"/>
        <v>0.51900465154537745</v>
      </c>
      <c r="AA85" s="48">
        <f t="shared" si="159"/>
        <v>0.51900465154537745</v>
      </c>
      <c r="AB85" s="48">
        <f t="shared" si="160"/>
        <v>0.51900465154537745</v>
      </c>
      <c r="AC85" s="24">
        <f>1-SUM(AC82:AC84)</f>
        <v>0.55673169801970324</v>
      </c>
      <c r="AD85" s="24">
        <f>1-SUM(AD82:AD84)</f>
        <v>0.56789511311871821</v>
      </c>
      <c r="AE85" s="24">
        <f>1-SUM(AE82:AE84)</f>
        <v>0.5578951131187182</v>
      </c>
      <c r="AF85" s="24">
        <f>1-SUM(AF82:AF84)</f>
        <v>0.5578951131187182</v>
      </c>
      <c r="AG85" s="24">
        <f>1-SUM(AG82:AG84)</f>
        <v>0.57800035746278222</v>
      </c>
      <c r="AH85" s="203"/>
      <c r="AI85" s="203"/>
      <c r="AJ85" s="203"/>
      <c r="AK85" s="203"/>
      <c r="AL85" s="203"/>
      <c r="AM85" s="203"/>
      <c r="AN85" s="203"/>
      <c r="AO85" s="203"/>
      <c r="AP85" s="203"/>
      <c r="AQ85" s="203"/>
      <c r="AR85" s="203"/>
      <c r="AS85" s="203"/>
      <c r="AT85" s="203"/>
      <c r="AU85" s="203"/>
      <c r="AV85" s="203"/>
      <c r="AW85" s="203"/>
      <c r="AX85" s="203"/>
      <c r="AY85" s="203"/>
    </row>
    <row r="86" spans="1:51">
      <c r="A86" t="s">
        <v>16</v>
      </c>
      <c r="C86" s="29" t="str">
        <f>C56</f>
        <v>High Income</v>
      </c>
      <c r="D86" t="s">
        <v>179</v>
      </c>
      <c r="E86" s="3">
        <f t="shared" ref="E86:J87" si="188">IF($D$4,Y86,O86)</f>
        <v>10.249512727937956</v>
      </c>
      <c r="F86" s="3">
        <f t="shared" si="188"/>
        <v>10.785581249292237</v>
      </c>
      <c r="G86" s="3">
        <f t="shared" si="188"/>
        <v>9.108764792700967</v>
      </c>
      <c r="H86" s="3">
        <f t="shared" si="188"/>
        <v>10.418098065829803</v>
      </c>
      <c r="I86" s="3">
        <f t="shared" si="188"/>
        <v>12.698067863869753</v>
      </c>
      <c r="J86" s="3">
        <f t="shared" si="188"/>
        <v>16.252284827245894</v>
      </c>
      <c r="K86" s="3">
        <f>IF($D$4,AD86,T86)</f>
        <v>16.252284827245894</v>
      </c>
      <c r="L86" s="3">
        <f>IF($D$4,AD86,T86)</f>
        <v>16.252284827245894</v>
      </c>
      <c r="M86" s="3">
        <f>IF($D$4,AG86,W86)</f>
        <v>24.260681988515799</v>
      </c>
      <c r="N86" s="31"/>
      <c r="O86" s="3">
        <f t="shared" ref="O86:W86" si="189">O$27*O$15</f>
        <v>10.249512727937956</v>
      </c>
      <c r="P86" s="3">
        <f t="shared" si="189"/>
        <v>10.785581249292237</v>
      </c>
      <c r="Q86" s="3">
        <f t="shared" si="189"/>
        <v>9.108764792700967</v>
      </c>
      <c r="R86" s="3">
        <f t="shared" si="189"/>
        <v>10.418098065829803</v>
      </c>
      <c r="S86" s="238">
        <f t="shared" si="189"/>
        <v>12.698067863869753</v>
      </c>
      <c r="T86" s="238">
        <f t="shared" si="189"/>
        <v>16.252284827245894</v>
      </c>
      <c r="U86" s="238">
        <f t="shared" si="189"/>
        <v>19.240417093428157</v>
      </c>
      <c r="V86" s="238">
        <f t="shared" si="189"/>
        <v>21.904668491054593</v>
      </c>
      <c r="W86" s="238">
        <f t="shared" si="189"/>
        <v>24.260681988515799</v>
      </c>
      <c r="Y86" s="48">
        <f t="shared" si="157"/>
        <v>10.249512727937956</v>
      </c>
      <c r="Z86" s="48">
        <f t="shared" si="158"/>
        <v>10.785581249292237</v>
      </c>
      <c r="AA86" s="48">
        <f t="shared" si="159"/>
        <v>9.108764792700967</v>
      </c>
      <c r="AB86" s="48">
        <f t="shared" si="160"/>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88"/>
        <v>0.67590526860622457</v>
      </c>
      <c r="F87" s="48">
        <f t="shared" si="188"/>
        <v>0.67590526860622457</v>
      </c>
      <c r="G87" s="48">
        <f t="shared" si="188"/>
        <v>0.66964336043507822</v>
      </c>
      <c r="H87" s="48">
        <f t="shared" si="188"/>
        <v>0.67601785001266457</v>
      </c>
      <c r="I87" s="48">
        <f t="shared" si="188"/>
        <v>0.69385224655604116</v>
      </c>
      <c r="J87" s="48">
        <f t="shared" si="188"/>
        <v>0.75803881812016827</v>
      </c>
      <c r="K87" s="48">
        <f>IF($D$4,AD87,T87)</f>
        <v>0.75803881812016827</v>
      </c>
      <c r="L87" s="48">
        <f>IF($D$4,AD87,T87)</f>
        <v>0.75803881812016827</v>
      </c>
      <c r="M87" s="48">
        <f>IF($D$4,AG87,W87)</f>
        <v>0.87555137830179786</v>
      </c>
      <c r="N87" s="204"/>
      <c r="O87" s="48">
        <f t="shared" ref="O87:T87" si="190">O$43*1000*O$37*O$32/O$67/O$64</f>
        <v>0.67590526860622457</v>
      </c>
      <c r="P87" s="48">
        <f t="shared" si="190"/>
        <v>0.67590526860622457</v>
      </c>
      <c r="Q87" s="3">
        <f t="shared" si="190"/>
        <v>0.66964336043507822</v>
      </c>
      <c r="R87" s="3">
        <f t="shared" si="190"/>
        <v>0.67601785001266457</v>
      </c>
      <c r="S87" s="236">
        <f t="shared" si="190"/>
        <v>0.69385224655604116</v>
      </c>
      <c r="T87" s="236">
        <f t="shared" si="190"/>
        <v>0.75803881812016827</v>
      </c>
      <c r="U87" s="236">
        <f>U$43*1000*U$37*U$32/U$67/U$64</f>
        <v>0.87324556335065862</v>
      </c>
      <c r="V87" s="236">
        <f>V$43*1000*V$37*V$32/V$67/V$64</f>
        <v>0.87324556335065862</v>
      </c>
      <c r="W87" s="236">
        <f>W$43*1000*W$37*W$32/W$67/W$64</f>
        <v>0.87555137830179786</v>
      </c>
      <c r="X87" s="203"/>
      <c r="Y87" s="48">
        <f t="shared" si="157"/>
        <v>0.67590526860622457</v>
      </c>
      <c r="Z87" s="48">
        <f t="shared" si="158"/>
        <v>0.67590526860622457</v>
      </c>
      <c r="AA87" s="48">
        <f t="shared" si="159"/>
        <v>0.66964336043507822</v>
      </c>
      <c r="AB87" s="48">
        <f t="shared" si="160"/>
        <v>0.67601785001266457</v>
      </c>
      <c r="AC87" s="48">
        <f>AC$43*1000*AC$37*AC$32/AC$67/AC$64</f>
        <v>0.6595932918823364</v>
      </c>
      <c r="AD87" s="48">
        <f>AD$43*1000*AD$37*AD$32/AD$67/AD$64</f>
        <v>0.70259538518859765</v>
      </c>
      <c r="AE87" s="48">
        <f>AE$43*1000*AE$37*AE$32/AE$67/AE$64</f>
        <v>0.80937583706871419</v>
      </c>
      <c r="AF87" s="48">
        <f>AF$43*1000*AF$37*AF$32/AF$67/AF$64</f>
        <v>0.80937583706871419</v>
      </c>
      <c r="AG87" s="48">
        <f>AG$43*1000*AG$37*AG$32/AG$67/AG$64</f>
        <v>0.79122517819136273</v>
      </c>
      <c r="AH87" s="203"/>
      <c r="AI87" s="203"/>
      <c r="AJ87" s="203"/>
      <c r="AK87" s="203"/>
      <c r="AL87" s="203"/>
      <c r="AM87" s="203"/>
      <c r="AN87" s="203"/>
      <c r="AO87" s="203"/>
      <c r="AP87" s="203"/>
      <c r="AQ87" s="203"/>
      <c r="AR87" s="203"/>
      <c r="AS87" s="203"/>
      <c r="AT87" s="203"/>
      <c r="AU87" s="203"/>
      <c r="AV87" s="203"/>
      <c r="AW87" s="203"/>
      <c r="AX87" s="203"/>
      <c r="AY87" s="203"/>
    </row>
    <row r="88" spans="1:51">
      <c r="A88" t="s">
        <v>16</v>
      </c>
      <c r="C88" t="str">
        <f>C83</f>
        <v>BRT</v>
      </c>
      <c r="D88" t="s">
        <v>39</v>
      </c>
      <c r="E88" s="239">
        <v>0.01</v>
      </c>
      <c r="F88" s="48">
        <f t="shared" ref="F88:J89" si="191">IF($D$4,Z88,P88)</f>
        <v>0.01</v>
      </c>
      <c r="G88" s="48">
        <f t="shared" si="191"/>
        <v>0.01</v>
      </c>
      <c r="H88" s="48">
        <f t="shared" si="191"/>
        <v>0.01</v>
      </c>
      <c r="I88" s="48">
        <f t="shared" si="191"/>
        <v>0.01</v>
      </c>
      <c r="J88" s="48">
        <f t="shared" si="191"/>
        <v>0.01</v>
      </c>
      <c r="K88" s="48">
        <f>IF($D$4,AD88,T88)</f>
        <v>0.01</v>
      </c>
      <c r="L88" s="48">
        <f>IF($D$4,AD88,T88)</f>
        <v>0.01</v>
      </c>
      <c r="M88" s="48">
        <f>IF($D$4,AG88,W88)</f>
        <v>0.01</v>
      </c>
      <c r="N88" s="204"/>
      <c r="O88" s="205">
        <f>E88</f>
        <v>0.01</v>
      </c>
      <c r="P88" s="205">
        <v>0.01</v>
      </c>
      <c r="Q88" s="24">
        <v>0.01</v>
      </c>
      <c r="R88" s="164">
        <f>Q88</f>
        <v>0.01</v>
      </c>
      <c r="S88" s="92">
        <f t="shared" ref="S88:W88" si="192">R88</f>
        <v>0.01</v>
      </c>
      <c r="T88" s="92">
        <f t="shared" si="192"/>
        <v>0.01</v>
      </c>
      <c r="U88" s="92">
        <f t="shared" si="192"/>
        <v>0.01</v>
      </c>
      <c r="V88" s="92">
        <f t="shared" si="192"/>
        <v>0.01</v>
      </c>
      <c r="W88" s="92">
        <f t="shared" si="192"/>
        <v>0.01</v>
      </c>
      <c r="X88" s="203"/>
      <c r="Y88" s="117">
        <f t="shared" si="157"/>
        <v>0.01</v>
      </c>
      <c r="Z88" s="117">
        <f t="shared" si="158"/>
        <v>0.01</v>
      </c>
      <c r="AA88" s="117">
        <f t="shared" si="159"/>
        <v>0.01</v>
      </c>
      <c r="AB88" s="164">
        <f>AA88</f>
        <v>0.01</v>
      </c>
      <c r="AC88" s="92">
        <f t="shared" ref="AC88:AG88" si="193">AB88</f>
        <v>0.01</v>
      </c>
      <c r="AD88" s="92">
        <f t="shared" si="193"/>
        <v>0.01</v>
      </c>
      <c r="AE88" s="92">
        <f t="shared" si="193"/>
        <v>0.01</v>
      </c>
      <c r="AF88" s="92">
        <f t="shared" si="193"/>
        <v>0.01</v>
      </c>
      <c r="AG88" s="92">
        <f t="shared" si="193"/>
        <v>0.01</v>
      </c>
      <c r="AH88" s="203"/>
      <c r="AI88" s="203"/>
      <c r="AJ88" s="203"/>
      <c r="AK88" s="203"/>
      <c r="AL88" s="203"/>
      <c r="AM88" s="203"/>
      <c r="AN88" s="203"/>
      <c r="AO88" s="203"/>
      <c r="AP88" s="203"/>
      <c r="AQ88" s="203"/>
      <c r="AR88" s="203"/>
      <c r="AS88" s="203"/>
      <c r="AT88" s="203"/>
      <c r="AU88" s="203"/>
      <c r="AV88" s="203"/>
      <c r="AW88" s="203"/>
      <c r="AX88" s="203"/>
      <c r="AY88" s="203"/>
    </row>
    <row r="89" spans="1:51">
      <c r="A89" t="s">
        <v>16</v>
      </c>
      <c r="C89" t="str">
        <f>C84</f>
        <v>Gautrain</v>
      </c>
      <c r="D89" t="s">
        <v>39</v>
      </c>
      <c r="E89" s="239">
        <v>5.0000000000000001E-3</v>
      </c>
      <c r="F89" s="48">
        <f t="shared" si="191"/>
        <v>5.0000000000000001E-3</v>
      </c>
      <c r="G89" s="48">
        <f t="shared" si="191"/>
        <v>5.0000000000000001E-3</v>
      </c>
      <c r="H89" s="48">
        <f t="shared" si="191"/>
        <v>5.0000000000000001E-3</v>
      </c>
      <c r="I89" s="48">
        <f t="shared" si="191"/>
        <v>5.0000000000000001E-3</v>
      </c>
      <c r="J89" s="48">
        <f t="shared" si="191"/>
        <v>5.0000000000000001E-3</v>
      </c>
      <c r="K89" s="48">
        <f>IF($D$4,AD89,T89)</f>
        <v>5.0000000000000001E-3</v>
      </c>
      <c r="L89" s="48">
        <f>IF($D$4,AD89,T89)</f>
        <v>5.0000000000000001E-3</v>
      </c>
      <c r="M89" s="48">
        <f>IF($D$4,AG89,W89)</f>
        <v>5.0000000000000001E-3</v>
      </c>
      <c r="N89" s="204"/>
      <c r="O89" s="205">
        <f>E89</f>
        <v>5.0000000000000001E-3</v>
      </c>
      <c r="P89" s="205">
        <v>5.0000000000000001E-3</v>
      </c>
      <c r="Q89" s="92">
        <v>5.0000000000000001E-3</v>
      </c>
      <c r="R89" s="92">
        <v>5.0000000000000001E-3</v>
      </c>
      <c r="S89" s="242">
        <v>5.0000000000000001E-3</v>
      </c>
      <c r="T89" s="242">
        <v>5.0000000000000001E-3</v>
      </c>
      <c r="U89" s="242">
        <v>5.0000000000000001E-3</v>
      </c>
      <c r="V89" s="242">
        <v>5.0000000000000001E-3</v>
      </c>
      <c r="W89" s="242">
        <v>5.0000000000000001E-3</v>
      </c>
      <c r="X89" s="203"/>
      <c r="Y89" s="117">
        <f t="shared" si="157"/>
        <v>5.0000000000000001E-3</v>
      </c>
      <c r="Z89" s="117">
        <f t="shared" si="158"/>
        <v>5.0000000000000001E-3</v>
      </c>
      <c r="AA89" s="117">
        <f>Q89</f>
        <v>5.0000000000000001E-3</v>
      </c>
      <c r="AB89" s="117">
        <f t="shared" si="160"/>
        <v>5.0000000000000001E-3</v>
      </c>
      <c r="AC89" s="56">
        <v>0.01</v>
      </c>
      <c r="AD89" s="56">
        <v>0.01</v>
      </c>
      <c r="AE89" s="56">
        <v>1.4999999999999999E-2</v>
      </c>
      <c r="AF89" s="56">
        <v>0.02</v>
      </c>
      <c r="AG89" s="56">
        <v>0.02</v>
      </c>
      <c r="AH89" s="203"/>
      <c r="AI89" s="203"/>
      <c r="AJ89" s="203"/>
      <c r="AK89" s="203"/>
      <c r="AL89" s="203"/>
      <c r="AM89" s="203"/>
      <c r="AN89" s="203"/>
      <c r="AO89" s="203"/>
      <c r="AP89" s="203"/>
      <c r="AQ89" s="203"/>
      <c r="AR89" s="203"/>
      <c r="AS89" s="203"/>
      <c r="AT89" s="203"/>
      <c r="AU89" s="203"/>
      <c r="AV89" s="203"/>
      <c r="AW89" s="203"/>
      <c r="AX89" s="203"/>
      <c r="AY89" s="203"/>
    </row>
    <row r="90" spans="1:51">
      <c r="A90" t="s">
        <v>16</v>
      </c>
      <c r="C90" t="str">
        <f>C85</f>
        <v>Bus, minibus, metro rail</v>
      </c>
      <c r="D90" t="s">
        <v>39</v>
      </c>
      <c r="E90" s="24">
        <f t="shared" ref="E90:M90" si="194">1-SUM(E87:E89)</f>
        <v>0.30909473139377541</v>
      </c>
      <c r="F90" s="24">
        <f t="shared" si="194"/>
        <v>0.30909473139377541</v>
      </c>
      <c r="G90" s="24">
        <f t="shared" si="194"/>
        <v>0.31535663956492177</v>
      </c>
      <c r="H90" s="24">
        <f t="shared" si="194"/>
        <v>0.30898214998733542</v>
      </c>
      <c r="I90" s="24">
        <f t="shared" si="194"/>
        <v>0.29114775344395882</v>
      </c>
      <c r="J90" s="24">
        <f t="shared" si="194"/>
        <v>0.22696118187983172</v>
      </c>
      <c r="K90" s="24">
        <f t="shared" ref="K90:L90" si="195">1-SUM(K87:K89)</f>
        <v>0.22696118187983172</v>
      </c>
      <c r="L90" s="24">
        <f t="shared" si="195"/>
        <v>0.22696118187983172</v>
      </c>
      <c r="M90" s="24">
        <f t="shared" si="194"/>
        <v>0.10944862169820213</v>
      </c>
      <c r="N90" s="204"/>
      <c r="O90" s="24">
        <f t="shared" ref="O90:W90" si="196">1-SUM(O87:O89)</f>
        <v>0.30909473139377541</v>
      </c>
      <c r="P90" s="24">
        <f t="shared" si="196"/>
        <v>0.30909473139377541</v>
      </c>
      <c r="Q90" s="24">
        <f t="shared" si="196"/>
        <v>0.31535663956492177</v>
      </c>
      <c r="R90" s="24">
        <f t="shared" si="196"/>
        <v>0.30898214998733542</v>
      </c>
      <c r="S90" s="24">
        <f t="shared" si="196"/>
        <v>0.29114775344395882</v>
      </c>
      <c r="T90" s="24">
        <f t="shared" si="196"/>
        <v>0.22696118187983172</v>
      </c>
      <c r="U90" s="24">
        <f t="shared" ref="U90:V90" si="197">1-SUM(U87:U89)</f>
        <v>0.11175443664934137</v>
      </c>
      <c r="V90" s="24">
        <f t="shared" si="197"/>
        <v>0.11175443664934137</v>
      </c>
      <c r="W90" s="24">
        <f t="shared" si="196"/>
        <v>0.10944862169820213</v>
      </c>
      <c r="X90" s="203"/>
      <c r="Y90" s="48">
        <f t="shared" si="157"/>
        <v>0.30909473139377541</v>
      </c>
      <c r="Z90" s="48">
        <f t="shared" si="158"/>
        <v>0.30909473139377541</v>
      </c>
      <c r="AA90" s="48">
        <f t="shared" si="159"/>
        <v>0.31535663956492177</v>
      </c>
      <c r="AB90" s="48">
        <f t="shared" si="160"/>
        <v>0.30898214998733542</v>
      </c>
      <c r="AC90" s="24">
        <f>1-SUM(AC87:AC89)</f>
        <v>0.32040670811766359</v>
      </c>
      <c r="AD90" s="24">
        <f>1-SUM(AD87:AD89)</f>
        <v>0.27740461481140233</v>
      </c>
      <c r="AE90" s="24">
        <f>1-SUM(AE87:AE89)</f>
        <v>0.16562416293128579</v>
      </c>
      <c r="AF90" s="24">
        <f>1-SUM(AF87:AF89)</f>
        <v>0.16062416293128579</v>
      </c>
      <c r="AG90" s="24">
        <f>1-SUM(AG87:AG89)</f>
        <v>0.17877482180863724</v>
      </c>
      <c r="AH90" s="203"/>
      <c r="AI90" s="203"/>
      <c r="AJ90" s="203"/>
      <c r="AK90" s="203"/>
      <c r="AL90" s="203"/>
      <c r="AM90" s="203"/>
      <c r="AN90" s="203"/>
      <c r="AO90" s="203"/>
      <c r="AP90" s="203"/>
      <c r="AQ90" s="203"/>
      <c r="AR90" s="203"/>
      <c r="AS90" s="203"/>
      <c r="AT90" s="203"/>
      <c r="AU90" s="203"/>
      <c r="AV90" s="203"/>
      <c r="AW90" s="203"/>
      <c r="AX90" s="203"/>
      <c r="AY90" s="203"/>
    </row>
    <row r="91" spans="1:51">
      <c r="A91" t="s">
        <v>16</v>
      </c>
      <c r="C91" s="18"/>
      <c r="E91" s="197"/>
      <c r="G91" s="197"/>
      <c r="I91" s="197"/>
      <c r="J91" s="197"/>
      <c r="K91" s="197"/>
      <c r="L91" s="197"/>
      <c r="M91" s="197"/>
      <c r="N91" s="31"/>
      <c r="Q91" s="197"/>
      <c r="S91" s="197"/>
      <c r="T91" s="197"/>
      <c r="U91" s="197"/>
      <c r="V91" s="197"/>
      <c r="W91" s="197"/>
      <c r="AA91" s="197"/>
      <c r="AC91" s="197"/>
      <c r="AD91" s="197"/>
      <c r="AE91" s="197"/>
      <c r="AF91" s="197"/>
      <c r="AG91" s="197"/>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98">IF($D$4,Y93,O93)</f>
        <v>25.240254653319884</v>
      </c>
      <c r="F93" s="3">
        <f t="shared" si="198"/>
        <v>25.427775883826147</v>
      </c>
      <c r="G93" s="3">
        <f t="shared" si="198"/>
        <v>26.458300314436251</v>
      </c>
      <c r="H93" s="3">
        <f t="shared" si="198"/>
        <v>26.906221965962668</v>
      </c>
      <c r="I93" s="3">
        <f t="shared" si="198"/>
        <v>26.396566452045892</v>
      </c>
      <c r="J93" s="3">
        <f t="shared" si="198"/>
        <v>23.769090334352082</v>
      </c>
      <c r="K93" s="3">
        <f>IF($D$4,AD93,T93)</f>
        <v>23.769090334352082</v>
      </c>
      <c r="L93" s="3">
        <f>IF($D$4,AD93,T93)</f>
        <v>23.769090334352082</v>
      </c>
      <c r="M93" s="3">
        <f>IF($D$4,AG93,W93)</f>
        <v>10.833717825957004</v>
      </c>
      <c r="N93" s="31"/>
      <c r="O93" s="3">
        <f>(1-O$25)*O$13</f>
        <v>25.240254653319884</v>
      </c>
      <c r="P93" s="3">
        <f t="shared" ref="P93:W93" si="199">(1-P$25)*P$13</f>
        <v>25.427775883826147</v>
      </c>
      <c r="Q93" s="3">
        <f t="shared" si="199"/>
        <v>26.458300314436251</v>
      </c>
      <c r="R93" s="3">
        <f t="shared" si="199"/>
        <v>26.906221965962668</v>
      </c>
      <c r="S93" s="3">
        <f t="shared" si="199"/>
        <v>26.396566452045892</v>
      </c>
      <c r="T93" s="3">
        <f t="shared" si="199"/>
        <v>23.769090334352082</v>
      </c>
      <c r="U93" s="3">
        <f t="shared" si="199"/>
        <v>20.108540627312525</v>
      </c>
      <c r="V93" s="3">
        <f t="shared" si="199"/>
        <v>15.711339960422404</v>
      </c>
      <c r="W93" s="3">
        <f t="shared" si="199"/>
        <v>10.833717825957004</v>
      </c>
      <c r="Y93" s="3">
        <f t="shared" ref="Y93:Y103" si="200">O93</f>
        <v>25.240254653319884</v>
      </c>
      <c r="Z93" s="3">
        <f t="shared" ref="Z93:Z103" si="201">P93</f>
        <v>25.427775883826147</v>
      </c>
      <c r="AA93" s="3">
        <f t="shared" ref="AA93:AA103" si="202">Q93</f>
        <v>26.458300314436251</v>
      </c>
      <c r="AB93" s="3">
        <f t="shared" ref="AB93:AB103" si="203">R93</f>
        <v>26.906221965962668</v>
      </c>
      <c r="AC93" s="3">
        <f>(1-AC$25)*AC$13</f>
        <v>26.396566452045892</v>
      </c>
      <c r="AD93" s="3">
        <f>(1-AD$25)*AD$13</f>
        <v>23.769090334352082</v>
      </c>
      <c r="AE93" s="3">
        <f>(1-AE$25)*AE$13</f>
        <v>20.108540627312525</v>
      </c>
      <c r="AF93" s="3">
        <f>(1-AF$25)*AF$13</f>
        <v>15.711339960422404</v>
      </c>
      <c r="AG93" s="3">
        <f>(1-AG$25)*AG$13</f>
        <v>10.833717825957004</v>
      </c>
    </row>
    <row r="94" spans="1:51">
      <c r="A94" t="s">
        <v>16</v>
      </c>
      <c r="C94" t="s">
        <v>54</v>
      </c>
      <c r="D94" t="s">
        <v>39</v>
      </c>
      <c r="E94" s="239">
        <v>5.0000000000000001E-3</v>
      </c>
      <c r="F94" s="48">
        <f t="shared" ref="F94:J95" si="204">IF($D$4,Z94,P94)</f>
        <v>0.01</v>
      </c>
      <c r="G94" s="48">
        <f t="shared" si="204"/>
        <v>0.01</v>
      </c>
      <c r="H94" s="48">
        <f t="shared" si="204"/>
        <v>0.01</v>
      </c>
      <c r="I94" s="48">
        <f t="shared" si="204"/>
        <v>0.01</v>
      </c>
      <c r="J94" s="48">
        <f t="shared" si="204"/>
        <v>0.01</v>
      </c>
      <c r="K94" s="48">
        <f>IF($D$4,AD94,T94)</f>
        <v>0.01</v>
      </c>
      <c r="L94" s="48">
        <f>IF($D$4,AD94,T94)</f>
        <v>0.01</v>
      </c>
      <c r="M94" s="48">
        <f>IF($D$4,AG94,W94)</f>
        <v>0.01</v>
      </c>
      <c r="N94" s="204"/>
      <c r="O94" s="196">
        <f>E94</f>
        <v>5.0000000000000001E-3</v>
      </c>
      <c r="P94" s="196">
        <v>0.01</v>
      </c>
      <c r="Q94" s="196">
        <f>P94</f>
        <v>0.01</v>
      </c>
      <c r="R94" s="164">
        <f>Q94</f>
        <v>0.01</v>
      </c>
      <c r="S94" s="92">
        <f t="shared" ref="S94:W94" si="205">R94</f>
        <v>0.01</v>
      </c>
      <c r="T94" s="92">
        <f t="shared" si="205"/>
        <v>0.01</v>
      </c>
      <c r="U94" s="92">
        <f t="shared" si="205"/>
        <v>0.01</v>
      </c>
      <c r="V94" s="92">
        <f t="shared" si="205"/>
        <v>0.01</v>
      </c>
      <c r="W94" s="92">
        <f t="shared" si="205"/>
        <v>0.01</v>
      </c>
      <c r="X94" s="203"/>
      <c r="Y94" s="3">
        <f t="shared" si="200"/>
        <v>5.0000000000000001E-3</v>
      </c>
      <c r="Z94" s="3">
        <f t="shared" si="201"/>
        <v>0.01</v>
      </c>
      <c r="AA94" s="3">
        <f t="shared" si="202"/>
        <v>0.01</v>
      </c>
      <c r="AB94" s="164">
        <f>AA94</f>
        <v>0.01</v>
      </c>
      <c r="AC94" s="92">
        <f t="shared" ref="AC94:AG94" si="206">AB94</f>
        <v>0.01</v>
      </c>
      <c r="AD94" s="92">
        <f t="shared" si="206"/>
        <v>0.01</v>
      </c>
      <c r="AE94" s="92">
        <f t="shared" si="206"/>
        <v>0.01</v>
      </c>
      <c r="AF94" s="92">
        <f t="shared" si="206"/>
        <v>0.01</v>
      </c>
      <c r="AG94" s="92">
        <f t="shared" si="206"/>
        <v>0.01</v>
      </c>
      <c r="AH94" s="203"/>
      <c r="AI94" s="203"/>
      <c r="AJ94" s="203"/>
      <c r="AK94" s="203"/>
      <c r="AL94" s="203"/>
      <c r="AM94" s="203"/>
      <c r="AN94" s="203"/>
      <c r="AO94" s="203"/>
      <c r="AP94" s="203"/>
      <c r="AQ94" s="203"/>
      <c r="AR94" s="203"/>
      <c r="AS94" s="203"/>
      <c r="AT94" s="203"/>
      <c r="AU94" s="203"/>
      <c r="AV94" s="203"/>
      <c r="AW94" s="203"/>
      <c r="AX94" s="203"/>
      <c r="AY94" s="203"/>
    </row>
    <row r="95" spans="1:51">
      <c r="A95" t="s">
        <v>16</v>
      </c>
      <c r="C95" t="s">
        <v>71</v>
      </c>
      <c r="D95" t="s">
        <v>39</v>
      </c>
      <c r="E95" s="239">
        <v>0</v>
      </c>
      <c r="F95" s="48">
        <f t="shared" si="204"/>
        <v>0</v>
      </c>
      <c r="G95" s="48">
        <f t="shared" si="204"/>
        <v>0</v>
      </c>
      <c r="H95" s="48">
        <f t="shared" si="204"/>
        <v>0</v>
      </c>
      <c r="I95" s="48">
        <f t="shared" si="204"/>
        <v>0</v>
      </c>
      <c r="J95" s="48">
        <f t="shared" si="204"/>
        <v>0</v>
      </c>
      <c r="K95" s="48">
        <f>IF($D$4,AD95,T95)</f>
        <v>0</v>
      </c>
      <c r="L95" s="48">
        <f>IF($D$4,AD95,T95)</f>
        <v>0</v>
      </c>
      <c r="M95" s="48">
        <f>IF($D$4,AG95,W95)</f>
        <v>0</v>
      </c>
      <c r="N95" s="204"/>
      <c r="O95" s="196">
        <f>E95</f>
        <v>0</v>
      </c>
      <c r="P95" s="196">
        <f>O95</f>
        <v>0</v>
      </c>
      <c r="Q95" s="196">
        <f>P95</f>
        <v>0</v>
      </c>
      <c r="R95" s="196">
        <f t="shared" ref="R95:T95" si="207">Q95</f>
        <v>0</v>
      </c>
      <c r="S95" s="25">
        <f t="shared" si="207"/>
        <v>0</v>
      </c>
      <c r="T95" s="25">
        <f t="shared" si="207"/>
        <v>0</v>
      </c>
      <c r="U95" s="25">
        <f>S95</f>
        <v>0</v>
      </c>
      <c r="V95" s="25">
        <f>S95</f>
        <v>0</v>
      </c>
      <c r="W95" s="25">
        <f>T95</f>
        <v>0</v>
      </c>
      <c r="X95" s="203"/>
      <c r="Y95" s="3">
        <f t="shared" si="200"/>
        <v>0</v>
      </c>
      <c r="Z95" s="3">
        <f t="shared" si="201"/>
        <v>0</v>
      </c>
      <c r="AA95" s="3">
        <f t="shared" si="202"/>
        <v>0</v>
      </c>
      <c r="AB95" s="3">
        <f t="shared" si="203"/>
        <v>0</v>
      </c>
      <c r="AC95" s="25">
        <v>0</v>
      </c>
      <c r="AD95" s="25">
        <v>0</v>
      </c>
      <c r="AE95" s="25">
        <v>0</v>
      </c>
      <c r="AF95" s="25">
        <v>0</v>
      </c>
      <c r="AG95" s="25">
        <v>0</v>
      </c>
      <c r="AH95" s="203"/>
      <c r="AI95" s="203"/>
      <c r="AJ95" s="203"/>
      <c r="AK95" s="203"/>
      <c r="AL95" s="203"/>
      <c r="AM95" s="203"/>
      <c r="AN95" s="203"/>
      <c r="AO95" s="203"/>
      <c r="AP95" s="203"/>
      <c r="AQ95" s="203"/>
      <c r="AR95" s="203"/>
      <c r="AS95" s="203"/>
      <c r="AT95" s="203"/>
      <c r="AU95" s="203"/>
      <c r="AV95" s="203"/>
      <c r="AW95" s="203"/>
      <c r="AX95" s="203"/>
      <c r="AY95" s="203"/>
    </row>
    <row r="96" spans="1:51">
      <c r="A96" t="s">
        <v>16</v>
      </c>
      <c r="C96" t="s">
        <v>70</v>
      </c>
      <c r="D96" t="s">
        <v>39</v>
      </c>
      <c r="E96" s="24">
        <f t="shared" ref="E96:M96" si="208">1-SUM(E94:E95)</f>
        <v>0.995</v>
      </c>
      <c r="F96" s="24">
        <f t="shared" si="208"/>
        <v>0.99</v>
      </c>
      <c r="G96" s="24">
        <f t="shared" si="208"/>
        <v>0.99</v>
      </c>
      <c r="H96" s="24">
        <f t="shared" si="208"/>
        <v>0.99</v>
      </c>
      <c r="I96" s="24">
        <f t="shared" si="208"/>
        <v>0.99</v>
      </c>
      <c r="J96" s="24">
        <f t="shared" si="208"/>
        <v>0.99</v>
      </c>
      <c r="K96" s="24">
        <f t="shared" ref="K96:L96" si="209">1-SUM(K94:K95)</f>
        <v>0.99</v>
      </c>
      <c r="L96" s="24">
        <f t="shared" si="209"/>
        <v>0.99</v>
      </c>
      <c r="M96" s="24">
        <f t="shared" si="208"/>
        <v>0.99</v>
      </c>
      <c r="N96" s="204"/>
      <c r="O96" s="24">
        <f t="shared" ref="O96:W96" si="210">1-SUM(O94:O95)</f>
        <v>0.995</v>
      </c>
      <c r="P96" s="24">
        <f t="shared" si="210"/>
        <v>0.99</v>
      </c>
      <c r="Q96" s="24">
        <f t="shared" si="210"/>
        <v>0.99</v>
      </c>
      <c r="R96" s="24">
        <f t="shared" si="210"/>
        <v>0.99</v>
      </c>
      <c r="S96" s="24">
        <f t="shared" si="210"/>
        <v>0.99</v>
      </c>
      <c r="T96" s="24">
        <f t="shared" si="210"/>
        <v>0.99</v>
      </c>
      <c r="U96" s="24">
        <f t="shared" ref="U96:V96" si="211">1-SUM(U94:U95)</f>
        <v>0.99</v>
      </c>
      <c r="V96" s="24">
        <f t="shared" si="211"/>
        <v>0.99</v>
      </c>
      <c r="W96" s="24">
        <f t="shared" si="210"/>
        <v>0.99</v>
      </c>
      <c r="X96" s="203"/>
      <c r="Y96" s="3">
        <f t="shared" si="200"/>
        <v>0.995</v>
      </c>
      <c r="Z96" s="3">
        <f t="shared" si="201"/>
        <v>0.99</v>
      </c>
      <c r="AA96" s="3">
        <f t="shared" si="202"/>
        <v>0.99</v>
      </c>
      <c r="AB96" s="3">
        <f t="shared" si="203"/>
        <v>0.99</v>
      </c>
      <c r="AC96" s="24">
        <f>1-SUM(AC94:AC95)</f>
        <v>0.99</v>
      </c>
      <c r="AD96" s="24">
        <f>1-SUM(AD94:AD95)</f>
        <v>0.99</v>
      </c>
      <c r="AE96" s="24">
        <f>1-SUM(AE94:AE95)</f>
        <v>0.99</v>
      </c>
      <c r="AF96" s="24">
        <f>1-SUM(AF94:AF95)</f>
        <v>0.99</v>
      </c>
      <c r="AG96" s="24">
        <f>1-SUM(AG94:AG95)</f>
        <v>0.99</v>
      </c>
      <c r="AH96" s="203"/>
      <c r="AI96" s="203"/>
      <c r="AJ96" s="203"/>
      <c r="AK96" s="203"/>
      <c r="AL96" s="203"/>
      <c r="AM96" s="203"/>
      <c r="AN96" s="203"/>
      <c r="AO96" s="203"/>
      <c r="AP96" s="203"/>
      <c r="AQ96" s="203"/>
      <c r="AR96" s="203"/>
      <c r="AS96" s="203"/>
      <c r="AT96" s="203"/>
      <c r="AU96" s="203"/>
      <c r="AV96" s="203"/>
      <c r="AW96" s="203"/>
      <c r="AX96" s="203"/>
      <c r="AY96" s="203"/>
    </row>
    <row r="97" spans="1:51">
      <c r="A97" t="s">
        <v>16</v>
      </c>
      <c r="C97" s="29" t="str">
        <f>C81</f>
        <v>Middle Income</v>
      </c>
      <c r="D97" t="s">
        <v>179</v>
      </c>
      <c r="E97" s="3">
        <f t="shared" ref="E97:J97" si="212">IF($D$4,Y97,O97)</f>
        <v>8.1886900600956771</v>
      </c>
      <c r="F97" s="3">
        <f t="shared" si="212"/>
        <v>8.636896648943301</v>
      </c>
      <c r="G97" s="3">
        <f t="shared" si="212"/>
        <v>9.0762919375131723</v>
      </c>
      <c r="H97" s="3">
        <f t="shared" si="212"/>
        <v>8.6355938133760901</v>
      </c>
      <c r="I97" s="3">
        <f t="shared" si="212"/>
        <v>9.9604236123546599</v>
      </c>
      <c r="J97" s="3">
        <f t="shared" si="212"/>
        <v>11.421428841688071</v>
      </c>
      <c r="K97" s="3">
        <f>IF($D$4,AD97,T97)</f>
        <v>11.421428841688071</v>
      </c>
      <c r="L97" s="3">
        <f>IF($D$4,AD97,T97)</f>
        <v>11.421428841688071</v>
      </c>
      <c r="M97" s="3">
        <f>IF($D$4,AG97,W97)</f>
        <v>15.91530793275567</v>
      </c>
      <c r="N97" s="31"/>
      <c r="O97" s="3">
        <f t="shared" ref="O97:W97" si="213">(1-O$26)*O$14</f>
        <v>8.1886900600956771</v>
      </c>
      <c r="P97" s="3">
        <f t="shared" si="213"/>
        <v>8.636896648943301</v>
      </c>
      <c r="Q97" s="3">
        <f t="shared" si="213"/>
        <v>9.0762919375131723</v>
      </c>
      <c r="R97" s="3">
        <f t="shared" si="213"/>
        <v>8.6355938133760901</v>
      </c>
      <c r="S97" s="3">
        <f t="shared" si="213"/>
        <v>9.9604236123546599</v>
      </c>
      <c r="T97" s="3">
        <f t="shared" si="213"/>
        <v>11.421428841688071</v>
      </c>
      <c r="U97" s="3">
        <f t="shared" si="213"/>
        <v>13.142014803561386</v>
      </c>
      <c r="V97" s="3">
        <f t="shared" si="213"/>
        <v>14.623358629317496</v>
      </c>
      <c r="W97" s="3">
        <f t="shared" si="213"/>
        <v>15.91530793275567</v>
      </c>
      <c r="Y97" s="3">
        <f t="shared" si="200"/>
        <v>8.1886900600956771</v>
      </c>
      <c r="Z97" s="3">
        <f t="shared" si="201"/>
        <v>8.636896648943301</v>
      </c>
      <c r="AA97" s="3">
        <f t="shared" si="202"/>
        <v>9.0762919375131723</v>
      </c>
      <c r="AB97" s="3">
        <f t="shared" si="203"/>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39">
        <v>5.0000000000000001E-3</v>
      </c>
      <c r="F98" s="48">
        <f t="shared" ref="F98:J99" si="214">IF($D$4,Z98,P98)</f>
        <v>0.01</v>
      </c>
      <c r="G98" s="48">
        <f t="shared" si="214"/>
        <v>0.01</v>
      </c>
      <c r="H98" s="48">
        <f t="shared" si="214"/>
        <v>0.01</v>
      </c>
      <c r="I98" s="48">
        <f t="shared" si="214"/>
        <v>0.01</v>
      </c>
      <c r="J98" s="48">
        <f t="shared" si="214"/>
        <v>0.01</v>
      </c>
      <c r="K98" s="48">
        <f>IF($D$4,AD98,T98)</f>
        <v>0.01</v>
      </c>
      <c r="L98" s="48">
        <f>IF($D$4,AD98,T98)</f>
        <v>0.01</v>
      </c>
      <c r="M98" s="48">
        <f>IF($D$4,AG98,W98)</f>
        <v>0.01</v>
      </c>
      <c r="N98" s="204"/>
      <c r="O98" s="196">
        <f>E98</f>
        <v>5.0000000000000001E-3</v>
      </c>
      <c r="P98" s="196">
        <v>0.01</v>
      </c>
      <c r="Q98" s="196">
        <f>P98</f>
        <v>0.01</v>
      </c>
      <c r="R98" s="164">
        <f>Q98</f>
        <v>0.01</v>
      </c>
      <c r="S98" s="92">
        <f t="shared" ref="S98:W98" si="215">R98</f>
        <v>0.01</v>
      </c>
      <c r="T98" s="92">
        <f t="shared" si="215"/>
        <v>0.01</v>
      </c>
      <c r="U98" s="92">
        <f t="shared" si="215"/>
        <v>0.01</v>
      </c>
      <c r="V98" s="92">
        <f t="shared" si="215"/>
        <v>0.01</v>
      </c>
      <c r="W98" s="92">
        <f t="shared" si="215"/>
        <v>0.01</v>
      </c>
      <c r="X98" s="203"/>
      <c r="Y98" s="3">
        <f t="shared" si="200"/>
        <v>5.0000000000000001E-3</v>
      </c>
      <c r="Z98" s="3">
        <f t="shared" si="201"/>
        <v>0.01</v>
      </c>
      <c r="AA98" s="3">
        <f t="shared" si="202"/>
        <v>0.01</v>
      </c>
      <c r="AB98" s="164">
        <f>AA98</f>
        <v>0.01</v>
      </c>
      <c r="AC98" s="92">
        <f t="shared" ref="AC98:AG98" si="216">AB98</f>
        <v>0.01</v>
      </c>
      <c r="AD98" s="92">
        <f t="shared" si="216"/>
        <v>0.01</v>
      </c>
      <c r="AE98" s="92">
        <f t="shared" si="216"/>
        <v>0.01</v>
      </c>
      <c r="AF98" s="92">
        <f t="shared" si="216"/>
        <v>0.01</v>
      </c>
      <c r="AG98" s="92">
        <f t="shared" si="216"/>
        <v>0.01</v>
      </c>
      <c r="AH98" s="203"/>
      <c r="AI98" s="203"/>
      <c r="AJ98" s="203"/>
      <c r="AK98" s="203"/>
      <c r="AL98" s="203"/>
      <c r="AM98" s="203"/>
      <c r="AN98" s="203"/>
      <c r="AO98" s="203"/>
      <c r="AP98" s="203"/>
      <c r="AQ98" s="203"/>
      <c r="AR98" s="203"/>
      <c r="AS98" s="203"/>
      <c r="AT98" s="203"/>
      <c r="AU98" s="203"/>
      <c r="AV98" s="203"/>
      <c r="AW98" s="203"/>
      <c r="AX98" s="203"/>
      <c r="AY98" s="203"/>
    </row>
    <row r="99" spans="1:51">
      <c r="A99" t="s">
        <v>16</v>
      </c>
      <c r="C99" t="str">
        <f>C95</f>
        <v>Gautrain</v>
      </c>
      <c r="D99" t="s">
        <v>39</v>
      </c>
      <c r="E99" s="239">
        <v>2E-3</v>
      </c>
      <c r="F99" s="48">
        <f t="shared" si="214"/>
        <v>2E-3</v>
      </c>
      <c r="G99" s="48">
        <f t="shared" si="214"/>
        <v>2E-3</v>
      </c>
      <c r="H99" s="48">
        <f t="shared" si="214"/>
        <v>2E-3</v>
      </c>
      <c r="I99" s="48">
        <f t="shared" si="214"/>
        <v>2E-3</v>
      </c>
      <c r="J99" s="48">
        <f t="shared" si="214"/>
        <v>2E-3</v>
      </c>
      <c r="K99" s="48">
        <f>IF($D$4,AD99,T99)</f>
        <v>2E-3</v>
      </c>
      <c r="L99" s="48">
        <f>IF($D$4,AD99,T99)</f>
        <v>2E-3</v>
      </c>
      <c r="M99" s="48">
        <f>IF($D$4,AG99,W99)</f>
        <v>2E-3</v>
      </c>
      <c r="N99" s="204"/>
      <c r="O99" s="196">
        <f>E99</f>
        <v>2E-3</v>
      </c>
      <c r="P99" s="196">
        <f>O99</f>
        <v>2E-3</v>
      </c>
      <c r="Q99" s="196">
        <f>P99</f>
        <v>2E-3</v>
      </c>
      <c r="R99" s="196">
        <f t="shared" ref="R99:T99" si="217">Q99</f>
        <v>2E-3</v>
      </c>
      <c r="S99" s="36">
        <f t="shared" si="217"/>
        <v>2E-3</v>
      </c>
      <c r="T99" s="36">
        <f t="shared" si="217"/>
        <v>2E-3</v>
      </c>
      <c r="U99" s="36">
        <f>S99</f>
        <v>2E-3</v>
      </c>
      <c r="V99" s="36">
        <f>S99</f>
        <v>2E-3</v>
      </c>
      <c r="W99" s="36">
        <f>T99</f>
        <v>2E-3</v>
      </c>
      <c r="X99" s="203"/>
      <c r="Y99" s="3">
        <f t="shared" si="200"/>
        <v>2E-3</v>
      </c>
      <c r="Z99" s="3">
        <f t="shared" si="201"/>
        <v>2E-3</v>
      </c>
      <c r="AA99" s="3">
        <f t="shared" si="202"/>
        <v>2E-3</v>
      </c>
      <c r="AB99" s="3">
        <f t="shared" si="203"/>
        <v>2E-3</v>
      </c>
      <c r="AC99" s="56">
        <v>2E-3</v>
      </c>
      <c r="AD99" s="56">
        <v>3.0000000000000001E-3</v>
      </c>
      <c r="AE99" s="56">
        <v>4.0000000000000001E-3</v>
      </c>
      <c r="AF99" s="56">
        <v>5.0000000000000001E-3</v>
      </c>
      <c r="AG99" s="56">
        <v>0.01</v>
      </c>
      <c r="AH99" s="203"/>
      <c r="AI99" s="203"/>
      <c r="AJ99" s="203"/>
      <c r="AK99" s="203"/>
      <c r="AL99" s="203"/>
      <c r="AM99" s="203"/>
      <c r="AN99" s="203"/>
      <c r="AO99" s="203"/>
      <c r="AP99" s="203"/>
      <c r="AQ99" s="203"/>
      <c r="AR99" s="203"/>
      <c r="AS99" s="203"/>
      <c r="AT99" s="203"/>
      <c r="AU99" s="203"/>
      <c r="AV99" s="203"/>
      <c r="AW99" s="203"/>
      <c r="AX99" s="203"/>
      <c r="AY99" s="203"/>
    </row>
    <row r="100" spans="1:51">
      <c r="A100" t="s">
        <v>16</v>
      </c>
      <c r="C100" t="str">
        <f>C96</f>
        <v>Bus, minibus, metro rail</v>
      </c>
      <c r="D100" t="s">
        <v>39</v>
      </c>
      <c r="E100" s="24">
        <f t="shared" ref="E100:M100" si="218">1-SUM(E98:E99)</f>
        <v>0.99299999999999999</v>
      </c>
      <c r="F100" s="24">
        <f t="shared" si="218"/>
        <v>0.98799999999999999</v>
      </c>
      <c r="G100" s="24">
        <f t="shared" si="218"/>
        <v>0.98799999999999999</v>
      </c>
      <c r="H100" s="24">
        <f t="shared" si="218"/>
        <v>0.98799999999999999</v>
      </c>
      <c r="I100" s="24">
        <f t="shared" si="218"/>
        <v>0.98799999999999999</v>
      </c>
      <c r="J100" s="24">
        <f t="shared" si="218"/>
        <v>0.98799999999999999</v>
      </c>
      <c r="K100" s="24">
        <f t="shared" ref="K100:L100" si="219">1-SUM(K98:K99)</f>
        <v>0.98799999999999999</v>
      </c>
      <c r="L100" s="24">
        <f t="shared" si="219"/>
        <v>0.98799999999999999</v>
      </c>
      <c r="M100" s="24">
        <f t="shared" si="218"/>
        <v>0.98799999999999999</v>
      </c>
      <c r="N100" s="204"/>
      <c r="O100" s="24">
        <f t="shared" ref="O100:W100" si="220">1-SUM(O98:O99)</f>
        <v>0.99299999999999999</v>
      </c>
      <c r="P100" s="24">
        <f t="shared" si="220"/>
        <v>0.98799999999999999</v>
      </c>
      <c r="Q100" s="24">
        <f t="shared" si="220"/>
        <v>0.98799999999999999</v>
      </c>
      <c r="R100" s="24">
        <f t="shared" si="220"/>
        <v>0.98799999999999999</v>
      </c>
      <c r="S100" s="24">
        <f t="shared" si="220"/>
        <v>0.98799999999999999</v>
      </c>
      <c r="T100" s="24">
        <f t="shared" si="220"/>
        <v>0.98799999999999999</v>
      </c>
      <c r="U100" s="24">
        <f t="shared" ref="U100:V100" si="221">1-SUM(U98:U99)</f>
        <v>0.98799999999999999</v>
      </c>
      <c r="V100" s="24">
        <f t="shared" si="221"/>
        <v>0.98799999999999999</v>
      </c>
      <c r="W100" s="24">
        <f t="shared" si="220"/>
        <v>0.98799999999999999</v>
      </c>
      <c r="X100" s="203"/>
      <c r="Y100" s="3">
        <f t="shared" si="200"/>
        <v>0.99299999999999999</v>
      </c>
      <c r="Z100" s="3">
        <f t="shared" si="201"/>
        <v>0.98799999999999999</v>
      </c>
      <c r="AA100" s="3">
        <f t="shared" si="202"/>
        <v>0.98799999999999999</v>
      </c>
      <c r="AB100" s="3">
        <f t="shared" si="203"/>
        <v>0.98799999999999999</v>
      </c>
      <c r="AC100" s="24">
        <f>1-SUM(AC98:AC99)</f>
        <v>0.98799999999999999</v>
      </c>
      <c r="AD100" s="24">
        <f>1-SUM(AD98:AD99)</f>
        <v>0.98699999999999999</v>
      </c>
      <c r="AE100" s="24">
        <f>1-SUM(AE98:AE99)</f>
        <v>0.98599999999999999</v>
      </c>
      <c r="AF100" s="24">
        <f>1-SUM(AF98:AF99)</f>
        <v>0.98499999999999999</v>
      </c>
      <c r="AG100" s="24">
        <f>1-SUM(AG98:AG99)</f>
        <v>0.98</v>
      </c>
      <c r="AH100" s="203"/>
      <c r="AI100" s="203"/>
      <c r="AJ100" s="203"/>
      <c r="AK100" s="203"/>
      <c r="AL100" s="203"/>
      <c r="AM100" s="203"/>
      <c r="AN100" s="203"/>
      <c r="AO100" s="203"/>
      <c r="AP100" s="203"/>
      <c r="AQ100" s="203"/>
      <c r="AR100" s="203"/>
      <c r="AS100" s="203"/>
      <c r="AT100" s="203"/>
      <c r="AU100" s="203"/>
      <c r="AV100" s="203"/>
      <c r="AW100" s="203"/>
      <c r="AX100" s="203"/>
      <c r="AY100" s="203"/>
    </row>
    <row r="101" spans="1:51">
      <c r="A101" t="s">
        <v>16</v>
      </c>
      <c r="C101" s="29" t="str">
        <f>C86</f>
        <v>High Income</v>
      </c>
      <c r="D101" t="s">
        <v>179</v>
      </c>
      <c r="E101" s="3">
        <f t="shared" ref="E101:J101" si="222">IF($D$4,Y101,O101)</f>
        <v>3.0943286138531914</v>
      </c>
      <c r="F101" s="3">
        <f t="shared" si="222"/>
        <v>3.2561677381747867</v>
      </c>
      <c r="G101" s="3">
        <f t="shared" si="222"/>
        <v>2.7499367319273165</v>
      </c>
      <c r="H101" s="3">
        <f t="shared" si="222"/>
        <v>3.1452245392265921</v>
      </c>
      <c r="I101" s="3">
        <f t="shared" si="222"/>
        <v>3.8335475817031148</v>
      </c>
      <c r="J101" s="3">
        <f t="shared" si="222"/>
        <v>4.9065659330672</v>
      </c>
      <c r="K101" s="3">
        <f>IF($D$4,AD101,T101)</f>
        <v>4.9065659330672</v>
      </c>
      <c r="L101" s="3">
        <f>IF($D$4,AD101,T101)</f>
        <v>4.9065659330672</v>
      </c>
      <c r="M101" s="3">
        <f>IF($D$4,AG101,W101)</f>
        <v>7.324301599629333</v>
      </c>
      <c r="N101" s="31"/>
      <c r="O101" s="3">
        <f t="shared" ref="O101:W101" si="223">(1-O$27)*O$15</f>
        <v>3.0943286138531914</v>
      </c>
      <c r="P101" s="3">
        <f t="shared" si="223"/>
        <v>3.2561677381747867</v>
      </c>
      <c r="Q101" s="3">
        <f t="shared" si="223"/>
        <v>2.7499367319273165</v>
      </c>
      <c r="R101" s="3">
        <f t="shared" si="223"/>
        <v>3.1452245392265921</v>
      </c>
      <c r="S101" s="3">
        <f t="shared" si="223"/>
        <v>3.8335475817031148</v>
      </c>
      <c r="T101" s="3">
        <f t="shared" si="223"/>
        <v>4.9065659330672</v>
      </c>
      <c r="U101" s="3">
        <f t="shared" si="223"/>
        <v>5.8086832745113881</v>
      </c>
      <c r="V101" s="3">
        <f t="shared" si="223"/>
        <v>6.6130209589461115</v>
      </c>
      <c r="W101" s="3">
        <f t="shared" si="223"/>
        <v>7.324301599629333</v>
      </c>
      <c r="Y101" s="3">
        <f t="shared" si="200"/>
        <v>3.0943286138531914</v>
      </c>
      <c r="Z101" s="3">
        <f t="shared" si="201"/>
        <v>3.2561677381747867</v>
      </c>
      <c r="AA101" s="3">
        <f t="shared" si="202"/>
        <v>2.7499367319273165</v>
      </c>
      <c r="AB101" s="3">
        <f t="shared" si="203"/>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39">
        <v>5.0000000000000001E-3</v>
      </c>
      <c r="F102" s="48">
        <f t="shared" ref="F102:J103" si="224">IF($D$4,Z102,P102)</f>
        <v>0.01</v>
      </c>
      <c r="G102" s="48">
        <f t="shared" si="224"/>
        <v>0.01</v>
      </c>
      <c r="H102" s="48">
        <f t="shared" si="224"/>
        <v>0.01</v>
      </c>
      <c r="I102" s="48">
        <f t="shared" si="224"/>
        <v>0.01</v>
      </c>
      <c r="J102" s="48">
        <f t="shared" si="224"/>
        <v>0.01</v>
      </c>
      <c r="K102" s="48">
        <f>IF($D$4,AD102,T102)</f>
        <v>0.01</v>
      </c>
      <c r="L102" s="48">
        <f>IF($D$4,AD102,T102)</f>
        <v>0.01</v>
      </c>
      <c r="M102" s="48">
        <f>IF($D$4,AG102,W102)</f>
        <v>0.01</v>
      </c>
      <c r="N102" s="204"/>
      <c r="O102" s="196">
        <f>E102</f>
        <v>5.0000000000000001E-3</v>
      </c>
      <c r="P102" s="196">
        <v>0.01</v>
      </c>
      <c r="Q102" s="196">
        <f>P102</f>
        <v>0.01</v>
      </c>
      <c r="R102" s="164">
        <f>Q102</f>
        <v>0.01</v>
      </c>
      <c r="S102" s="92">
        <f t="shared" ref="S102:W102" si="225">R102</f>
        <v>0.01</v>
      </c>
      <c r="T102" s="92">
        <f t="shared" si="225"/>
        <v>0.01</v>
      </c>
      <c r="U102" s="92">
        <f t="shared" si="225"/>
        <v>0.01</v>
      </c>
      <c r="V102" s="92">
        <f t="shared" si="225"/>
        <v>0.01</v>
      </c>
      <c r="W102" s="92">
        <f t="shared" si="225"/>
        <v>0.01</v>
      </c>
      <c r="X102" s="203"/>
      <c r="Y102" s="3">
        <f t="shared" si="200"/>
        <v>5.0000000000000001E-3</v>
      </c>
      <c r="Z102" s="3">
        <f t="shared" si="201"/>
        <v>0.01</v>
      </c>
      <c r="AA102" s="3">
        <f t="shared" si="202"/>
        <v>0.01</v>
      </c>
      <c r="AB102" s="164">
        <f>AA102</f>
        <v>0.01</v>
      </c>
      <c r="AC102" s="92">
        <f t="shared" ref="AC102:AG102" si="226">AB102</f>
        <v>0.01</v>
      </c>
      <c r="AD102" s="92">
        <f t="shared" si="226"/>
        <v>0.01</v>
      </c>
      <c r="AE102" s="92">
        <f t="shared" si="226"/>
        <v>0.01</v>
      </c>
      <c r="AF102" s="92">
        <f t="shared" si="226"/>
        <v>0.01</v>
      </c>
      <c r="AG102" s="92">
        <f t="shared" si="226"/>
        <v>0.01</v>
      </c>
      <c r="AH102" s="203"/>
      <c r="AI102" s="203"/>
      <c r="AJ102" s="203"/>
      <c r="AK102" s="203"/>
      <c r="AL102" s="203"/>
      <c r="AM102" s="203"/>
      <c r="AN102" s="203"/>
      <c r="AO102" s="203"/>
      <c r="AP102" s="203"/>
      <c r="AQ102" s="203"/>
      <c r="AR102" s="203"/>
      <c r="AS102" s="203"/>
      <c r="AT102" s="203"/>
      <c r="AU102" s="203"/>
      <c r="AV102" s="203"/>
      <c r="AW102" s="203"/>
      <c r="AX102" s="203"/>
      <c r="AY102" s="203"/>
    </row>
    <row r="103" spans="1:51">
      <c r="A103" t="s">
        <v>16</v>
      </c>
      <c r="C103" t="str">
        <f>C99</f>
        <v>Gautrain</v>
      </c>
      <c r="D103" t="s">
        <v>39</v>
      </c>
      <c r="E103" s="239">
        <v>5.0000000000000001E-3</v>
      </c>
      <c r="F103" s="117">
        <f t="shared" si="224"/>
        <v>5.0000000000000001E-3</v>
      </c>
      <c r="G103" s="117">
        <f t="shared" si="224"/>
        <v>5.0000000000000001E-3</v>
      </c>
      <c r="H103" s="117">
        <f t="shared" si="224"/>
        <v>5.0000000000000001E-3</v>
      </c>
      <c r="I103" s="117">
        <f t="shared" si="224"/>
        <v>5.0000000000000001E-3</v>
      </c>
      <c r="J103" s="117">
        <f t="shared" si="224"/>
        <v>5.0000000000000001E-3</v>
      </c>
      <c r="K103" s="117">
        <f>IF($D$4,AD103,T103)</f>
        <v>5.0000000000000001E-3</v>
      </c>
      <c r="L103" s="117">
        <f>IF($D$4,AD103,T103)</f>
        <v>5.0000000000000001E-3</v>
      </c>
      <c r="M103" s="117">
        <f>IF($D$4,AG103,W103)</f>
        <v>5.0000000000000001E-3</v>
      </c>
      <c r="N103" s="204"/>
      <c r="O103" s="205">
        <f>E103</f>
        <v>5.0000000000000001E-3</v>
      </c>
      <c r="P103" s="205">
        <f>O103</f>
        <v>5.0000000000000001E-3</v>
      </c>
      <c r="Q103" s="196">
        <v>5.0000000000000001E-3</v>
      </c>
      <c r="R103" s="196">
        <f>AVERAGE(Q103,S103)</f>
        <v>5.0000000000000001E-3</v>
      </c>
      <c r="S103" s="36">
        <f>Q103</f>
        <v>5.0000000000000001E-3</v>
      </c>
      <c r="T103" s="36">
        <f>S103</f>
        <v>5.0000000000000001E-3</v>
      </c>
      <c r="U103" s="36">
        <f>S103</f>
        <v>5.0000000000000001E-3</v>
      </c>
      <c r="V103" s="36">
        <f>S103</f>
        <v>5.0000000000000001E-3</v>
      </c>
      <c r="W103" s="36">
        <f>T103</f>
        <v>5.0000000000000001E-3</v>
      </c>
      <c r="X103" s="203"/>
      <c r="Y103" s="3">
        <f t="shared" si="200"/>
        <v>5.0000000000000001E-3</v>
      </c>
      <c r="Z103" s="3">
        <f t="shared" si="201"/>
        <v>5.0000000000000001E-3</v>
      </c>
      <c r="AA103" s="3">
        <f t="shared" si="202"/>
        <v>5.0000000000000001E-3</v>
      </c>
      <c r="AB103" s="3">
        <f t="shared" si="203"/>
        <v>5.0000000000000001E-3</v>
      </c>
      <c r="AC103" s="56">
        <v>3.0000000000000001E-3</v>
      </c>
      <c r="AD103" s="56">
        <v>4.0000000000000001E-3</v>
      </c>
      <c r="AE103" s="56">
        <v>5.0000000000000001E-3</v>
      </c>
      <c r="AF103" s="56">
        <v>7.4999999999999997E-3</v>
      </c>
      <c r="AG103" s="56">
        <v>0.01</v>
      </c>
      <c r="AH103" s="203"/>
      <c r="AI103" s="203"/>
      <c r="AJ103" s="203"/>
      <c r="AK103" s="203"/>
      <c r="AL103" s="203"/>
      <c r="AM103" s="203"/>
      <c r="AN103" s="203"/>
      <c r="AO103" s="203"/>
      <c r="AP103" s="203"/>
      <c r="AQ103" s="203"/>
      <c r="AR103" s="203"/>
      <c r="AS103" s="203"/>
      <c r="AT103" s="203"/>
      <c r="AU103" s="203"/>
      <c r="AV103" s="203"/>
      <c r="AW103" s="203"/>
      <c r="AX103" s="203"/>
      <c r="AY103" s="203"/>
    </row>
    <row r="104" spans="1:51">
      <c r="A104" t="s">
        <v>16</v>
      </c>
      <c r="C104" t="str">
        <f>C100</f>
        <v>Bus, minibus, metro rail</v>
      </c>
      <c r="D104" t="s">
        <v>39</v>
      </c>
      <c r="E104" s="24">
        <f t="shared" ref="E104:M104" si="227">1-SUM(E102:E103)</f>
        <v>0.99</v>
      </c>
      <c r="F104" s="24">
        <f t="shared" si="227"/>
        <v>0.98499999999999999</v>
      </c>
      <c r="G104" s="24">
        <f t="shared" si="227"/>
        <v>0.98499999999999999</v>
      </c>
      <c r="H104" s="24">
        <f t="shared" si="227"/>
        <v>0.98499999999999999</v>
      </c>
      <c r="I104" s="24">
        <f t="shared" si="227"/>
        <v>0.98499999999999999</v>
      </c>
      <c r="J104" s="24">
        <f t="shared" si="227"/>
        <v>0.98499999999999999</v>
      </c>
      <c r="K104" s="24">
        <f t="shared" ref="K104:L104" si="228">1-SUM(K102:K103)</f>
        <v>0.98499999999999999</v>
      </c>
      <c r="L104" s="24">
        <f t="shared" si="228"/>
        <v>0.98499999999999999</v>
      </c>
      <c r="M104" s="24">
        <f t="shared" si="227"/>
        <v>0.98499999999999999</v>
      </c>
      <c r="N104" s="204"/>
      <c r="O104" s="24">
        <f t="shared" ref="O104:W104" si="229">1-SUM(O102:O103)</f>
        <v>0.99</v>
      </c>
      <c r="P104" s="24">
        <f t="shared" si="229"/>
        <v>0.98499999999999999</v>
      </c>
      <c r="Q104" s="24">
        <f t="shared" si="229"/>
        <v>0.98499999999999999</v>
      </c>
      <c r="R104" s="24">
        <f t="shared" si="229"/>
        <v>0.98499999999999999</v>
      </c>
      <c r="S104" s="24">
        <f t="shared" si="229"/>
        <v>0.98499999999999999</v>
      </c>
      <c r="T104" s="24">
        <f t="shared" si="229"/>
        <v>0.98499999999999999</v>
      </c>
      <c r="U104" s="24">
        <f t="shared" ref="U104:V104" si="230">1-SUM(U102:U103)</f>
        <v>0.98499999999999999</v>
      </c>
      <c r="V104" s="24">
        <f t="shared" si="230"/>
        <v>0.98499999999999999</v>
      </c>
      <c r="W104" s="24">
        <f t="shared" si="229"/>
        <v>0.98499999999999999</v>
      </c>
      <c r="X104" s="203"/>
      <c r="Y104" s="24">
        <f t="shared" ref="Y104:AB104" si="231">1-SUM(Y102:Y103)</f>
        <v>0.99</v>
      </c>
      <c r="Z104" s="24">
        <f t="shared" si="231"/>
        <v>0.98499999999999999</v>
      </c>
      <c r="AA104" s="24">
        <f t="shared" si="231"/>
        <v>0.98499999999999999</v>
      </c>
      <c r="AB104" s="24">
        <f t="shared" si="231"/>
        <v>0.98499999999999999</v>
      </c>
      <c r="AC104" s="24">
        <f>1-SUM(AC102:AC103)</f>
        <v>0.98699999999999999</v>
      </c>
      <c r="AD104" s="24">
        <f>1-SUM(AD102:AD103)</f>
        <v>0.98599999999999999</v>
      </c>
      <c r="AE104" s="24">
        <f>1-SUM(AE102:AE103)</f>
        <v>0.98499999999999999</v>
      </c>
      <c r="AF104" s="24">
        <f>1-SUM(AF102:AF103)</f>
        <v>0.98250000000000004</v>
      </c>
      <c r="AG104" s="24">
        <f>1-SUM(AG102:AG103)</f>
        <v>0.98</v>
      </c>
      <c r="AH104" s="203"/>
      <c r="AI104" s="203"/>
      <c r="AJ104" s="203"/>
      <c r="AK104" s="203"/>
      <c r="AL104" s="203"/>
      <c r="AM104" s="203"/>
      <c r="AN104" s="203"/>
      <c r="AO104" s="203"/>
      <c r="AP104" s="203"/>
      <c r="AQ104" s="203"/>
      <c r="AR104" s="203"/>
      <c r="AS104" s="203"/>
      <c r="AT104" s="203"/>
      <c r="AU104" s="203"/>
      <c r="AV104" s="203"/>
      <c r="AW104" s="203"/>
      <c r="AX104" s="203"/>
      <c r="AY104" s="203"/>
    </row>
    <row r="105" spans="1:51">
      <c r="A105" t="s">
        <v>16</v>
      </c>
      <c r="C105" s="18"/>
      <c r="E105" s="197"/>
      <c r="G105" s="197"/>
      <c r="I105" s="197"/>
      <c r="J105" s="197"/>
      <c r="K105" s="197"/>
      <c r="L105" s="197"/>
      <c r="M105" s="197"/>
      <c r="N105" s="31"/>
    </row>
    <row r="106" spans="1:51" ht="15.75" thickBot="1">
      <c r="A106" t="s">
        <v>16</v>
      </c>
      <c r="C106" s="13" t="s">
        <v>182</v>
      </c>
      <c r="E106" s="197"/>
      <c r="G106" s="197"/>
      <c r="I106" s="197"/>
      <c r="J106" s="197"/>
      <c r="K106" s="197"/>
      <c r="L106" s="197"/>
      <c r="M106" s="197"/>
      <c r="N106" s="31"/>
    </row>
    <row r="107" spans="1:51">
      <c r="A107" t="s">
        <v>16</v>
      </c>
      <c r="C107" s="18" t="str">
        <f>C54</f>
        <v>Low Income</v>
      </c>
      <c r="D107" t="s">
        <v>161</v>
      </c>
      <c r="E107" s="3">
        <f t="shared" ref="E107:J111" si="232">IF($D$4,Y107,O107)</f>
        <v>0.95104494317767596</v>
      </c>
      <c r="F107" s="3">
        <f t="shared" si="232"/>
        <v>0.95811068480591965</v>
      </c>
      <c r="G107" s="3">
        <f t="shared" si="232"/>
        <v>0.99694052475857964</v>
      </c>
      <c r="H107" s="3">
        <f t="shared" si="232"/>
        <v>1.0138180732411568</v>
      </c>
      <c r="I107" s="3">
        <f t="shared" si="232"/>
        <v>0.99461441202891065</v>
      </c>
      <c r="J107" s="3">
        <f t="shared" si="232"/>
        <v>0.89561192931330413</v>
      </c>
      <c r="K107" s="3">
        <f>IF($D$4,AD107,T107)</f>
        <v>0.89561192931330413</v>
      </c>
      <c r="L107" s="3">
        <f>IF($D$4,AD107,T107)</f>
        <v>0.89561192931330413</v>
      </c>
      <c r="M107" s="3">
        <f>IF($D$4,AG107,W107)</f>
        <v>0.40821111734841553</v>
      </c>
      <c r="N107" s="31"/>
      <c r="O107" s="3">
        <f t="shared" ref="O107:W109" si="233">O25*O13*O30*O41</f>
        <v>0.95104494317767596</v>
      </c>
      <c r="P107" s="3">
        <f t="shared" si="233"/>
        <v>0.95811068480591965</v>
      </c>
      <c r="Q107" s="3">
        <f t="shared" si="233"/>
        <v>0.99694052475857964</v>
      </c>
      <c r="R107" s="3">
        <f t="shared" si="233"/>
        <v>1.0138180732411568</v>
      </c>
      <c r="S107" s="249">
        <f t="shared" si="233"/>
        <v>0.99461441202891065</v>
      </c>
      <c r="T107" s="249">
        <f t="shared" si="233"/>
        <v>0.89561192931330413</v>
      </c>
      <c r="U107" s="249">
        <f t="shared" ref="U107:V107" si="234">U25*U13*U30*U41</f>
        <v>0.75768355513691332</v>
      </c>
      <c r="V107" s="249">
        <f t="shared" si="234"/>
        <v>0.59199840196302089</v>
      </c>
      <c r="W107" s="249">
        <f t="shared" si="233"/>
        <v>0.40821111734841553</v>
      </c>
      <c r="Y107" s="3">
        <f t="shared" ref="Y107:AB111" si="235">O107</f>
        <v>0.95104494317767596</v>
      </c>
      <c r="Z107" s="3">
        <f t="shared" si="235"/>
        <v>0.95811068480591965</v>
      </c>
      <c r="AA107" s="3">
        <f t="shared" si="235"/>
        <v>0.99694052475857964</v>
      </c>
      <c r="AB107" s="3">
        <f t="shared" si="235"/>
        <v>1.0138180732411568</v>
      </c>
      <c r="AC107" s="249">
        <f t="shared" ref="AC107:AG109" si="236">AC25*AC13*AC30*AC41</f>
        <v>0.89763950685609173</v>
      </c>
      <c r="AD107" s="249">
        <f t="shared" si="236"/>
        <v>0.76787527789499399</v>
      </c>
      <c r="AE107" s="249">
        <f t="shared" ref="AE107:AF107" si="237">AE25*AE13*AE30*AE41</f>
        <v>0.61713799118123536</v>
      </c>
      <c r="AF107" s="249">
        <f t="shared" si="237"/>
        <v>0.48218639838889277</v>
      </c>
      <c r="AG107" s="249">
        <f t="shared" si="236"/>
        <v>0.3000726820257904</v>
      </c>
    </row>
    <row r="108" spans="1:51">
      <c r="A108" t="s">
        <v>16</v>
      </c>
      <c r="C108" s="18" t="str">
        <f>C55</f>
        <v>Middle Income</v>
      </c>
      <c r="D108" t="s">
        <v>161</v>
      </c>
      <c r="E108" s="3">
        <f t="shared" si="232"/>
        <v>34.197290035069827</v>
      </c>
      <c r="F108" s="3">
        <f t="shared" si="232"/>
        <v>36.069073018912839</v>
      </c>
      <c r="G108" s="3">
        <f t="shared" si="232"/>
        <v>37.904058592062199</v>
      </c>
      <c r="H108" s="3">
        <f t="shared" si="232"/>
        <v>36.063632167515003</v>
      </c>
      <c r="I108" s="3">
        <f t="shared" si="232"/>
        <v>41.596335023561807</v>
      </c>
      <c r="J108" s="3">
        <f t="shared" si="232"/>
        <v>47.697728433692241</v>
      </c>
      <c r="K108" s="3">
        <f>IF($D$4,AD108,T108)</f>
        <v>47.697728433692241</v>
      </c>
      <c r="L108" s="3">
        <f>IF($D$4,AD108,T108)</f>
        <v>47.697728433692241</v>
      </c>
      <c r="M108" s="3">
        <f>IF($D$4,AG108,W108)</f>
        <v>66.464892110904259</v>
      </c>
      <c r="N108" s="31"/>
      <c r="O108" s="3">
        <f t="shared" si="233"/>
        <v>34.197290035069827</v>
      </c>
      <c r="P108" s="3">
        <f t="shared" si="233"/>
        <v>36.069073018912839</v>
      </c>
      <c r="Q108" s="3">
        <f t="shared" si="233"/>
        <v>37.904058592062199</v>
      </c>
      <c r="R108" s="3">
        <f t="shared" si="233"/>
        <v>36.063632167515003</v>
      </c>
      <c r="S108" s="249">
        <f t="shared" si="233"/>
        <v>41.596335023561807</v>
      </c>
      <c r="T108" s="249">
        <f t="shared" si="233"/>
        <v>47.697728433692241</v>
      </c>
      <c r="U108" s="249">
        <f t="shared" ref="U108:V108" si="238">U26*U14*U31*U42</f>
        <v>54.883172837697913</v>
      </c>
      <c r="V108" s="249">
        <f t="shared" si="238"/>
        <v>61.069503505884143</v>
      </c>
      <c r="W108" s="249">
        <f t="shared" si="233"/>
        <v>66.464892110904259</v>
      </c>
      <c r="Y108" s="3">
        <f t="shared" si="235"/>
        <v>34.197290035069827</v>
      </c>
      <c r="Z108" s="3">
        <f t="shared" si="235"/>
        <v>36.069073018912839</v>
      </c>
      <c r="AA108" s="3">
        <f t="shared" si="235"/>
        <v>37.904058592062199</v>
      </c>
      <c r="AB108" s="3">
        <f t="shared" si="235"/>
        <v>36.063632167515003</v>
      </c>
      <c r="AC108" s="249">
        <f t="shared" si="236"/>
        <v>35.663657740826288</v>
      </c>
      <c r="AD108" s="249">
        <f t="shared" si="236"/>
        <v>36.907593024042768</v>
      </c>
      <c r="AE108" s="249">
        <f t="shared" ref="AE108:AF108" si="239">AE26*AE14*AE31*AE42</f>
        <v>42.467552931328413</v>
      </c>
      <c r="AF108" s="249">
        <f t="shared" si="239"/>
        <v>47.254417675442554</v>
      </c>
      <c r="AG108" s="249">
        <f t="shared" si="236"/>
        <v>46.414913041891673</v>
      </c>
    </row>
    <row r="109" spans="1:51">
      <c r="A109" t="s">
        <v>16</v>
      </c>
      <c r="C109" s="18" t="str">
        <f>C56</f>
        <v>High Income</v>
      </c>
      <c r="D109" t="s">
        <v>161</v>
      </c>
      <c r="E109" s="3">
        <f t="shared" si="232"/>
        <v>54.704085477855955</v>
      </c>
      <c r="F109" s="3">
        <f t="shared" si="232"/>
        <v>57.565210586195825</v>
      </c>
      <c r="G109" s="3">
        <f t="shared" si="232"/>
        <v>48.165244164109204</v>
      </c>
      <c r="H109" s="3">
        <f t="shared" si="232"/>
        <v>55.613127090413983</v>
      </c>
      <c r="I109" s="3">
        <f t="shared" si="232"/>
        <v>69.572138655159137</v>
      </c>
      <c r="J109" s="3">
        <f t="shared" si="232"/>
        <v>97.282916469426368</v>
      </c>
      <c r="K109" s="3">
        <f>IF($D$4,AD109,T109)</f>
        <v>97.282916469426368</v>
      </c>
      <c r="L109" s="3">
        <f>IF($D$4,AD109,T109)</f>
        <v>97.282916469426368</v>
      </c>
      <c r="M109" s="3">
        <f>IF($D$4,AG109,W109)</f>
        <v>167.73177866778568</v>
      </c>
      <c r="N109" s="31"/>
      <c r="O109" s="3">
        <f t="shared" si="233"/>
        <v>54.704085477855955</v>
      </c>
      <c r="P109" s="3">
        <f t="shared" si="233"/>
        <v>57.565210586195825</v>
      </c>
      <c r="Q109" s="3">
        <f t="shared" si="233"/>
        <v>48.165244164109204</v>
      </c>
      <c r="R109" s="3">
        <f t="shared" si="233"/>
        <v>55.613127090413983</v>
      </c>
      <c r="S109" s="249">
        <f t="shared" si="233"/>
        <v>69.572138655159137</v>
      </c>
      <c r="T109" s="249">
        <f t="shared" si="233"/>
        <v>97.282916469426368</v>
      </c>
      <c r="U109" s="249">
        <f t="shared" ref="U109:V109" si="240">U27*U15*U32*U43</f>
        <v>132.67270427849095</v>
      </c>
      <c r="V109" s="249">
        <f t="shared" si="240"/>
        <v>151.04410631642196</v>
      </c>
      <c r="W109" s="249">
        <f t="shared" si="233"/>
        <v>167.73177866778568</v>
      </c>
      <c r="Y109" s="3">
        <f t="shared" si="235"/>
        <v>54.704085477855955</v>
      </c>
      <c r="Z109" s="3">
        <f t="shared" si="235"/>
        <v>57.565210586195825</v>
      </c>
      <c r="AA109" s="3">
        <f t="shared" si="235"/>
        <v>48.165244164109204</v>
      </c>
      <c r="AB109" s="3">
        <f t="shared" si="235"/>
        <v>55.613127090413983</v>
      </c>
      <c r="AC109" s="249">
        <f t="shared" si="236"/>
        <v>64.483588951334113</v>
      </c>
      <c r="AD109" s="249">
        <f t="shared" si="236"/>
        <v>85.715558738651367</v>
      </c>
      <c r="AE109" s="249">
        <f t="shared" ref="AE109:AF109" si="241">AE27*AE15*AE32*AE43</f>
        <v>116.89734836612026</v>
      </c>
      <c r="AF109" s="249">
        <f t="shared" si="241"/>
        <v>133.08431158271492</v>
      </c>
      <c r="AG109" s="249">
        <f t="shared" si="236"/>
        <v>140.49072777489894</v>
      </c>
    </row>
    <row r="110" spans="1:51">
      <c r="A110" t="s">
        <v>16</v>
      </c>
      <c r="C110" s="18" t="str">
        <f>C57</f>
        <v>Other (gov/company/car rental)</v>
      </c>
      <c r="D110" t="s">
        <v>161</v>
      </c>
      <c r="E110" s="3">
        <f t="shared" si="232"/>
        <v>11.069999999999999</v>
      </c>
      <c r="F110" s="3">
        <f t="shared" si="232"/>
        <v>11.17821196363794</v>
      </c>
      <c r="G110" s="3">
        <f t="shared" si="232"/>
        <v>10.819193604037091</v>
      </c>
      <c r="H110" s="3">
        <f t="shared" si="232"/>
        <v>11.073637640042646</v>
      </c>
      <c r="I110" s="3">
        <f t="shared" si="232"/>
        <v>11.887241558431914</v>
      </c>
      <c r="J110" s="3">
        <f t="shared" si="232"/>
        <v>14.265886742132098</v>
      </c>
      <c r="K110" s="3">
        <f>IF($D$4,AD110,T110)</f>
        <v>14.265886742132098</v>
      </c>
      <c r="L110" s="3">
        <f>IF($D$4,AD110,T110)</f>
        <v>14.265886742132098</v>
      </c>
      <c r="M110" s="3">
        <f>IF($D$4,AG110,W110)</f>
        <v>17.196292141981164</v>
      </c>
      <c r="N110" s="32"/>
      <c r="O110" s="3">
        <f t="shared" ref="O110:W110" si="242">O50</f>
        <v>11.069999999999999</v>
      </c>
      <c r="P110" s="3">
        <f t="shared" si="242"/>
        <v>11.17821196363794</v>
      </c>
      <c r="Q110" s="3">
        <f t="shared" si="242"/>
        <v>10.819193604037091</v>
      </c>
      <c r="R110" s="3">
        <f t="shared" si="242"/>
        <v>11.073637640042646</v>
      </c>
      <c r="S110" s="249">
        <f t="shared" si="242"/>
        <v>11.887241558431914</v>
      </c>
      <c r="T110" s="249">
        <f t="shared" si="242"/>
        <v>14.265886742132098</v>
      </c>
      <c r="U110" s="249">
        <f t="shared" ref="U110:V110" si="243">U50</f>
        <v>17.684897919991023</v>
      </c>
      <c r="V110" s="249">
        <f t="shared" si="243"/>
        <v>17.684897919991023</v>
      </c>
      <c r="W110" s="249">
        <f t="shared" si="242"/>
        <v>17.196292141981164</v>
      </c>
      <c r="Y110" s="3">
        <f t="shared" si="235"/>
        <v>11.069999999999999</v>
      </c>
      <c r="Z110" s="3">
        <f t="shared" si="235"/>
        <v>11.17821196363794</v>
      </c>
      <c r="AA110" s="3">
        <f t="shared" si="235"/>
        <v>10.819193604037091</v>
      </c>
      <c r="AB110" s="3">
        <f t="shared" si="235"/>
        <v>11.073637640042646</v>
      </c>
      <c r="AC110" s="249">
        <f>AC50</f>
        <v>11.608287705030941</v>
      </c>
      <c r="AD110" s="249">
        <f>AD50</f>
        <v>13.129885047021842</v>
      </c>
      <c r="AE110" s="249">
        <f>AE50</f>
        <v>14.630119280735199</v>
      </c>
      <c r="AF110" s="249">
        <f>AF50</f>
        <v>14.630119280735199</v>
      </c>
      <c r="AG110" s="249">
        <f>AG50</f>
        <v>14.379415295709457</v>
      </c>
    </row>
    <row r="111" spans="1:51">
      <c r="A111" t="s">
        <v>16</v>
      </c>
      <c r="C111" s="18" t="s">
        <v>5</v>
      </c>
      <c r="D111" t="s">
        <v>161</v>
      </c>
      <c r="E111" s="3">
        <f t="shared" si="232"/>
        <v>100.92242045610345</v>
      </c>
      <c r="F111" s="3">
        <f t="shared" si="232"/>
        <v>105.77060625355251</v>
      </c>
      <c r="G111" s="3">
        <f t="shared" si="232"/>
        <v>97.885436884967078</v>
      </c>
      <c r="H111" s="3">
        <f t="shared" si="232"/>
        <v>103.76421497121279</v>
      </c>
      <c r="I111" s="3">
        <f t="shared" si="232"/>
        <v>124.05032964918176</v>
      </c>
      <c r="J111" s="3">
        <f t="shared" si="232"/>
        <v>160.14214357456402</v>
      </c>
      <c r="K111" s="3">
        <f>IF($D$4,AD111,T111)</f>
        <v>160.14214357456402</v>
      </c>
      <c r="L111" s="3">
        <f>IF($D$4,AD111,T111)</f>
        <v>160.14214357456402</v>
      </c>
      <c r="M111" s="3">
        <f>IF($D$4,AG111,W111)</f>
        <v>251.80117403801952</v>
      </c>
      <c r="N111" s="31"/>
      <c r="O111" s="3">
        <f t="shared" ref="O111:W111" si="244">SUM(O107:O110)</f>
        <v>100.92242045610345</v>
      </c>
      <c r="P111" s="3">
        <f t="shared" si="244"/>
        <v>105.77060625355251</v>
      </c>
      <c r="Q111" s="3">
        <f t="shared" si="244"/>
        <v>97.885436884967078</v>
      </c>
      <c r="R111" s="3">
        <f t="shared" si="244"/>
        <v>103.76421497121279</v>
      </c>
      <c r="S111" s="249">
        <f t="shared" si="244"/>
        <v>124.05032964918176</v>
      </c>
      <c r="T111" s="249">
        <f t="shared" si="244"/>
        <v>160.14214357456402</v>
      </c>
      <c r="U111" s="249">
        <f t="shared" ref="U111:V111" si="245">SUM(U107:U110)</f>
        <v>205.99845859131679</v>
      </c>
      <c r="V111" s="249">
        <f t="shared" si="245"/>
        <v>230.39050614426014</v>
      </c>
      <c r="W111" s="249">
        <f t="shared" si="244"/>
        <v>251.80117403801952</v>
      </c>
      <c r="Y111" s="3">
        <f t="shared" si="235"/>
        <v>100.92242045610345</v>
      </c>
      <c r="Z111" s="3">
        <f t="shared" si="235"/>
        <v>105.77060625355251</v>
      </c>
      <c r="AA111" s="3">
        <f t="shared" si="235"/>
        <v>97.885436884967078</v>
      </c>
      <c r="AB111" s="3">
        <f t="shared" si="235"/>
        <v>103.76421497121279</v>
      </c>
      <c r="AC111" s="249">
        <f>SUM(AC107:AC110)</f>
        <v>112.65317390404745</v>
      </c>
      <c r="AD111" s="249">
        <f>SUM(AD107:AD110)</f>
        <v>136.52091208761098</v>
      </c>
      <c r="AE111" s="249">
        <f>SUM(AE107:AE110)</f>
        <v>174.61215856936508</v>
      </c>
      <c r="AF111" s="249">
        <f>SUM(AF107:AF110)</f>
        <v>195.45103493728155</v>
      </c>
      <c r="AG111" s="249">
        <f>SUM(AG107:AG110)</f>
        <v>201.58512879452587</v>
      </c>
    </row>
    <row r="112" spans="1:51">
      <c r="A112" t="s">
        <v>16</v>
      </c>
      <c r="C112" s="18"/>
      <c r="E112" s="198">
        <f t="shared" ref="E112:J112" si="246">SUM(E149:E151)</f>
        <v>104.81558613918145</v>
      </c>
      <c r="F112" s="198">
        <f t="shared" si="246"/>
        <v>105.77060625355251</v>
      </c>
      <c r="G112" s="198">
        <f t="shared" si="246"/>
        <v>97.885436884967078</v>
      </c>
      <c r="H112" s="198">
        <f t="shared" si="246"/>
        <v>103.76421497121278</v>
      </c>
      <c r="I112" s="198">
        <f t="shared" si="246"/>
        <v>124.05032964918176</v>
      </c>
      <c r="J112" s="198">
        <f t="shared" si="246"/>
        <v>160.14214357456399</v>
      </c>
      <c r="K112" s="198">
        <f>SUM(K149:K151)</f>
        <v>205.99845859131676</v>
      </c>
      <c r="L112" s="198">
        <f>SUM(L149:L151)</f>
        <v>230.39050614426014</v>
      </c>
      <c r="M112" s="198">
        <f>SUM(M149:M151)</f>
        <v>251.80117403801952</v>
      </c>
      <c r="N112" s="31"/>
      <c r="O112">
        <v>104.81558613918145</v>
      </c>
    </row>
    <row r="113" spans="1:51" ht="15.75" thickBot="1">
      <c r="A113" t="s">
        <v>16</v>
      </c>
      <c r="C113" s="13" t="s">
        <v>170</v>
      </c>
      <c r="E113" s="243">
        <f t="shared" ref="E113:M113" si="247">E$12</f>
        <v>2017</v>
      </c>
      <c r="F113" s="243">
        <f t="shared" si="247"/>
        <v>2019</v>
      </c>
      <c r="G113" s="243">
        <f t="shared" si="247"/>
        <v>2020</v>
      </c>
      <c r="H113" s="243">
        <f t="shared" si="247"/>
        <v>2021</v>
      </c>
      <c r="I113" s="243">
        <f t="shared" si="247"/>
        <v>2030</v>
      </c>
      <c r="J113" s="243">
        <f t="shared" si="247"/>
        <v>2040</v>
      </c>
      <c r="K113" s="243">
        <f t="shared" si="247"/>
        <v>2050</v>
      </c>
      <c r="L113" s="243">
        <f t="shared" si="247"/>
        <v>2060</v>
      </c>
      <c r="M113" s="243">
        <f t="shared" si="247"/>
        <v>2070</v>
      </c>
      <c r="N113" s="31"/>
      <c r="O113" s="243">
        <f t="shared" si="149"/>
        <v>2017</v>
      </c>
      <c r="P113" s="243">
        <f t="shared" si="149"/>
        <v>2019</v>
      </c>
      <c r="Q113" s="243">
        <f t="shared" si="149"/>
        <v>2020</v>
      </c>
      <c r="R113" s="243">
        <f t="shared" si="149"/>
        <v>2021</v>
      </c>
      <c r="S113" s="243">
        <f t="shared" si="149"/>
        <v>2030</v>
      </c>
      <c r="T113" s="243">
        <f t="shared" si="149"/>
        <v>2040</v>
      </c>
      <c r="U113" s="243">
        <f t="shared" si="149"/>
        <v>2050</v>
      </c>
      <c r="V113" s="243">
        <f t="shared" si="149"/>
        <v>2060</v>
      </c>
      <c r="W113" s="243">
        <f t="shared" si="149"/>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48">E$64*(1-E$73)*E68*(E75*E78+E93*E94)/1000</f>
        <v>0.61672823758459472</v>
      </c>
      <c r="F115" s="3">
        <f t="shared" ref="F115:H115" si="249">F$64*(1-F$73)*F68*(F75*F78+F93*F94)/1000</f>
        <v>1.2301941755901284</v>
      </c>
      <c r="G115" s="3">
        <f t="shared" si="249"/>
        <v>1.2800508818208238</v>
      </c>
      <c r="H115" s="3">
        <f t="shared" si="249"/>
        <v>1.3017213027552403</v>
      </c>
      <c r="I115" s="3">
        <f>I$64*(1-I$73)*I68*(I75*I78+I93*I94)/1000</f>
        <v>1.2770642014954872</v>
      </c>
      <c r="J115" s="3">
        <f>J$64*(1-J$73)*J68*(J75*J78+J93*J94)/1000</f>
        <v>1.1499470744900904</v>
      </c>
      <c r="K115" s="3">
        <f>K$64*(1-K$73)*K68*(K75*K78+K93*K94)/1000</f>
        <v>1.1499470744900904</v>
      </c>
      <c r="L115" s="3">
        <f>L$64*(1-L$73)*L68*(L75*L78+L93*L94)/1000</f>
        <v>1.1499470744900904</v>
      </c>
      <c r="M115" s="3">
        <f>M$64*(1-M$73)*M68*(M75*M78+M93*M94)/1000</f>
        <v>0.52413457749391812</v>
      </c>
      <c r="N115" s="204"/>
      <c r="O115" s="3">
        <f t="shared" ref="O115:R115" si="250">O$64*(1-O$73)*O68*(O75*O78+O93*O94)/1000</f>
        <v>0.61672823758459472</v>
      </c>
      <c r="P115" s="3">
        <f t="shared" si="250"/>
        <v>1.2301941755901284</v>
      </c>
      <c r="Q115" s="3">
        <f t="shared" si="250"/>
        <v>1.2800508818208238</v>
      </c>
      <c r="R115" s="3">
        <f t="shared" si="250"/>
        <v>1.3017213027552403</v>
      </c>
      <c r="S115" s="249">
        <f>S$64*(1-S$73)*S68*(S75*S78+S93*S94)/1000</f>
        <v>1.2770642014954872</v>
      </c>
      <c r="T115" s="249">
        <f>T$64*(1-T$73)*T68*(T75*T78+T93*T94)/1000</f>
        <v>1.1499470744900904</v>
      </c>
      <c r="U115" s="249">
        <f>U$64*(1-U$73)*U68*(U75*U78+U93*U94)/1000</f>
        <v>0.9728499131169418</v>
      </c>
      <c r="V115" s="249">
        <f>V$64*(1-V$73)*V68*(V75*V78+V93*V94)/1000</f>
        <v>0.76011362528651372</v>
      </c>
      <c r="W115" s="249">
        <f>W$64*(1-W$73)*W68*(W75*W78+W93*W94)/1000</f>
        <v>0.52413457749391812</v>
      </c>
      <c r="X115" s="203"/>
      <c r="Y115" s="3">
        <f t="shared" ref="Y115:AB117" si="251">O115</f>
        <v>0.61672823758459472</v>
      </c>
      <c r="Z115" s="3">
        <f t="shared" si="251"/>
        <v>1.2301941755901284</v>
      </c>
      <c r="AA115" s="3">
        <f t="shared" si="251"/>
        <v>1.2800508818208238</v>
      </c>
      <c r="AB115" s="3">
        <f t="shared" si="251"/>
        <v>1.3017213027552403</v>
      </c>
      <c r="AC115" s="249">
        <f>AC$64*(1-AC$73)*AC68*(AC75*AC78+AC93*AC94)/1000</f>
        <v>1.122628530616963</v>
      </c>
      <c r="AD115" s="249">
        <f>AD$64*(1-AD$73)*AD68*(AD75*AD78+AD93*AD94)/1000</f>
        <v>1.0108837073424515</v>
      </c>
      <c r="AE115" s="249">
        <f>AE$64*(1-AE$73)*AE68*(AE75*AE78+AE93*AE94)/1000</f>
        <v>0.85520294687954412</v>
      </c>
      <c r="AF115" s="249">
        <f>AF$64*(1-AF$73)*AF68*(AF75*AF78+AF93*AF94)/1000</f>
        <v>0.66819290781000507</v>
      </c>
      <c r="AG115" s="249">
        <f>AG$64*(1-AG$73)*AG68*(AG75*AG78+AG93*AG94)/1000</f>
        <v>0.46075086114581626</v>
      </c>
      <c r="AH115" s="203"/>
      <c r="AI115" s="203"/>
      <c r="AJ115" s="203"/>
      <c r="AK115" s="203"/>
      <c r="AL115" s="203"/>
      <c r="AM115" s="203"/>
      <c r="AN115" s="203"/>
      <c r="AO115" s="203"/>
      <c r="AP115" s="203"/>
      <c r="AQ115" s="203"/>
      <c r="AR115" s="203"/>
      <c r="AS115" s="203"/>
      <c r="AT115" s="203"/>
      <c r="AU115" s="203"/>
      <c r="AV115" s="203"/>
      <c r="AW115" s="203"/>
      <c r="AX115" s="203"/>
      <c r="AY115" s="203"/>
    </row>
    <row r="116" spans="1:51">
      <c r="A116" t="s">
        <v>16</v>
      </c>
      <c r="C116" t="s">
        <v>71</v>
      </c>
      <c r="D116" t="s">
        <v>124</v>
      </c>
      <c r="E116" s="3">
        <f t="shared" ref="E116" si="252">E$64*(1-E$73)*E69*(E75*E79+E93*E95)/1000</f>
        <v>0</v>
      </c>
      <c r="F116" s="3">
        <f t="shared" ref="F116:H116" si="253">F$64*(1-F$73)*F69*(F75*F79+F93*F95)/1000</f>
        <v>1.6568271725119574E-2</v>
      </c>
      <c r="G116" s="3">
        <f t="shared" si="253"/>
        <v>1.7239742516105373E-2</v>
      </c>
      <c r="H116" s="3">
        <f t="shared" si="253"/>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4"/>
      <c r="O116" s="3">
        <f t="shared" ref="O116:R116" si="254">O$64*(1-O$73)*O69*(O75*O79+O93*O95)/1000</f>
        <v>0</v>
      </c>
      <c r="P116" s="3">
        <f t="shared" si="254"/>
        <v>1.6568271725119574E-2</v>
      </c>
      <c r="Q116" s="3">
        <f t="shared" si="254"/>
        <v>1.7239742516105373E-2</v>
      </c>
      <c r="R116" s="3">
        <f t="shared" si="254"/>
        <v>1.7531600037107617E-2</v>
      </c>
      <c r="S116" s="249">
        <f>S$64*(1-S$73)*S69*(S75*S79+S93*S95)/1000</f>
        <v>1.7199517865259088E-2</v>
      </c>
      <c r="T116" s="249">
        <f>T$64*(1-T$73)*T69*(T75*T79+T93*T95)/1000</f>
        <v>1.5487502686735224E-2</v>
      </c>
      <c r="U116" s="249">
        <f>U$64*(1-U$73)*U69*(U75*U79+U93*U95)/1000</f>
        <v>1.3102355732214705E-2</v>
      </c>
      <c r="V116" s="249">
        <f>V$64*(1-V$73)*V69*(V75*V79+V93*V95)/1000</f>
        <v>1.0237220542579311E-2</v>
      </c>
      <c r="W116" s="249">
        <f>W$64*(1-W$73)*W69*(W75*W79+W93*W95)/1000</f>
        <v>7.0590515487396381E-3</v>
      </c>
      <c r="X116" s="203"/>
      <c r="Y116" s="3">
        <f t="shared" si="251"/>
        <v>0</v>
      </c>
      <c r="Z116" s="3">
        <f t="shared" si="251"/>
        <v>1.6568271725119574E-2</v>
      </c>
      <c r="AA116" s="3">
        <f t="shared" si="251"/>
        <v>1.7239742516105373E-2</v>
      </c>
      <c r="AB116" s="3">
        <f t="shared" si="251"/>
        <v>1.7531600037107617E-2</v>
      </c>
      <c r="AC116" s="249">
        <f>AC$64*(1-AC$73)*AC69*(AC75*AC79+AC93*AC95)/1000</f>
        <v>0</v>
      </c>
      <c r="AD116" s="249">
        <f>AD$64*(1-AD$73)*AD69*(AD75*AD79+AD93*AD95)/1000</f>
        <v>0</v>
      </c>
      <c r="AE116" s="249">
        <f>AE$64*(1-AE$73)*AE69*(AE75*AE79+AE93*AE95)/1000</f>
        <v>0</v>
      </c>
      <c r="AF116" s="249">
        <f>AF$64*(1-AF$73)*AF69*(AF75*AF79+AF93*AF95)/1000</f>
        <v>0</v>
      </c>
      <c r="AG116" s="249">
        <f>AG$64*(1-AG$73)*AG69*(AG75*AG79+AG93*AG95)/1000</f>
        <v>0</v>
      </c>
      <c r="AH116" s="203"/>
      <c r="AI116" s="203"/>
      <c r="AJ116" s="203"/>
      <c r="AK116" s="203"/>
      <c r="AL116" s="203"/>
      <c r="AM116" s="203"/>
      <c r="AN116" s="203"/>
      <c r="AO116" s="203"/>
      <c r="AP116" s="203"/>
      <c r="AQ116" s="203"/>
      <c r="AR116" s="203"/>
      <c r="AS116" s="203"/>
      <c r="AT116" s="203"/>
      <c r="AU116" s="203"/>
      <c r="AV116" s="203"/>
      <c r="AW116" s="203"/>
      <c r="AX116" s="203"/>
      <c r="AY116" s="203"/>
    </row>
    <row r="117" spans="1:51">
      <c r="A117" t="s">
        <v>16</v>
      </c>
      <c r="C117" t="s">
        <v>70</v>
      </c>
      <c r="D117" t="s">
        <v>124</v>
      </c>
      <c r="E117" s="3">
        <f t="shared" ref="E117" si="255">E$64*(1-E$73)*E70*(E75*E80+E93*E96)/1000</f>
        <v>81.434745079098278</v>
      </c>
      <c r="F117" s="3">
        <f t="shared" ref="F117:H117" si="256">F$64*(1-F$73)*F70*(F75*F80+F93*F96)/1000</f>
        <v>71.754556525225468</v>
      </c>
      <c r="G117" s="3">
        <f t="shared" si="256"/>
        <v>74.662590001872275</v>
      </c>
      <c r="H117" s="3">
        <f t="shared" si="256"/>
        <v>75.926578626365711</v>
      </c>
      <c r="I117" s="3">
        <f>I$64*(1-I$73)*I70*(I75*I80+I93*I96)/1000</f>
        <v>74.488383420115085</v>
      </c>
      <c r="J117" s="3">
        <f>J$64*(1-J$73)*J70*(J75*J80+J93*J96)/1000</f>
        <v>67.073917268332593</v>
      </c>
      <c r="K117" s="3">
        <f>K$64*(1-K$73)*K70*(K75*K80+K93*K96)/1000</f>
        <v>67.073917268332593</v>
      </c>
      <c r="L117" s="3">
        <f>L$64*(1-L$73)*L70*(L75*L80+L93*L96)/1000</f>
        <v>67.073917268332593</v>
      </c>
      <c r="M117" s="3">
        <f>M$64*(1-M$73)*M70*(M75*M80+M93*M96)/1000</f>
        <v>30.571632441334987</v>
      </c>
      <c r="N117" s="204"/>
      <c r="O117" s="3">
        <f t="shared" ref="O117:R117" si="257">O$64*(1-O$73)*O70*(O75*O80+O93*O96)/1000</f>
        <v>71.586822418370105</v>
      </c>
      <c r="P117" s="3">
        <f t="shared" si="257"/>
        <v>71.754556525225468</v>
      </c>
      <c r="Q117" s="3">
        <f t="shared" si="257"/>
        <v>74.662590001872275</v>
      </c>
      <c r="R117" s="3">
        <f t="shared" si="257"/>
        <v>75.926578626365711</v>
      </c>
      <c r="S117" s="249">
        <f>S$64*(1-S$73)*S70*(S75*S80+S93*S96)/1000</f>
        <v>74.488383420115085</v>
      </c>
      <c r="T117" s="249">
        <f>T$64*(1-T$73)*T70*(T75*T80+T93*T96)/1000</f>
        <v>67.073917268332593</v>
      </c>
      <c r="U117" s="249">
        <f>U$64*(1-U$73)*U70*(U75*U80+U93*U96)/1000</f>
        <v>56.744224177312425</v>
      </c>
      <c r="V117" s="249">
        <f>V$64*(1-V$73)*V70*(V75*V80+V93*V96)/1000</f>
        <v>44.335778183189184</v>
      </c>
      <c r="W117" s="249">
        <f>W$64*(1-W$73)*W70*(W75*W80+W93*W96)/1000</f>
        <v>30.571632441334987</v>
      </c>
      <c r="X117" s="203"/>
      <c r="Y117" s="3">
        <f t="shared" si="251"/>
        <v>71.586822418370105</v>
      </c>
      <c r="Z117" s="3">
        <f t="shared" si="251"/>
        <v>71.754556525225468</v>
      </c>
      <c r="AA117" s="3">
        <f t="shared" si="251"/>
        <v>74.662590001872275</v>
      </c>
      <c r="AB117" s="3">
        <f t="shared" si="251"/>
        <v>75.926578626365711</v>
      </c>
      <c r="AC117" s="249">
        <f>AC$64*(1-AC$73)*AC70*(AC75*AC80+AC93*AC96)/1000</f>
        <v>74.530411273749081</v>
      </c>
      <c r="AD117" s="249">
        <f>AD$64*(1-AD$73)*AD70*(AD75*AD80+AD93*AD96)/1000</f>
        <v>67.126126366276992</v>
      </c>
      <c r="AE117" s="249">
        <f>AE$64*(1-AE$73)*AE70*(AE75*AE80+AE93*AE96)/1000</f>
        <v>56.799937628074474</v>
      </c>
      <c r="AF117" s="249">
        <f>AF$64*(1-AF$73)*AF70*(AF75*AF80+AF93*AF96)/1000</f>
        <v>44.379308590567518</v>
      </c>
      <c r="AG117" s="249">
        <f>AG$64*(1-AG$73)*AG70*(AG75*AG80+AG93*AG96)/1000</f>
        <v>30.613171091464601</v>
      </c>
      <c r="AH117" s="203"/>
      <c r="AI117" s="203"/>
      <c r="AJ117" s="203"/>
      <c r="AK117" s="203"/>
      <c r="AL117" s="203"/>
      <c r="AM117" s="203"/>
      <c r="AN117" s="203"/>
      <c r="AO117" s="203"/>
      <c r="AP117" s="203"/>
      <c r="AQ117" s="203"/>
      <c r="AR117" s="203"/>
      <c r="AS117" s="203"/>
      <c r="AT117" s="203"/>
      <c r="AU117" s="203"/>
      <c r="AV117" s="203"/>
      <c r="AW117" s="203"/>
      <c r="AX117" s="203"/>
      <c r="AY117" s="203"/>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58">E$64*(1-E$73)*E68*(E81*E83+E97*E98)/1000</f>
        <v>0.63831372590005553</v>
      </c>
      <c r="F119" s="3">
        <f t="shared" ref="F119:H119" si="259">F$64*(1-F$73)*F68*(F81*F83+F97*F98)/1000</f>
        <v>0.88006760986958676</v>
      </c>
      <c r="G119" s="3">
        <f t="shared" si="259"/>
        <v>0.92484035372856965</v>
      </c>
      <c r="H119" s="3">
        <f t="shared" si="259"/>
        <v>0.87993485577627151</v>
      </c>
      <c r="I119" s="3">
        <f>I$64*(1-I$73)*I68*(I81*I83+I97*I98)/1000</f>
        <v>1.0149300794152767</v>
      </c>
      <c r="J119" s="3">
        <f>J$64*(1-J$73)*J68*(J81*J83+J97*J98)/1000</f>
        <v>1.1638010723712633</v>
      </c>
      <c r="K119" s="3">
        <f>K$64*(1-K$73)*K68*(K81*K83+K97*K98)/1000</f>
        <v>1.1638010723712633</v>
      </c>
      <c r="L119" s="3">
        <f>L$64*(1-L$73)*L68*(L81*L83+L97*L98)/1000</f>
        <v>1.1638010723712633</v>
      </c>
      <c r="M119" s="3">
        <f>M$64*(1-M$73)*M68*(M81*M83+M97*M98)/1000</f>
        <v>1.621710619222521</v>
      </c>
      <c r="N119" s="204"/>
      <c r="O119" s="3">
        <f t="shared" ref="O119:R119" si="260">O$64*(1-O$73)*O68*(O81*O83+O97*O98)/1000</f>
        <v>0.63831372590005553</v>
      </c>
      <c r="P119" s="3">
        <f t="shared" si="260"/>
        <v>0.88006760986958676</v>
      </c>
      <c r="Q119" s="3">
        <f t="shared" si="260"/>
        <v>0.92484035372856965</v>
      </c>
      <c r="R119" s="3">
        <f t="shared" si="260"/>
        <v>0.87993485577627151</v>
      </c>
      <c r="S119" s="249">
        <f>S$64*(1-S$73)*S68*(S81*S83+S97*S98)/1000</f>
        <v>1.0149300794152767</v>
      </c>
      <c r="T119" s="249">
        <f>T$64*(1-T$73)*T68*(T81*T83+T97*T98)/1000</f>
        <v>1.1638010723712633</v>
      </c>
      <c r="U119" s="249">
        <f>U$64*(1-U$73)*U68*(U81*U83+U97*U98)/1000</f>
        <v>1.339122375449062</v>
      </c>
      <c r="V119" s="249">
        <f>V$64*(1-V$73)*V68*(V81*V83+V97*V98)/1000</f>
        <v>1.4900657956517052</v>
      </c>
      <c r="W119" s="249">
        <f>W$64*(1-W$73)*W68*(W81*W83+W97*W98)/1000</f>
        <v>1.621710619222521</v>
      </c>
      <c r="X119" s="203"/>
      <c r="Y119" s="3">
        <f t="shared" ref="Y119:AB121" si="261">O119</f>
        <v>0.63831372590005553</v>
      </c>
      <c r="Z119" s="3">
        <f t="shared" si="261"/>
        <v>0.88006760986958676</v>
      </c>
      <c r="AA119" s="3">
        <f t="shared" si="261"/>
        <v>0.92484035372856965</v>
      </c>
      <c r="AB119" s="3">
        <f t="shared" si="261"/>
        <v>0.87993485577627151</v>
      </c>
      <c r="AC119" s="249">
        <f>AC$64*(1-AC$73)*AC68*(AC81*AC83+AC97*AC98)/1000</f>
        <v>0.89219434888133609</v>
      </c>
      <c r="AD119" s="249">
        <f>AD$64*(1-AD$73)*AD68*(AD81*AD83+AD97*AD98)/1000</f>
        <v>1.0230623380379942</v>
      </c>
      <c r="AE119" s="249">
        <f>AE$64*(1-AE$73)*AE68*(AE81*AE83+AE97*AE98)/1000</f>
        <v>1.1771819951621985</v>
      </c>
      <c r="AF119" s="249">
        <f>AF$64*(1-AF$73)*AF68*(AF81*AF83+AF97*AF98)/1000</f>
        <v>1.3098717924566152</v>
      </c>
      <c r="AG119" s="249">
        <f>AG$64*(1-AG$73)*AG68*(AG81*AG83+AG97*AG98)/1000</f>
        <v>1.425596776897937</v>
      </c>
      <c r="AH119" s="203"/>
      <c r="AI119" s="203"/>
      <c r="AJ119" s="203"/>
      <c r="AK119" s="203"/>
      <c r="AL119" s="203"/>
      <c r="AM119" s="203"/>
      <c r="AN119" s="203"/>
      <c r="AO119" s="203"/>
      <c r="AP119" s="203"/>
      <c r="AQ119" s="203"/>
      <c r="AR119" s="203"/>
      <c r="AS119" s="203"/>
      <c r="AT119" s="203"/>
      <c r="AU119" s="203"/>
      <c r="AV119" s="203"/>
      <c r="AW119" s="203"/>
      <c r="AX119" s="203"/>
      <c r="AY119" s="203"/>
    </row>
    <row r="120" spans="1:51">
      <c r="A120" t="s">
        <v>16</v>
      </c>
      <c r="C120" t="str">
        <f>C116</f>
        <v>Gautrain</v>
      </c>
      <c r="D120" t="s">
        <v>124</v>
      </c>
      <c r="E120" s="3">
        <f t="shared" ref="E120" si="262">E$64*(1-E$73)*E69*(E81*E84+E97*E99)/1000</f>
        <v>0.22250587395208909</v>
      </c>
      <c r="F120" s="3">
        <f t="shared" ref="F120:H120" si="263">F$64*(1-F$73)*F69*(F81*F84+F97*F99)/1000</f>
        <v>0.23468469596522318</v>
      </c>
      <c r="G120" s="3">
        <f t="shared" si="263"/>
        <v>0.24662409432761853</v>
      </c>
      <c r="H120" s="3">
        <f t="shared" si="263"/>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4"/>
      <c r="O120" s="3">
        <f t="shared" ref="O120:R120" si="264">O$64*(1-O$73)*O69*(O81*O84+O97*O99)/1000</f>
        <v>0.22250587395208909</v>
      </c>
      <c r="P120" s="3">
        <f t="shared" si="264"/>
        <v>0.23468469596522318</v>
      </c>
      <c r="Q120" s="3">
        <f t="shared" si="264"/>
        <v>0.24662409432761853</v>
      </c>
      <c r="R120" s="3">
        <f t="shared" si="264"/>
        <v>0.23464929487367245</v>
      </c>
      <c r="S120" s="249">
        <f>S$64*(1-S$73)*S69*(S81*S84+S97*S99)/1000</f>
        <v>0.27064802117740716</v>
      </c>
      <c r="T120" s="249">
        <f>T$64*(1-T$73)*T69*(T81*T84+T97*T99)/1000</f>
        <v>0.31034695263233691</v>
      </c>
      <c r="U120" s="249">
        <f>U$64*(1-U$73)*U69*(U81*U84+U97*U99)/1000</f>
        <v>0.35709930011974989</v>
      </c>
      <c r="V120" s="249">
        <f>V$64*(1-V$73)*V69*(V81*V84+V97*V99)/1000</f>
        <v>0.39735087884045472</v>
      </c>
      <c r="W120" s="249">
        <f>W$64*(1-W$73)*W69*(W81*W84+W97*W99)/1000</f>
        <v>0.43245616512600571</v>
      </c>
      <c r="X120" s="203"/>
      <c r="Y120" s="3">
        <f t="shared" si="261"/>
        <v>0.22250587395208909</v>
      </c>
      <c r="Z120" s="3">
        <f t="shared" si="261"/>
        <v>0.23468469596522318</v>
      </c>
      <c r="AA120" s="3">
        <f t="shared" si="261"/>
        <v>0.24662409432761853</v>
      </c>
      <c r="AB120" s="3">
        <f t="shared" si="261"/>
        <v>0.23464929487367245</v>
      </c>
      <c r="AC120" s="249">
        <f>AC$64*(1-AC$73)*AC69*(AC81*AC84+AC97*AC99)/1000</f>
        <v>0.71708633800755905</v>
      </c>
      <c r="AD120" s="249">
        <f>AD$64*(1-AD$73)*AD69*(AD81*AD84+AD97*AD99)/1000</f>
        <v>1.5184325323237842</v>
      </c>
      <c r="AE120" s="249">
        <f>AE$64*(1-AE$73)*AE69*(AE81*AE84+AE97*AE99)/1000</f>
        <v>2.5798257339178288</v>
      </c>
      <c r="AF120" s="249">
        <f>AF$64*(1-AF$73)*AF69*(AF81*AF84+AF97*AF99)/1000</f>
        <v>2.9617292787271112</v>
      </c>
      <c r="AG120" s="249">
        <f>AG$64*(1-AG$73)*AG69*(AG81*AG84+AG97*AG99)/1000</f>
        <v>3.6282721009151699</v>
      </c>
      <c r="AH120" s="203"/>
      <c r="AI120" s="203"/>
      <c r="AJ120" s="203"/>
      <c r="AK120" s="203"/>
      <c r="AL120" s="203"/>
      <c r="AM120" s="203"/>
      <c r="AN120" s="203"/>
      <c r="AO120" s="203"/>
      <c r="AP120" s="203"/>
      <c r="AQ120" s="203"/>
      <c r="AR120" s="203"/>
      <c r="AS120" s="203"/>
      <c r="AT120" s="203"/>
      <c r="AU120" s="203"/>
      <c r="AV120" s="203"/>
      <c r="AW120" s="203"/>
      <c r="AX120" s="203"/>
      <c r="AY120" s="203"/>
    </row>
    <row r="121" spans="1:51">
      <c r="A121" t="s">
        <v>16</v>
      </c>
      <c r="C121" t="str">
        <f>C117</f>
        <v>Bus, minibus, metro rail</v>
      </c>
      <c r="D121" t="s">
        <v>124</v>
      </c>
      <c r="E121" s="3">
        <f t="shared" ref="E121" si="265">E$64*(1-E$73)*E70*(E81*E85+E97*E100)/1000</f>
        <v>41.262738932037614</v>
      </c>
      <c r="F121" s="3">
        <f t="shared" ref="F121:H121" si="266">F$64*(1-F$73)*F70*(F81*F85+F97*F100)/1000</f>
        <v>38.137009704222031</v>
      </c>
      <c r="G121" s="3">
        <f t="shared" si="266"/>
        <v>40.077199921298309</v>
      </c>
      <c r="H121" s="3">
        <f t="shared" si="266"/>
        <v>38.131256914222426</v>
      </c>
      <c r="I121" s="3">
        <f>I$64*(1-I$73)*I70*(I81*I85+I97*I100)/1000</f>
        <v>43.981164462470069</v>
      </c>
      <c r="J121" s="3">
        <f>J$64*(1-J$73)*J70*(J81*J85+J97*J100)/1000</f>
        <v>50.432367119367022</v>
      </c>
      <c r="K121" s="3">
        <f>K$64*(1-K$73)*K70*(K81*K85+K97*K100)/1000</f>
        <v>50.432367119367022</v>
      </c>
      <c r="L121" s="3">
        <f>L$64*(1-L$73)*L70*(L81*L85+L97*L100)/1000</f>
        <v>50.432367119367022</v>
      </c>
      <c r="M121" s="3">
        <f>M$64*(1-M$73)*M70*(M81*M85+M97*M100)/1000</f>
        <v>70.27550261950222</v>
      </c>
      <c r="N121" s="204"/>
      <c r="O121" s="3">
        <f t="shared" ref="O121:R121" si="267">O$64*(1-O$73)*O70*(O81*O85+O97*O100)/1000</f>
        <v>36.272826317000501</v>
      </c>
      <c r="P121" s="3">
        <f t="shared" si="267"/>
        <v>38.137009704222031</v>
      </c>
      <c r="Q121" s="3">
        <f t="shared" si="267"/>
        <v>40.077199921298309</v>
      </c>
      <c r="R121" s="3">
        <f t="shared" si="267"/>
        <v>38.131256914222426</v>
      </c>
      <c r="S121" s="249">
        <f>S$64*(1-S$73)*S70*(S81*S85+S97*S100)/1000</f>
        <v>43.981164462470069</v>
      </c>
      <c r="T121" s="249">
        <f>T$64*(1-T$73)*T70*(T81*T85+T97*T100)/1000</f>
        <v>50.432367119367022</v>
      </c>
      <c r="U121" s="249">
        <f>U$64*(1-U$73)*U70*(U81*U85+U97*U100)/1000</f>
        <v>58.029772320798834</v>
      </c>
      <c r="V121" s="249">
        <f>V$64*(1-V$73)*V70*(V81*V85+V97*V100)/1000</f>
        <v>64.570781916538522</v>
      </c>
      <c r="W121" s="249">
        <f>W$64*(1-W$73)*W70*(W81*W85+W97*W100)/1000</f>
        <v>70.27550261950222</v>
      </c>
      <c r="X121" s="203"/>
      <c r="Y121" s="3">
        <f t="shared" si="261"/>
        <v>36.272826317000501</v>
      </c>
      <c r="Z121" s="3">
        <f t="shared" si="261"/>
        <v>38.137009704222031</v>
      </c>
      <c r="AA121" s="3">
        <f t="shared" si="261"/>
        <v>40.077199921298309</v>
      </c>
      <c r="AB121" s="3">
        <f t="shared" si="261"/>
        <v>38.131256914222426</v>
      </c>
      <c r="AC121" s="249">
        <f>AC$64*(1-AC$73)*AC70*(AC81*AC85+AC97*AC100)/1000</f>
        <v>45.850248850596692</v>
      </c>
      <c r="AD121" s="249">
        <f>AD$64*(1-AD$73)*AD70*(AD81*AD85+AD97*AD100)/1000</f>
        <v>53.644727592486696</v>
      </c>
      <c r="AE121" s="249">
        <f>AE$64*(1-AE$73)*AE70*(AE81*AE85+AE97*AE100)/1000</f>
        <v>61.30973604499016</v>
      </c>
      <c r="AF121" s="249">
        <f>AF$64*(1-AF$73)*AF70*(AF81*AF85+AF97*AF100)/1000</f>
        <v>68.174901983325455</v>
      </c>
      <c r="AG121" s="249">
        <f>AG$64*(1-AG$73)*AG70*(AG81*AG85+AG97*AG100)/1000</f>
        <v>75.777867057946438</v>
      </c>
      <c r="AH121" s="203"/>
      <c r="AI121" s="203"/>
      <c r="AJ121" s="203"/>
      <c r="AK121" s="203"/>
      <c r="AL121" s="203"/>
      <c r="AM121" s="203"/>
      <c r="AN121" s="203"/>
      <c r="AO121" s="203"/>
      <c r="AP121" s="203"/>
      <c r="AQ121" s="203"/>
      <c r="AR121" s="203"/>
      <c r="AS121" s="203"/>
      <c r="AT121" s="203"/>
      <c r="AU121" s="203"/>
      <c r="AV121" s="203"/>
      <c r="AW121" s="203"/>
      <c r="AX121" s="203"/>
      <c r="AY121" s="203"/>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68">E$64*(1-E$73)*E68*(E86*E88+E101*E102)/1000</f>
        <v>0.56495760904595693</v>
      </c>
      <c r="F123" s="3">
        <f t="shared" ref="F123:H123" si="269">F$64*(1-F$73)*F68*(F86*F88+F101*F102)/1000</f>
        <v>0.67247691119602993</v>
      </c>
      <c r="G123" s="3">
        <f t="shared" si="269"/>
        <v>0.56792803939135406</v>
      </c>
      <c r="H123" s="3">
        <f t="shared" si="269"/>
        <v>0.64956447370940695</v>
      </c>
      <c r="I123" s="3">
        <f>I$64*(1-I$73)*I68*(I86*I88+I101*I102)/1000</f>
        <v>0.79171972820779135</v>
      </c>
      <c r="J123" s="3">
        <f>J$64*(1-J$73)*J68*(J86*J88+J101*J102)/1000</f>
        <v>1.0133238114748444</v>
      </c>
      <c r="K123" s="3">
        <f>K$64*(1-K$73)*K68*(K86*K88+K101*K102)/1000</f>
        <v>1.0133238114748444</v>
      </c>
      <c r="L123" s="3">
        <f>L$64*(1-L$73)*L68*(L86*L88+L101*L102)/1000</f>
        <v>1.0133238114748444</v>
      </c>
      <c r="M123" s="3">
        <f>M$64*(1-M$73)*M68*(M86*M88+M101*M102)/1000</f>
        <v>1.5126443452657552</v>
      </c>
      <c r="N123" s="204"/>
      <c r="O123" s="3">
        <f t="shared" ref="O123:R123" si="270">O$64*(1-O$73)*O68*(O86*O88+O101*O102)/1000</f>
        <v>0.56495760904595693</v>
      </c>
      <c r="P123" s="3">
        <f t="shared" si="270"/>
        <v>0.67247691119602993</v>
      </c>
      <c r="Q123" s="3">
        <f t="shared" si="270"/>
        <v>0.56792803939135406</v>
      </c>
      <c r="R123" s="3">
        <f t="shared" si="270"/>
        <v>0.64956447370940695</v>
      </c>
      <c r="S123" s="249">
        <f>S$64*(1-S$73)*S68*(S86*S88+S101*S102)/1000</f>
        <v>0.79171972820779135</v>
      </c>
      <c r="T123" s="249">
        <f>T$64*(1-T$73)*T68*(T86*T88+T101*T102)/1000</f>
        <v>1.0133238114748444</v>
      </c>
      <c r="U123" s="249">
        <f>U$64*(1-U$73)*U68*(U86*U88+U101*U102)/1000</f>
        <v>1.1996327279960846</v>
      </c>
      <c r="V123" s="249">
        <f>V$64*(1-V$73)*V68*(V86*V88+V101*V102)/1000</f>
        <v>1.365747794872346</v>
      </c>
      <c r="W123" s="249">
        <f>W$64*(1-W$73)*W68*(W86*W88+W101*W102)/1000</f>
        <v>1.5126443452657552</v>
      </c>
      <c r="X123" s="203"/>
      <c r="Y123" s="3">
        <f t="shared" ref="Y123:AB125" si="271">O123</f>
        <v>0.56495760904595693</v>
      </c>
      <c r="Z123" s="3">
        <f t="shared" si="271"/>
        <v>0.67247691119602993</v>
      </c>
      <c r="AA123" s="3">
        <f t="shared" si="271"/>
        <v>0.56792803939135406</v>
      </c>
      <c r="AB123" s="3">
        <f t="shared" si="271"/>
        <v>0.64956447370940695</v>
      </c>
      <c r="AC123" s="249">
        <f>AC$64*(1-AC$73)*AC68*(AC86*AC88+AC101*AC102)/1000</f>
        <v>0.69597687735475611</v>
      </c>
      <c r="AD123" s="249">
        <f>AD$64*(1-AD$73)*AD68*(AD86*AD88+AD101*AD102)/1000</f>
        <v>0.89078232729649076</v>
      </c>
      <c r="AE123" s="249">
        <f>AE$64*(1-AE$73)*AE68*(AE86*AE88+AE101*AE102)/1000</f>
        <v>1.0545608632151624</v>
      </c>
      <c r="AF123" s="249">
        <f>AF$64*(1-AF$73)*AF68*(AF86*AF88+AF101*AF102)/1000</f>
        <v>1.2005875964226669</v>
      </c>
      <c r="AG123" s="249">
        <f>AG$64*(1-AG$73)*AG68*(AG86*AG88+AG101*AG102)/1000</f>
        <v>1.3297199128150126</v>
      </c>
      <c r="AH123" s="203"/>
      <c r="AI123" s="203"/>
      <c r="AJ123" s="203"/>
      <c r="AK123" s="203"/>
      <c r="AL123" s="203"/>
      <c r="AM123" s="203"/>
      <c r="AN123" s="203"/>
      <c r="AO123" s="203"/>
      <c r="AP123" s="203"/>
      <c r="AQ123" s="203"/>
      <c r="AR123" s="203"/>
      <c r="AS123" s="203"/>
      <c r="AT123" s="203"/>
      <c r="AU123" s="203"/>
      <c r="AV123" s="203"/>
      <c r="AW123" s="203"/>
      <c r="AX123" s="203"/>
      <c r="AY123" s="203"/>
    </row>
    <row r="124" spans="1:51">
      <c r="A124" t="s">
        <v>16</v>
      </c>
      <c r="C124" t="str">
        <f>C120</f>
        <v>Gautrain</v>
      </c>
      <c r="D124" t="s">
        <v>124</v>
      </c>
      <c r="E124" s="3">
        <f t="shared" ref="E124" si="272">E$64*(1-E$73)*E69*(E86*E89+E101*E103)/1000</f>
        <v>0.42603549444003685</v>
      </c>
      <c r="F124" s="3">
        <f t="shared" ref="F124:H124" si="273">F$64*(1-F$73)*F69*(F86*F89+F101*F103)/1000</f>
        <v>0.44831794079735332</v>
      </c>
      <c r="G124" s="3">
        <f t="shared" si="273"/>
        <v>0.37861869292756944</v>
      </c>
      <c r="H124" s="3">
        <f t="shared" si="273"/>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4"/>
      <c r="O124" s="3">
        <f t="shared" ref="O124:R124" si="274">O$64*(1-O$73)*O69*(O86*O89+O101*O103)/1000</f>
        <v>0.42603549444003685</v>
      </c>
      <c r="P124" s="3">
        <f t="shared" si="274"/>
        <v>0.44831794079735332</v>
      </c>
      <c r="Q124" s="3">
        <f t="shared" si="274"/>
        <v>0.37861869292756944</v>
      </c>
      <c r="R124" s="3">
        <f t="shared" si="274"/>
        <v>0.43304298247293793</v>
      </c>
      <c r="S124" s="249">
        <f>S$64*(1-S$73)*S69*(S86*S89+S101*S103)/1000</f>
        <v>0.52781315213852753</v>
      </c>
      <c r="T124" s="249">
        <f>T$64*(1-T$73)*T69*(T86*T89+T101*T103)/1000</f>
        <v>0.67554920764989612</v>
      </c>
      <c r="U124" s="249">
        <f>U$64*(1-U$73)*U69*(U86*U89+U101*U103)/1000</f>
        <v>0.79975515199738978</v>
      </c>
      <c r="V124" s="249">
        <f>V$64*(1-V$73)*V69*(V86*V89+V101*V103)/1000</f>
        <v>0.91049852991489744</v>
      </c>
      <c r="W124" s="249">
        <f>W$64*(1-W$73)*W69*(W86*W89+W101*W103)/1000</f>
        <v>1.0084295635105036</v>
      </c>
      <c r="X124" s="203"/>
      <c r="Y124" s="3">
        <f t="shared" si="271"/>
        <v>0.42603549444003685</v>
      </c>
      <c r="Z124" s="3">
        <f t="shared" si="271"/>
        <v>0.44831794079735332</v>
      </c>
      <c r="AA124" s="3">
        <f t="shared" si="271"/>
        <v>0.37861869292756944</v>
      </c>
      <c r="AB124" s="3">
        <f t="shared" si="271"/>
        <v>0.43304298247293793</v>
      </c>
      <c r="AC124" s="249">
        <f>AC$64*(1-AC$73)*AC69*(AC86*AC89+AC101*AC103)/1000</f>
        <v>0.76486354006417734</v>
      </c>
      <c r="AD124" s="249">
        <f>AD$64*(1-AD$73)*AD69*(AD86*AD89+AD101*AD103)/1000</f>
        <v>0.99543103385398191</v>
      </c>
      <c r="AE124" s="249">
        <f>AE$64*(1-AE$73)*AE69*(AE86*AE89+AE101*AE103)/1000</f>
        <v>1.7297368055048479</v>
      </c>
      <c r="AF124" s="249">
        <f>AF$64*(1-AF$73)*AF69*(AF86*AF89+AF101*AF103)/1000</f>
        <v>2.6616682249360464</v>
      </c>
      <c r="AG124" s="249">
        <f>AG$64*(1-AG$73)*AG69*(AG86*AG89+AG101*AG103)/1000</f>
        <v>3.0351800242630005</v>
      </c>
      <c r="AH124" s="203"/>
      <c r="AI124" s="203"/>
      <c r="AJ124" s="203"/>
      <c r="AK124" s="203"/>
      <c r="AL124" s="203"/>
      <c r="AM124" s="203"/>
      <c r="AN124" s="203"/>
      <c r="AO124" s="203"/>
      <c r="AP124" s="203"/>
      <c r="AQ124" s="203"/>
      <c r="AR124" s="203"/>
      <c r="AS124" s="203"/>
      <c r="AT124" s="203"/>
      <c r="AU124" s="203"/>
      <c r="AV124" s="203"/>
      <c r="AW124" s="203"/>
      <c r="AX124" s="203"/>
      <c r="AY124" s="203"/>
    </row>
    <row r="125" spans="1:51">
      <c r="A125" t="s">
        <v>16</v>
      </c>
      <c r="C125" t="str">
        <f>C121</f>
        <v>Bus, minibus, metro rail</v>
      </c>
      <c r="D125" t="s">
        <v>124</v>
      </c>
      <c r="E125" s="3">
        <f t="shared" ref="E125" si="275">E$64*(1-E$73)*E70*(E86*E90+E101*E104)/1000</f>
        <v>19.89548022216918</v>
      </c>
      <c r="F125" s="3">
        <f t="shared" ref="F125:H125" si="276">F$64*(1-F$73)*F70*(F86*F90+F101*F104)/1000</f>
        <v>18.358554630460585</v>
      </c>
      <c r="G125" s="3">
        <f t="shared" si="276"/>
        <v>15.664466943331325</v>
      </c>
      <c r="H125" s="3">
        <f t="shared" si="276"/>
        <v>17.729755428025594</v>
      </c>
      <c r="I125" s="3">
        <f>I$64*(1-I$73)*I70*(I86*I90+I101*I104)/1000</f>
        <v>20.974259076634574</v>
      </c>
      <c r="J125" s="3">
        <f>J$64*(1-J$73)*J70*(J86*J90+J101*J104)/1000</f>
        <v>23.917163281480736</v>
      </c>
      <c r="K125" s="3">
        <f>K$64*(1-K$73)*K70*(K86*K90+K101*K104)/1000</f>
        <v>23.917163281480736</v>
      </c>
      <c r="L125" s="3">
        <f>L$64*(1-L$73)*L70*(L86*L90+L101*L104)/1000</f>
        <v>23.917163281480736</v>
      </c>
      <c r="M125" s="3">
        <f>M$64*(1-M$73)*M70*(M86*M90+M101*M104)/1000</f>
        <v>27.700892525678654</v>
      </c>
      <c r="N125" s="204"/>
      <c r="O125" s="3">
        <f t="shared" ref="O125:R125" si="277">O$64*(1-O$73)*O70*(O86*O90+O101*O104)/1000</f>
        <v>17.489515172046392</v>
      </c>
      <c r="P125" s="3">
        <f t="shared" si="277"/>
        <v>18.358554630460585</v>
      </c>
      <c r="Q125" s="3">
        <f t="shared" si="277"/>
        <v>15.664466943331325</v>
      </c>
      <c r="R125" s="3">
        <f t="shared" si="277"/>
        <v>17.729755428025594</v>
      </c>
      <c r="S125" s="249">
        <f>S$64*(1-S$73)*S70*(S86*S90+S101*S104)/1000</f>
        <v>20.974259076634574</v>
      </c>
      <c r="T125" s="249">
        <f>T$64*(1-T$73)*T70*(T86*T90+T101*T104)/1000</f>
        <v>23.917163281480736</v>
      </c>
      <c r="U125" s="249">
        <f>U$64*(1-U$73)*U70*(U86*U90+U101*U104)/1000</f>
        <v>22.093261166731264</v>
      </c>
      <c r="V125" s="249">
        <f>V$64*(1-V$73)*V70*(V86*V90+V101*V104)/1000</f>
        <v>25.152550456343118</v>
      </c>
      <c r="W125" s="249">
        <f>W$64*(1-W$73)*W70*(W86*W90+W101*W104)/1000</f>
        <v>27.700892525678654</v>
      </c>
      <c r="X125" s="203"/>
      <c r="Y125" s="3">
        <f t="shared" si="271"/>
        <v>17.489515172046392</v>
      </c>
      <c r="Z125" s="3">
        <f t="shared" si="271"/>
        <v>18.358554630460585</v>
      </c>
      <c r="AA125" s="3">
        <f t="shared" si="271"/>
        <v>15.664466943331325</v>
      </c>
      <c r="AB125" s="3">
        <f t="shared" si="271"/>
        <v>17.729755428025594</v>
      </c>
      <c r="AC125" s="249">
        <f>AC$64*(1-AC$73)*AC70*(AC86*AC90+AC101*AC104)/1000</f>
        <v>22.632457250500178</v>
      </c>
      <c r="AD125" s="249">
        <f>AD$64*(1-AD$73)*AD70*(AD86*AD90+AD101*AD104)/1000</f>
        <v>27.827793968190029</v>
      </c>
      <c r="AE125" s="249">
        <f>AE$64*(1-AE$73)*AE70*(AE86*AE90+AE101*AE104)/1000</f>
        <v>27.186992539735062</v>
      </c>
      <c r="AF125" s="249">
        <f>AF$64*(1-AF$73)*AF70*(AF86*AF90+AF101*AF104)/1000</f>
        <v>30.605412982312</v>
      </c>
      <c r="AG125" s="249">
        <f>AG$64*(1-AG$73)*AG70*(AG86*AG90+AG101*AG104)/1000</f>
        <v>36.308906454085573</v>
      </c>
      <c r="AH125" s="203"/>
      <c r="AI125" s="203"/>
      <c r="AJ125" s="203"/>
      <c r="AK125" s="203"/>
      <c r="AL125" s="203"/>
      <c r="AM125" s="203"/>
      <c r="AN125" s="203"/>
      <c r="AO125" s="203"/>
      <c r="AP125" s="203"/>
      <c r="AQ125" s="203"/>
      <c r="AR125" s="203"/>
      <c r="AS125" s="203"/>
      <c r="AT125" s="203"/>
      <c r="AU125" s="203"/>
      <c r="AV125" s="203"/>
      <c r="AW125" s="203"/>
      <c r="AX125" s="203"/>
      <c r="AY125" s="203"/>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78">E115+E119+E123</f>
        <v>1.8199995725306071</v>
      </c>
      <c r="F127" s="3">
        <f t="shared" ref="F127:H127" si="279">F115+F119+F123</f>
        <v>2.7827386966557452</v>
      </c>
      <c r="G127" s="3">
        <f t="shared" si="279"/>
        <v>2.7728192749407472</v>
      </c>
      <c r="H127" s="3">
        <f t="shared" si="279"/>
        <v>2.8312206322409188</v>
      </c>
      <c r="I127" s="3">
        <f t="shared" ref="I127:M129" si="280">I115+I119+I123</f>
        <v>3.0837140091185553</v>
      </c>
      <c r="J127" s="3">
        <f t="shared" si="280"/>
        <v>3.3270719583361981</v>
      </c>
      <c r="K127" s="3">
        <f t="shared" ref="K127:L127" si="281">K115+K119+K123</f>
        <v>3.3270719583361981</v>
      </c>
      <c r="L127" s="3">
        <f t="shared" si="281"/>
        <v>3.3270719583361981</v>
      </c>
      <c r="M127" s="3">
        <f t="shared" si="280"/>
        <v>3.6584895419821946</v>
      </c>
      <c r="N127" s="204"/>
      <c r="O127" s="3">
        <f t="shared" ref="O127:R129" si="282">O115+O119+O123</f>
        <v>1.8199995725306071</v>
      </c>
      <c r="P127" s="3">
        <f t="shared" si="282"/>
        <v>2.7827386966557452</v>
      </c>
      <c r="Q127" s="3">
        <f t="shared" si="282"/>
        <v>2.7728192749407472</v>
      </c>
      <c r="R127" s="3">
        <f t="shared" si="282"/>
        <v>2.8312206322409188</v>
      </c>
      <c r="S127" s="249">
        <f t="shared" ref="S127:W129" si="283">S115+S119+S123</f>
        <v>3.0837140091185553</v>
      </c>
      <c r="T127" s="249">
        <f t="shared" si="283"/>
        <v>3.3270719583361981</v>
      </c>
      <c r="U127" s="249">
        <f t="shared" ref="U127:V127" si="284">U115+U119+U123</f>
        <v>3.5116050165620885</v>
      </c>
      <c r="V127" s="249">
        <f t="shared" si="284"/>
        <v>3.6159272158105646</v>
      </c>
      <c r="W127" s="249">
        <f t="shared" si="283"/>
        <v>3.6584895419821946</v>
      </c>
      <c r="X127" s="203"/>
      <c r="Y127" s="3">
        <f t="shared" ref="Y127:AB128" si="285">O127</f>
        <v>1.8199995725306071</v>
      </c>
      <c r="Z127" s="3">
        <f t="shared" si="285"/>
        <v>2.7827386966557452</v>
      </c>
      <c r="AA127" s="3">
        <f t="shared" si="285"/>
        <v>2.7728192749407472</v>
      </c>
      <c r="AB127" s="3">
        <f t="shared" si="285"/>
        <v>2.8312206322409188</v>
      </c>
      <c r="AC127" s="249">
        <f t="shared" ref="AC127:AG129" si="286">AC115+AC119+AC123</f>
        <v>2.7107997568530555</v>
      </c>
      <c r="AD127" s="249">
        <f t="shared" si="286"/>
        <v>2.9247283726769364</v>
      </c>
      <c r="AE127" s="249">
        <f t="shared" ref="AE127:AF127" si="287">AE115+AE119+AE123</f>
        <v>3.0869458052569052</v>
      </c>
      <c r="AF127" s="249">
        <f t="shared" si="287"/>
        <v>3.1786522966892869</v>
      </c>
      <c r="AG127" s="249">
        <f t="shared" si="286"/>
        <v>3.2160675508587655</v>
      </c>
      <c r="AH127" s="203"/>
      <c r="AI127" s="203"/>
      <c r="AJ127" s="203"/>
      <c r="AK127" s="203"/>
      <c r="AL127" s="203"/>
      <c r="AM127" s="203"/>
      <c r="AN127" s="203"/>
      <c r="AO127" s="203"/>
      <c r="AP127" s="203"/>
      <c r="AQ127" s="203"/>
      <c r="AR127" s="203"/>
      <c r="AS127" s="203"/>
      <c r="AT127" s="203"/>
      <c r="AU127" s="203"/>
      <c r="AV127" s="203"/>
      <c r="AW127" s="203"/>
      <c r="AX127" s="203"/>
      <c r="AY127" s="203"/>
    </row>
    <row r="128" spans="1:51">
      <c r="A128" t="s">
        <v>16</v>
      </c>
      <c r="C128" t="str">
        <f>C124</f>
        <v>Gautrain</v>
      </c>
      <c r="D128" t="s">
        <v>124</v>
      </c>
      <c r="E128" s="3">
        <f t="shared" si="278"/>
        <v>0.64854136839212595</v>
      </c>
      <c r="F128" s="3">
        <f t="shared" ref="F128:H128" si="288">F116+F120+F124</f>
        <v>0.6995709084876961</v>
      </c>
      <c r="G128" s="3">
        <f t="shared" si="288"/>
        <v>0.64248252977129328</v>
      </c>
      <c r="H128" s="3">
        <f t="shared" si="288"/>
        <v>0.68522387738371804</v>
      </c>
      <c r="I128" s="3">
        <f t="shared" si="280"/>
        <v>0.81566069118119378</v>
      </c>
      <c r="J128" s="3">
        <f t="shared" si="280"/>
        <v>1.0013836629689683</v>
      </c>
      <c r="K128" s="3">
        <f t="shared" ref="K128:L128" si="289">K116+K120+K124</f>
        <v>1.0013836629689683</v>
      </c>
      <c r="L128" s="3">
        <f t="shared" si="289"/>
        <v>1.0013836629689683</v>
      </c>
      <c r="M128" s="3">
        <f t="shared" si="280"/>
        <v>1.447944780185249</v>
      </c>
      <c r="N128" s="204"/>
      <c r="O128" s="3">
        <f t="shared" si="282"/>
        <v>0.64854136839212595</v>
      </c>
      <c r="P128" s="3">
        <f t="shared" si="282"/>
        <v>0.6995709084876961</v>
      </c>
      <c r="Q128" s="3">
        <f t="shared" si="282"/>
        <v>0.64248252977129328</v>
      </c>
      <c r="R128" s="3">
        <f t="shared" si="282"/>
        <v>0.68522387738371804</v>
      </c>
      <c r="S128" s="249">
        <f t="shared" si="283"/>
        <v>0.81566069118119378</v>
      </c>
      <c r="T128" s="249">
        <f t="shared" si="283"/>
        <v>1.0013836629689683</v>
      </c>
      <c r="U128" s="249">
        <f t="shared" ref="U128:V128" si="290">U116+U120+U124</f>
        <v>1.1699568078493543</v>
      </c>
      <c r="V128" s="249">
        <f t="shared" si="290"/>
        <v>1.3180866292979314</v>
      </c>
      <c r="W128" s="249">
        <f t="shared" si="283"/>
        <v>1.447944780185249</v>
      </c>
      <c r="X128" s="203"/>
      <c r="Y128" s="3">
        <f t="shared" si="285"/>
        <v>0.64854136839212595</v>
      </c>
      <c r="Z128" s="3">
        <f t="shared" si="285"/>
        <v>0.6995709084876961</v>
      </c>
      <c r="AA128" s="3">
        <f t="shared" si="285"/>
        <v>0.64248252977129328</v>
      </c>
      <c r="AB128" s="3">
        <f t="shared" si="285"/>
        <v>0.68522387738371804</v>
      </c>
      <c r="AC128" s="249">
        <f t="shared" si="286"/>
        <v>1.4819498780717364</v>
      </c>
      <c r="AD128" s="249">
        <f t="shared" si="286"/>
        <v>2.5138635661777662</v>
      </c>
      <c r="AE128" s="249">
        <f t="shared" ref="AE128:AF128" si="291">AE116+AE120+AE124</f>
        <v>4.3095625394226769</v>
      </c>
      <c r="AF128" s="249">
        <f t="shared" si="291"/>
        <v>5.623397503663158</v>
      </c>
      <c r="AG128" s="249">
        <f t="shared" si="286"/>
        <v>6.6634521251781704</v>
      </c>
      <c r="AH128" s="203"/>
      <c r="AI128" s="203"/>
      <c r="AJ128" s="203"/>
      <c r="AK128" s="203"/>
      <c r="AL128" s="203"/>
      <c r="AM128" s="203"/>
      <c r="AN128" s="203"/>
      <c r="AO128" s="203"/>
      <c r="AP128" s="203"/>
      <c r="AQ128" s="203"/>
      <c r="AR128" s="203"/>
      <c r="AS128" s="203"/>
      <c r="AT128" s="203"/>
      <c r="AU128" s="203"/>
      <c r="AV128" s="203"/>
      <c r="AW128" s="203"/>
      <c r="AX128" s="203"/>
      <c r="AY128" s="203"/>
    </row>
    <row r="129" spans="1:51">
      <c r="A129" t="s">
        <v>16</v>
      </c>
      <c r="C129" t="str">
        <f>C125</f>
        <v>Bus, minibus, metro rail</v>
      </c>
      <c r="D129" t="s">
        <v>124</v>
      </c>
      <c r="E129" s="3">
        <f t="shared" si="278"/>
        <v>142.59296423330505</v>
      </c>
      <c r="F129" s="3">
        <f t="shared" ref="F129:H129" si="292">F117+F121+F125</f>
        <v>128.25012085990809</v>
      </c>
      <c r="G129" s="3">
        <f t="shared" si="292"/>
        <v>130.4042568665019</v>
      </c>
      <c r="H129" s="3">
        <f t="shared" si="292"/>
        <v>131.78759096861373</v>
      </c>
      <c r="I129" s="3">
        <f t="shared" si="280"/>
        <v>139.44380695921973</v>
      </c>
      <c r="J129" s="3">
        <f t="shared" si="280"/>
        <v>141.42344766918035</v>
      </c>
      <c r="K129" s="3">
        <f t="shared" ref="K129:L129" si="293">K117+K121+K125</f>
        <v>141.42344766918035</v>
      </c>
      <c r="L129" s="3">
        <f t="shared" si="293"/>
        <v>141.42344766918035</v>
      </c>
      <c r="M129" s="3">
        <f t="shared" si="280"/>
        <v>128.54802758651584</v>
      </c>
      <c r="N129" s="204"/>
      <c r="O129" s="3">
        <f t="shared" si="282"/>
        <v>125.34916390741699</v>
      </c>
      <c r="P129" s="3">
        <f t="shared" si="282"/>
        <v>128.25012085990809</v>
      </c>
      <c r="Q129" s="3">
        <f t="shared" si="282"/>
        <v>130.4042568665019</v>
      </c>
      <c r="R129" s="3">
        <f t="shared" si="282"/>
        <v>131.78759096861373</v>
      </c>
      <c r="S129" s="249">
        <f t="shared" si="283"/>
        <v>139.44380695921973</v>
      </c>
      <c r="T129" s="249">
        <f t="shared" si="283"/>
        <v>141.42344766918035</v>
      </c>
      <c r="U129" s="249">
        <f t="shared" ref="U129:V129" si="294">U117+U121+U125</f>
        <v>136.86725766484253</v>
      </c>
      <c r="V129" s="249">
        <f t="shared" si="294"/>
        <v>134.05911055607081</v>
      </c>
      <c r="W129" s="249">
        <f t="shared" si="283"/>
        <v>128.54802758651584</v>
      </c>
      <c r="X129" s="203"/>
      <c r="Y129" s="3">
        <f t="shared" ref="Y129:AB129" si="295">Y117+Y121+Y125</f>
        <v>125.34916390741699</v>
      </c>
      <c r="Z129" s="3">
        <f t="shared" si="295"/>
        <v>128.25012085990809</v>
      </c>
      <c r="AA129" s="3">
        <f t="shared" si="295"/>
        <v>130.4042568665019</v>
      </c>
      <c r="AB129" s="3">
        <f t="shared" si="295"/>
        <v>131.78759096861373</v>
      </c>
      <c r="AC129" s="249">
        <f t="shared" si="286"/>
        <v>143.01311737484596</v>
      </c>
      <c r="AD129" s="249">
        <f t="shared" si="286"/>
        <v>148.59864792695373</v>
      </c>
      <c r="AE129" s="249">
        <f t="shared" ref="AE129:AF129" si="296">AE117+AE121+AE125</f>
        <v>145.29666621279969</v>
      </c>
      <c r="AF129" s="249">
        <f t="shared" si="296"/>
        <v>143.15962355620496</v>
      </c>
      <c r="AG129" s="249">
        <f t="shared" si="286"/>
        <v>142.69994460349659</v>
      </c>
      <c r="AH129" s="203"/>
      <c r="AI129" s="203"/>
      <c r="AJ129" s="203"/>
      <c r="AK129" s="203"/>
      <c r="AL129" s="203"/>
      <c r="AM129" s="203"/>
      <c r="AN129" s="203"/>
      <c r="AO129" s="203"/>
      <c r="AP129" s="203"/>
      <c r="AQ129" s="203"/>
      <c r="AR129" s="203"/>
      <c r="AS129" s="203"/>
      <c r="AT129" s="203"/>
      <c r="AU129" s="203"/>
      <c r="AV129" s="203"/>
      <c r="AW129" s="203"/>
      <c r="AX129" s="203"/>
      <c r="AY129" s="203"/>
    </row>
    <row r="130" spans="1:51">
      <c r="A130" t="s">
        <v>16</v>
      </c>
      <c r="J130"/>
      <c r="N130" s="31"/>
    </row>
    <row r="131" spans="1:51" ht="15.75" thickBot="1">
      <c r="A131" t="s">
        <v>16</v>
      </c>
      <c r="C131" s="13" t="s">
        <v>163</v>
      </c>
      <c r="E131" s="243">
        <f t="shared" ref="E131:M131" si="297">E$12</f>
        <v>2017</v>
      </c>
      <c r="F131" s="243">
        <f t="shared" si="297"/>
        <v>2019</v>
      </c>
      <c r="G131" s="243">
        <f t="shared" si="297"/>
        <v>2020</v>
      </c>
      <c r="H131" s="243">
        <f t="shared" si="297"/>
        <v>2021</v>
      </c>
      <c r="I131" s="243">
        <f t="shared" si="297"/>
        <v>2030</v>
      </c>
      <c r="J131" s="243">
        <f t="shared" si="297"/>
        <v>2040</v>
      </c>
      <c r="K131" s="243">
        <f t="shared" si="297"/>
        <v>2050</v>
      </c>
      <c r="L131" s="243">
        <f t="shared" si="297"/>
        <v>2060</v>
      </c>
      <c r="M131" s="243">
        <f t="shared" si="297"/>
        <v>2070</v>
      </c>
      <c r="N131" s="31"/>
      <c r="O131" s="243">
        <f t="shared" ref="O131:W131" si="298">O$12</f>
        <v>2017</v>
      </c>
      <c r="P131" s="243">
        <f t="shared" si="298"/>
        <v>2019</v>
      </c>
      <c r="Q131" s="243">
        <f t="shared" si="298"/>
        <v>2020</v>
      </c>
      <c r="R131" s="243">
        <f t="shared" si="298"/>
        <v>2021</v>
      </c>
      <c r="S131" s="243">
        <f t="shared" si="298"/>
        <v>2030</v>
      </c>
      <c r="T131" s="243">
        <f t="shared" si="298"/>
        <v>2040</v>
      </c>
      <c r="U131" s="243">
        <f t="shared" si="298"/>
        <v>2050</v>
      </c>
      <c r="V131" s="243">
        <f t="shared" si="298"/>
        <v>2060</v>
      </c>
      <c r="W131" s="243">
        <f t="shared" si="298"/>
        <v>2070</v>
      </c>
      <c r="Y131" s="368" t="s">
        <v>191</v>
      </c>
    </row>
    <row r="132" spans="1:51">
      <c r="A132" t="s">
        <v>16</v>
      </c>
      <c r="C132" s="18" t="s">
        <v>88</v>
      </c>
      <c r="E132" s="196">
        <f t="shared" ref="E132" si="299">1-E133-E134</f>
        <v>0.79999999999999993</v>
      </c>
      <c r="F132" s="3">
        <f t="shared" ref="F132:J134" si="300">IF($D$4,Z132,P132)</f>
        <v>0.79999999999999993</v>
      </c>
      <c r="G132" s="3">
        <f t="shared" si="300"/>
        <v>0.79999999999999993</v>
      </c>
      <c r="H132" s="3">
        <f t="shared" si="300"/>
        <v>0.79999999999999993</v>
      </c>
      <c r="I132" s="3">
        <f t="shared" si="300"/>
        <v>0.79999999999999993</v>
      </c>
      <c r="J132" s="3">
        <f t="shared" si="300"/>
        <v>0.79999999999999993</v>
      </c>
      <c r="K132" s="3">
        <f>IF($D$4,AD132,T132)</f>
        <v>0.79999999999999993</v>
      </c>
      <c r="L132" s="3">
        <f>IF($D$4,AD132,T132)</f>
        <v>0.79999999999999993</v>
      </c>
      <c r="M132" s="3">
        <f>IF($D$4,AG132,W132)</f>
        <v>0.79999999999999993</v>
      </c>
      <c r="N132" s="31"/>
      <c r="O132" s="196">
        <f t="shared" ref="O132" si="301">1-O133-O134</f>
        <v>0.79999999999999993</v>
      </c>
      <c r="P132" s="196">
        <f t="shared" ref="P132:W132" si="302">1-P133-P134</f>
        <v>0.79999999999999993</v>
      </c>
      <c r="Q132" s="196">
        <f t="shared" si="302"/>
        <v>0.79999999999999993</v>
      </c>
      <c r="R132" s="196">
        <f t="shared" si="302"/>
        <v>0.79999999999999993</v>
      </c>
      <c r="S132" s="52">
        <f t="shared" si="302"/>
        <v>0.79999999999999993</v>
      </c>
      <c r="T132" s="52">
        <f t="shared" si="302"/>
        <v>0.79999999999999993</v>
      </c>
      <c r="U132" s="52">
        <f t="shared" ref="U132:V132" si="303">1-U133-U134</f>
        <v>0.79999999999999993</v>
      </c>
      <c r="V132" s="52">
        <f t="shared" si="303"/>
        <v>0.79999999999999993</v>
      </c>
      <c r="W132" s="52">
        <f t="shared" si="302"/>
        <v>0.79999999999999993</v>
      </c>
      <c r="Y132" s="196">
        <f t="shared" ref="Y132:AB134" si="304">O132</f>
        <v>0.79999999999999993</v>
      </c>
      <c r="Z132" s="196">
        <f t="shared" si="304"/>
        <v>0.79999999999999993</v>
      </c>
      <c r="AA132" s="196">
        <f t="shared" si="304"/>
        <v>0.79999999999999993</v>
      </c>
      <c r="AB132" s="196">
        <f t="shared" si="304"/>
        <v>0.79999999999999993</v>
      </c>
      <c r="AC132" s="52">
        <f>1-AC133-AC134</f>
        <v>0.79999999999999993</v>
      </c>
      <c r="AD132" s="52">
        <f>1-AD133-AD134</f>
        <v>0.79999999999999993</v>
      </c>
      <c r="AE132" s="52">
        <f>1-AE133-AE134</f>
        <v>0.79999999999999993</v>
      </c>
      <c r="AF132" s="52">
        <f>1-AF133-AF134</f>
        <v>0.79999999999999993</v>
      </c>
      <c r="AG132" s="52">
        <f>1-AG133-AG134</f>
        <v>0.79999999999999993</v>
      </c>
    </row>
    <row r="133" spans="1:51">
      <c r="A133" t="s">
        <v>16</v>
      </c>
      <c r="C133" s="18" t="s">
        <v>87</v>
      </c>
      <c r="E133" s="330">
        <v>0.17</v>
      </c>
      <c r="F133" s="3">
        <f t="shared" si="300"/>
        <v>0.17</v>
      </c>
      <c r="G133" s="3">
        <f t="shared" si="300"/>
        <v>0.17</v>
      </c>
      <c r="H133" s="3">
        <f t="shared" si="300"/>
        <v>0.17</v>
      </c>
      <c r="I133" s="3">
        <f t="shared" si="300"/>
        <v>0.17</v>
      </c>
      <c r="J133" s="3">
        <f t="shared" si="300"/>
        <v>0.17</v>
      </c>
      <c r="K133" s="3">
        <f>IF($D$4,AD133,T133)</f>
        <v>0.17</v>
      </c>
      <c r="L133" s="3">
        <f>IF($D$4,AD133,T133)</f>
        <v>0.17</v>
      </c>
      <c r="M133" s="3">
        <f>IF($D$4,AG133,W133)</f>
        <v>0.17</v>
      </c>
      <c r="N133" s="31"/>
      <c r="O133" s="277">
        <f>E133</f>
        <v>0.17</v>
      </c>
      <c r="P133" s="196">
        <f t="shared" ref="P133:T133" si="305">O133</f>
        <v>0.17</v>
      </c>
      <c r="Q133" s="196">
        <f t="shared" si="305"/>
        <v>0.17</v>
      </c>
      <c r="R133" s="196">
        <f t="shared" si="305"/>
        <v>0.17</v>
      </c>
      <c r="S133" s="52">
        <f t="shared" si="305"/>
        <v>0.17</v>
      </c>
      <c r="T133" s="52">
        <f t="shared" si="305"/>
        <v>0.17</v>
      </c>
      <c r="U133" s="52">
        <f>S133</f>
        <v>0.17</v>
      </c>
      <c r="V133" s="52">
        <f>S133</f>
        <v>0.17</v>
      </c>
      <c r="W133" s="52">
        <f>T133</f>
        <v>0.17</v>
      </c>
      <c r="Y133" s="196">
        <f t="shared" si="304"/>
        <v>0.17</v>
      </c>
      <c r="Z133" s="196">
        <f t="shared" si="304"/>
        <v>0.17</v>
      </c>
      <c r="AA133" s="196">
        <f t="shared" si="304"/>
        <v>0.17</v>
      </c>
      <c r="AB133" s="196">
        <f t="shared" si="304"/>
        <v>0.17</v>
      </c>
      <c r="AC133" s="332">
        <v>0.17</v>
      </c>
      <c r="AD133" s="332">
        <v>0.17</v>
      </c>
      <c r="AE133" s="333">
        <f>AC133</f>
        <v>0.17</v>
      </c>
      <c r="AF133" s="333">
        <f>AC133</f>
        <v>0.17</v>
      </c>
      <c r="AG133" s="333">
        <f>AD133</f>
        <v>0.17</v>
      </c>
    </row>
    <row r="134" spans="1:51">
      <c r="A134" t="s">
        <v>16</v>
      </c>
      <c r="C134" s="18" t="s">
        <v>164</v>
      </c>
      <c r="E134" s="331">
        <v>0.03</v>
      </c>
      <c r="F134" s="92">
        <f t="shared" si="300"/>
        <v>0.03</v>
      </c>
      <c r="G134" s="92">
        <f t="shared" si="300"/>
        <v>0.03</v>
      </c>
      <c r="H134" s="92">
        <f t="shared" si="300"/>
        <v>0.03</v>
      </c>
      <c r="I134" s="92">
        <f t="shared" si="300"/>
        <v>0.03</v>
      </c>
      <c r="J134" s="92">
        <f t="shared" si="300"/>
        <v>0.03</v>
      </c>
      <c r="K134" s="92">
        <f>IF($D$4,AD134,T134)</f>
        <v>0.03</v>
      </c>
      <c r="L134" s="92">
        <f>IF($D$4,AD134,T134)</f>
        <v>0.03</v>
      </c>
      <c r="M134" s="92">
        <f>IF($D$4,AG134,W134)</f>
        <v>0.03</v>
      </c>
      <c r="N134" s="31"/>
      <c r="O134" s="261">
        <f>E134</f>
        <v>0.03</v>
      </c>
      <c r="P134" s="196">
        <f t="shared" ref="P134:T134" si="306">O134</f>
        <v>0.03</v>
      </c>
      <c r="Q134" s="196">
        <f t="shared" si="306"/>
        <v>0.03</v>
      </c>
      <c r="R134" s="196">
        <f t="shared" si="306"/>
        <v>0.03</v>
      </c>
      <c r="S134" s="52">
        <f t="shared" si="306"/>
        <v>0.03</v>
      </c>
      <c r="T134" s="52">
        <f t="shared" si="306"/>
        <v>0.03</v>
      </c>
      <c r="U134" s="52">
        <f>S134</f>
        <v>0.03</v>
      </c>
      <c r="V134" s="52">
        <f>S134</f>
        <v>0.03</v>
      </c>
      <c r="W134" s="52">
        <f>T134</f>
        <v>0.03</v>
      </c>
      <c r="Y134" s="196">
        <f>O134</f>
        <v>0.03</v>
      </c>
      <c r="Z134" s="196">
        <f t="shared" si="304"/>
        <v>0.03</v>
      </c>
      <c r="AA134" s="196">
        <f t="shared" si="304"/>
        <v>0.03</v>
      </c>
      <c r="AB134" s="196">
        <f t="shared" si="304"/>
        <v>0.03</v>
      </c>
      <c r="AC134" s="333">
        <f>AA134</f>
        <v>0.03</v>
      </c>
      <c r="AD134" s="333">
        <f>AC134</f>
        <v>0.03</v>
      </c>
      <c r="AE134" s="333">
        <f>AC134</f>
        <v>0.03</v>
      </c>
      <c r="AF134" s="333">
        <f>AC134</f>
        <v>0.03</v>
      </c>
      <c r="AG134" s="333">
        <f>AD134</f>
        <v>0.03</v>
      </c>
    </row>
    <row r="135" spans="1:51">
      <c r="A135" t="s">
        <v>16</v>
      </c>
      <c r="C135" s="18"/>
      <c r="E135" s="197"/>
      <c r="G135" s="197"/>
      <c r="I135" s="197"/>
      <c r="J135" s="197"/>
      <c r="K135" s="197"/>
      <c r="L135" s="197"/>
      <c r="M135" s="197"/>
      <c r="N135" s="31"/>
    </row>
    <row r="136" spans="1:51" ht="15.75" thickBot="1">
      <c r="A136" t="s">
        <v>16</v>
      </c>
      <c r="C136" s="13" t="s">
        <v>173</v>
      </c>
      <c r="E136" s="197"/>
      <c r="G136" s="197"/>
      <c r="I136" s="197"/>
      <c r="J136" s="197"/>
      <c r="K136" s="197"/>
      <c r="L136" s="197"/>
      <c r="M136" s="197"/>
      <c r="N136" s="31"/>
    </row>
    <row r="137" spans="1:51">
      <c r="A137" t="s">
        <v>16</v>
      </c>
      <c r="C137" s="18" t="s">
        <v>53</v>
      </c>
      <c r="E137" s="51">
        <v>0.1278</v>
      </c>
      <c r="F137" s="3">
        <f t="shared" ref="F137:J139" si="307">IF($D$4,Z137,P137)</f>
        <v>0.1278</v>
      </c>
      <c r="G137" s="3">
        <f t="shared" si="307"/>
        <v>0.1278</v>
      </c>
      <c r="H137" s="3">
        <f t="shared" si="307"/>
        <v>0.1278</v>
      </c>
      <c r="I137" s="3">
        <f t="shared" si="307"/>
        <v>0.12780000000000002</v>
      </c>
      <c r="J137" s="3">
        <f t="shared" si="307"/>
        <v>0.12780000000000002</v>
      </c>
      <c r="K137" s="3">
        <f>IF($D$4,AD137,T137)</f>
        <v>0.12780000000000002</v>
      </c>
      <c r="L137" s="3">
        <f>IF($D$4,AD137,T137)</f>
        <v>0.12780000000000002</v>
      </c>
      <c r="M137" s="3">
        <f>IF($D$4,AG137,W137)</f>
        <v>0.12780000000000002</v>
      </c>
      <c r="N137" s="31"/>
      <c r="O137" s="196">
        <f>E137</f>
        <v>0.1278</v>
      </c>
      <c r="P137" s="196">
        <f t="shared" ref="P137:R139" si="308">O137</f>
        <v>0.1278</v>
      </c>
      <c r="Q137" s="196">
        <f t="shared" si="308"/>
        <v>0.1278</v>
      </c>
      <c r="R137" s="196">
        <f t="shared" si="308"/>
        <v>0.1278</v>
      </c>
      <c r="S137" s="52">
        <f>1-S138-S139</f>
        <v>0.12780000000000002</v>
      </c>
      <c r="T137" s="52">
        <f>1-T138-T139</f>
        <v>0.12780000000000002</v>
      </c>
      <c r="U137" s="52">
        <f>1-U138-U139</f>
        <v>0.12780000000000002</v>
      </c>
      <c r="V137" s="52">
        <f>1-V138-V139</f>
        <v>0.12780000000000002</v>
      </c>
      <c r="W137" s="52">
        <f>1-W138-W139</f>
        <v>0.12780000000000002</v>
      </c>
      <c r="Y137" s="196">
        <f t="shared" ref="Y137:AB139" si="309">O137</f>
        <v>0.1278</v>
      </c>
      <c r="Z137" s="196">
        <f t="shared" si="309"/>
        <v>0.1278</v>
      </c>
      <c r="AA137" s="196">
        <f t="shared" si="309"/>
        <v>0.1278</v>
      </c>
      <c r="AB137" s="196">
        <f t="shared" si="309"/>
        <v>0.1278</v>
      </c>
      <c r="AC137" s="52">
        <f>AB137</f>
        <v>0.1278</v>
      </c>
      <c r="AD137" s="52">
        <f t="shared" ref="AD137:AG137" si="310">AC137</f>
        <v>0.1278</v>
      </c>
      <c r="AE137" s="52">
        <f t="shared" si="310"/>
        <v>0.1278</v>
      </c>
      <c r="AF137" s="52">
        <f t="shared" si="310"/>
        <v>0.1278</v>
      </c>
      <c r="AG137" s="52">
        <f t="shared" si="310"/>
        <v>0.1278</v>
      </c>
    </row>
    <row r="138" spans="1:51">
      <c r="A138" t="s">
        <v>16</v>
      </c>
      <c r="C138" s="18" t="s">
        <v>172</v>
      </c>
      <c r="E138" s="51">
        <v>0.80300000000000005</v>
      </c>
      <c r="F138" s="3">
        <f t="shared" si="307"/>
        <v>0.80300000000000005</v>
      </c>
      <c r="G138" s="3">
        <f t="shared" si="307"/>
        <v>0.80300000000000005</v>
      </c>
      <c r="H138" s="3">
        <f t="shared" si="307"/>
        <v>0.80300000000000005</v>
      </c>
      <c r="I138" s="3">
        <f t="shared" si="307"/>
        <v>0.80300000000000005</v>
      </c>
      <c r="J138" s="3">
        <f t="shared" si="307"/>
        <v>0.80300000000000005</v>
      </c>
      <c r="K138" s="3">
        <f>IF($D$4,AD138,T138)</f>
        <v>0.80300000000000005</v>
      </c>
      <c r="L138" s="3">
        <f>IF($D$4,AD138,T138)</f>
        <v>0.80300000000000005</v>
      </c>
      <c r="M138" s="3">
        <f>IF($D$4,AG138,W138)</f>
        <v>0.80300000000000005</v>
      </c>
      <c r="N138" s="31"/>
      <c r="O138" s="196">
        <f>E138</f>
        <v>0.80300000000000005</v>
      </c>
      <c r="P138" s="196">
        <f t="shared" si="308"/>
        <v>0.80300000000000005</v>
      </c>
      <c r="Q138" s="196">
        <f t="shared" si="308"/>
        <v>0.80300000000000005</v>
      </c>
      <c r="R138" s="196">
        <f t="shared" si="308"/>
        <v>0.80300000000000005</v>
      </c>
      <c r="S138" s="52">
        <f>Q138</f>
        <v>0.80300000000000005</v>
      </c>
      <c r="T138" s="52">
        <f>S138</f>
        <v>0.80300000000000005</v>
      </c>
      <c r="U138" s="52">
        <f>S138</f>
        <v>0.80300000000000005</v>
      </c>
      <c r="V138" s="52">
        <f>S138</f>
        <v>0.80300000000000005</v>
      </c>
      <c r="W138" s="52">
        <f>T138</f>
        <v>0.80300000000000005</v>
      </c>
      <c r="Y138" s="196">
        <f t="shared" si="309"/>
        <v>0.80300000000000005</v>
      </c>
      <c r="Z138" s="196">
        <f t="shared" si="309"/>
        <v>0.80300000000000005</v>
      </c>
      <c r="AA138" s="196">
        <f t="shared" si="309"/>
        <v>0.80300000000000005</v>
      </c>
      <c r="AB138" s="196">
        <f t="shared" si="309"/>
        <v>0.80300000000000005</v>
      </c>
      <c r="AC138" s="52">
        <f>1-AC137-AC139</f>
        <v>0.7772</v>
      </c>
      <c r="AD138" s="52">
        <f t="shared" ref="AD138:AG138" si="311">1-AD137-AD139</f>
        <v>0.75719999999999998</v>
      </c>
      <c r="AE138" s="52">
        <f t="shared" si="311"/>
        <v>0.75719999999999998</v>
      </c>
      <c r="AF138" s="52">
        <f t="shared" si="311"/>
        <v>0.75719999999999998</v>
      </c>
      <c r="AG138" s="52">
        <f t="shared" si="311"/>
        <v>0.75719999999999998</v>
      </c>
    </row>
    <row r="139" spans="1:51">
      <c r="A139" t="s">
        <v>16</v>
      </c>
      <c r="C139" s="18" t="s">
        <v>174</v>
      </c>
      <c r="E139" s="51">
        <f>1-SUM(G137:G138)</f>
        <v>6.9199999999999928E-2</v>
      </c>
      <c r="F139" s="3">
        <f t="shared" si="307"/>
        <v>6.9199999999999928E-2</v>
      </c>
      <c r="G139" s="3">
        <f t="shared" si="307"/>
        <v>6.9199999999999928E-2</v>
      </c>
      <c r="H139" s="3">
        <f t="shared" si="307"/>
        <v>6.9199999999999928E-2</v>
      </c>
      <c r="I139" s="3">
        <f t="shared" si="307"/>
        <v>6.9199999999999928E-2</v>
      </c>
      <c r="J139" s="3">
        <f t="shared" si="307"/>
        <v>6.9199999999999928E-2</v>
      </c>
      <c r="K139" s="3">
        <f>IF($D$4,AD139,T139)</f>
        <v>6.9199999999999928E-2</v>
      </c>
      <c r="L139" s="3">
        <f>IF($D$4,AD139,T139)</f>
        <v>6.9199999999999928E-2</v>
      </c>
      <c r="M139" s="3">
        <f>IF($D$4,AG139,W139)</f>
        <v>6.9199999999999928E-2</v>
      </c>
      <c r="N139" s="31"/>
      <c r="O139" s="196">
        <f>1-SUM(Q137:Q138)</f>
        <v>6.9199999999999928E-2</v>
      </c>
      <c r="P139" s="196">
        <f t="shared" si="308"/>
        <v>6.9199999999999928E-2</v>
      </c>
      <c r="Q139" s="196">
        <f t="shared" si="308"/>
        <v>6.9199999999999928E-2</v>
      </c>
      <c r="R139" s="196">
        <f t="shared" si="308"/>
        <v>6.9199999999999928E-2</v>
      </c>
      <c r="S139" s="52">
        <f>Q139</f>
        <v>6.9199999999999928E-2</v>
      </c>
      <c r="T139" s="52">
        <f>S139</f>
        <v>6.9199999999999928E-2</v>
      </c>
      <c r="U139" s="52">
        <f>S139</f>
        <v>6.9199999999999928E-2</v>
      </c>
      <c r="V139" s="52">
        <f>S139</f>
        <v>6.9199999999999928E-2</v>
      </c>
      <c r="W139" s="52">
        <f>T139</f>
        <v>6.9199999999999928E-2</v>
      </c>
      <c r="Y139" s="196">
        <f t="shared" si="309"/>
        <v>6.9199999999999928E-2</v>
      </c>
      <c r="Z139" s="196">
        <f t="shared" si="309"/>
        <v>6.9199999999999928E-2</v>
      </c>
      <c r="AA139" s="196">
        <f t="shared" si="309"/>
        <v>6.9199999999999928E-2</v>
      </c>
      <c r="AB139" s="196">
        <f t="shared" si="309"/>
        <v>6.9199999999999928E-2</v>
      </c>
      <c r="AC139" s="52">
        <v>9.5000000000000001E-2</v>
      </c>
      <c r="AD139" s="52">
        <v>0.115</v>
      </c>
      <c r="AE139" s="59">
        <f>AD139</f>
        <v>0.115</v>
      </c>
      <c r="AF139" s="59">
        <f>AE139</f>
        <v>0.115</v>
      </c>
      <c r="AG139" s="59">
        <f>AF139</f>
        <v>0.115</v>
      </c>
    </row>
    <row r="140" spans="1:51">
      <c r="A140" t="s">
        <v>16</v>
      </c>
      <c r="C140" s="18"/>
      <c r="E140" s="197"/>
      <c r="G140" s="197"/>
      <c r="I140" s="197"/>
      <c r="J140" s="197"/>
      <c r="K140" s="197"/>
      <c r="L140" s="197"/>
      <c r="M140" s="197"/>
      <c r="N140" s="31"/>
    </row>
    <row r="141" spans="1:51" ht="15.75" thickBot="1">
      <c r="A141" t="s">
        <v>16</v>
      </c>
      <c r="C141" s="13" t="s">
        <v>184</v>
      </c>
      <c r="D141" s="213">
        <f>INDEX($W$5:$W$8,MATCH($D$3,$P$5:$P$8,0))</f>
        <v>0</v>
      </c>
      <c r="E141" s="197"/>
      <c r="G141" s="197"/>
      <c r="I141" s="197"/>
      <c r="J141" s="197"/>
      <c r="K141" s="197"/>
      <c r="L141" s="197"/>
      <c r="M141" s="197"/>
      <c r="N141" s="31"/>
      <c r="Y141" t="s">
        <v>192</v>
      </c>
    </row>
    <row r="142" spans="1:51">
      <c r="A142" t="s">
        <v>16</v>
      </c>
      <c r="C142" t="s">
        <v>53</v>
      </c>
      <c r="D142" t="s">
        <v>85</v>
      </c>
      <c r="E142" s="206">
        <v>25</v>
      </c>
      <c r="F142" s="3">
        <f t="shared" ref="F142:J144" si="312">IF($D$4,Z142,P142)</f>
        <v>25</v>
      </c>
      <c r="G142" s="3">
        <f t="shared" si="312"/>
        <v>25</v>
      </c>
      <c r="H142" s="3">
        <f t="shared" si="312"/>
        <v>25</v>
      </c>
      <c r="I142" s="3">
        <f t="shared" si="312"/>
        <v>25</v>
      </c>
      <c r="J142" s="3">
        <f t="shared" si="312"/>
        <v>25</v>
      </c>
      <c r="K142" s="3">
        <f>IF($D$4,AD142,T142)</f>
        <v>25</v>
      </c>
      <c r="L142" s="3">
        <f>IF($D$4,AD142,T142)</f>
        <v>25</v>
      </c>
      <c r="M142" s="3">
        <f>IF($D$4,AG142,W142)</f>
        <v>25</v>
      </c>
      <c r="N142" s="207"/>
      <c r="O142" s="208">
        <f>E142</f>
        <v>25</v>
      </c>
      <c r="P142" s="208">
        <f>O142</f>
        <v>25</v>
      </c>
      <c r="Q142" s="208">
        <f t="shared" ref="Q142:T142" si="313">P142</f>
        <v>25</v>
      </c>
      <c r="R142" s="208">
        <f t="shared" si="313"/>
        <v>25</v>
      </c>
      <c r="S142" s="46">
        <f t="shared" si="313"/>
        <v>25</v>
      </c>
      <c r="T142" s="46">
        <f t="shared" si="313"/>
        <v>25</v>
      </c>
      <c r="U142" s="46">
        <f>S142</f>
        <v>25</v>
      </c>
      <c r="V142" s="46">
        <f t="shared" ref="V142:W144" si="314">S142</f>
        <v>25</v>
      </c>
      <c r="W142" s="46">
        <f t="shared" si="314"/>
        <v>25</v>
      </c>
      <c r="X142" s="209"/>
      <c r="Y142" s="208">
        <f t="shared" ref="Y142:AB144" si="315">O142</f>
        <v>25</v>
      </c>
      <c r="Z142" s="208">
        <f t="shared" si="315"/>
        <v>25</v>
      </c>
      <c r="AA142" s="208">
        <f t="shared" si="315"/>
        <v>25</v>
      </c>
      <c r="AB142" s="208">
        <f t="shared" si="315"/>
        <v>25</v>
      </c>
      <c r="AC142" s="60">
        <f>AA142*(1+$D$141)</f>
        <v>25</v>
      </c>
      <c r="AD142" s="60">
        <f>AC142*(1+$D$141)</f>
        <v>25</v>
      </c>
      <c r="AE142" s="60">
        <f>AC142*(1+$D$141)</f>
        <v>25</v>
      </c>
      <c r="AF142" s="60">
        <f>AC142*(1+$D$141)</f>
        <v>25</v>
      </c>
      <c r="AG142" s="60">
        <f>AD142*(1+$D$141)</f>
        <v>25</v>
      </c>
      <c r="AH142" s="209"/>
      <c r="AI142" s="209"/>
      <c r="AJ142" s="209"/>
      <c r="AK142" s="209"/>
      <c r="AL142" s="209"/>
      <c r="AM142" s="209"/>
      <c r="AN142" s="209"/>
      <c r="AO142" s="209"/>
      <c r="AP142" s="209"/>
      <c r="AQ142" s="209"/>
      <c r="AR142" s="209"/>
      <c r="AS142" s="209"/>
      <c r="AT142" s="209"/>
      <c r="AU142" s="209"/>
      <c r="AV142" s="209"/>
      <c r="AW142" s="209"/>
      <c r="AX142" s="209"/>
      <c r="AY142" s="209"/>
    </row>
    <row r="143" spans="1:51">
      <c r="A143" t="s">
        <v>16</v>
      </c>
      <c r="C143" t="s">
        <v>172</v>
      </c>
      <c r="D143" t="s">
        <v>85</v>
      </c>
      <c r="E143" s="206">
        <v>14</v>
      </c>
      <c r="F143" s="3">
        <f t="shared" si="312"/>
        <v>14</v>
      </c>
      <c r="G143" s="3">
        <f t="shared" si="312"/>
        <v>14</v>
      </c>
      <c r="H143" s="3">
        <f t="shared" si="312"/>
        <v>14</v>
      </c>
      <c r="I143" s="3">
        <f t="shared" si="312"/>
        <v>14</v>
      </c>
      <c r="J143" s="3">
        <f t="shared" si="312"/>
        <v>14</v>
      </c>
      <c r="K143" s="3">
        <f>IF($D$4,AD143,T143)</f>
        <v>14</v>
      </c>
      <c r="L143" s="3">
        <f>IF($D$4,AD143,T143)</f>
        <v>14</v>
      </c>
      <c r="M143" s="3">
        <f>IF($D$4,AG143,W143)</f>
        <v>14</v>
      </c>
      <c r="N143" s="207"/>
      <c r="O143" s="208">
        <f t="shared" ref="O143:O144" si="316">E143</f>
        <v>14</v>
      </c>
      <c r="P143" s="208">
        <f t="shared" ref="P143" si="317">O143</f>
        <v>14</v>
      </c>
      <c r="Q143" s="208">
        <f t="shared" ref="Q143:T143" si="318">P143</f>
        <v>14</v>
      </c>
      <c r="R143" s="208">
        <f t="shared" si="318"/>
        <v>14</v>
      </c>
      <c r="S143" s="46">
        <f t="shared" si="318"/>
        <v>14</v>
      </c>
      <c r="T143" s="46">
        <f t="shared" si="318"/>
        <v>14</v>
      </c>
      <c r="U143" s="46">
        <f>S143</f>
        <v>14</v>
      </c>
      <c r="V143" s="46">
        <f t="shared" si="314"/>
        <v>14</v>
      </c>
      <c r="W143" s="46">
        <f t="shared" si="314"/>
        <v>14</v>
      </c>
      <c r="X143" s="209"/>
      <c r="Y143" s="208">
        <f t="shared" si="315"/>
        <v>14</v>
      </c>
      <c r="Z143" s="208">
        <f t="shared" si="315"/>
        <v>14</v>
      </c>
      <c r="AA143" s="208">
        <f t="shared" si="315"/>
        <v>14</v>
      </c>
      <c r="AB143" s="208">
        <f t="shared" si="315"/>
        <v>14</v>
      </c>
      <c r="AC143" s="60">
        <f>AA143</f>
        <v>14</v>
      </c>
      <c r="AD143" s="60">
        <f>AC143</f>
        <v>14</v>
      </c>
      <c r="AE143" s="60">
        <f>AC143</f>
        <v>14</v>
      </c>
      <c r="AF143" s="60">
        <f>AC143</f>
        <v>14</v>
      </c>
      <c r="AG143" s="60">
        <f>AD143</f>
        <v>14</v>
      </c>
      <c r="AH143" s="209"/>
      <c r="AI143" s="209"/>
      <c r="AJ143" s="209"/>
      <c r="AK143" s="209"/>
      <c r="AL143" s="209"/>
      <c r="AM143" s="209"/>
      <c r="AN143" s="209"/>
      <c r="AO143" s="209"/>
      <c r="AP143" s="209"/>
      <c r="AQ143" s="209"/>
      <c r="AR143" s="209"/>
      <c r="AS143" s="209"/>
      <c r="AT143" s="209"/>
      <c r="AU143" s="209"/>
      <c r="AV143" s="209"/>
      <c r="AW143" s="209"/>
      <c r="AX143" s="209"/>
      <c r="AY143" s="209"/>
    </row>
    <row r="144" spans="1:51">
      <c r="A144" t="s">
        <v>16</v>
      </c>
      <c r="C144" t="s">
        <v>54</v>
      </c>
      <c r="D144" t="s">
        <v>85</v>
      </c>
      <c r="E144" s="206">
        <v>25</v>
      </c>
      <c r="F144" s="3">
        <f t="shared" si="312"/>
        <v>25</v>
      </c>
      <c r="G144" s="3">
        <f t="shared" si="312"/>
        <v>25</v>
      </c>
      <c r="H144" s="3">
        <f t="shared" si="312"/>
        <v>25</v>
      </c>
      <c r="I144" s="3">
        <f t="shared" si="312"/>
        <v>25</v>
      </c>
      <c r="J144" s="3">
        <f t="shared" si="312"/>
        <v>25</v>
      </c>
      <c r="K144" s="3">
        <f>IF($D$4,AD144,T144)</f>
        <v>25</v>
      </c>
      <c r="L144" s="3">
        <f>IF($D$4,AD144,T144)</f>
        <v>25</v>
      </c>
      <c r="M144" s="3">
        <f>IF($D$4,AG144,W144)</f>
        <v>25</v>
      </c>
      <c r="N144" s="207"/>
      <c r="O144" s="208">
        <f t="shared" si="316"/>
        <v>25</v>
      </c>
      <c r="P144" s="208">
        <f t="shared" ref="P144:T144" si="319">O144</f>
        <v>25</v>
      </c>
      <c r="Q144" s="208">
        <f t="shared" si="319"/>
        <v>25</v>
      </c>
      <c r="R144" s="208">
        <f t="shared" si="319"/>
        <v>25</v>
      </c>
      <c r="S144" s="46">
        <f t="shared" si="319"/>
        <v>25</v>
      </c>
      <c r="T144" s="46">
        <f t="shared" si="319"/>
        <v>25</v>
      </c>
      <c r="U144" s="46">
        <f>S144</f>
        <v>25</v>
      </c>
      <c r="V144" s="46">
        <f t="shared" si="314"/>
        <v>25</v>
      </c>
      <c r="W144" s="46">
        <f t="shared" si="314"/>
        <v>25</v>
      </c>
      <c r="X144" s="209"/>
      <c r="Y144" s="208">
        <f t="shared" si="315"/>
        <v>25</v>
      </c>
      <c r="Z144" s="208">
        <f t="shared" si="315"/>
        <v>25</v>
      </c>
      <c r="AA144" s="208">
        <f t="shared" si="315"/>
        <v>25</v>
      </c>
      <c r="AB144" s="208">
        <f t="shared" si="315"/>
        <v>25</v>
      </c>
      <c r="AC144" s="60">
        <f>AA144*(1+$D$141)</f>
        <v>25</v>
      </c>
      <c r="AD144" s="60">
        <f>AC144*(1+$D$141)</f>
        <v>25</v>
      </c>
      <c r="AE144" s="60">
        <f>AC144*(1+$D$141)</f>
        <v>25</v>
      </c>
      <c r="AF144" s="60">
        <f>AC144*(1+$D$141)</f>
        <v>25</v>
      </c>
      <c r="AG144" s="60">
        <f>AD144*(1+$D$141)</f>
        <v>25</v>
      </c>
      <c r="AH144" s="209"/>
      <c r="AI144" s="209"/>
      <c r="AJ144" s="209"/>
      <c r="AK144" s="209"/>
      <c r="AL144" s="209"/>
      <c r="AM144" s="209"/>
      <c r="AN144" s="209"/>
      <c r="AO144" s="209"/>
      <c r="AP144" s="209"/>
      <c r="AQ144" s="209"/>
      <c r="AR144" s="209"/>
      <c r="AS144" s="209"/>
      <c r="AT144" s="209"/>
      <c r="AU144" s="209"/>
      <c r="AV144" s="209"/>
      <c r="AW144" s="209"/>
      <c r="AX144" s="209"/>
      <c r="AY144" s="209"/>
    </row>
    <row r="145" spans="1:51">
      <c r="A145" t="s">
        <v>16</v>
      </c>
      <c r="C145" s="18"/>
      <c r="E145" s="197"/>
      <c r="G145" s="197"/>
      <c r="I145" s="197"/>
      <c r="J145" s="197"/>
      <c r="K145" s="197"/>
      <c r="L145" s="197"/>
      <c r="M145" s="197"/>
      <c r="N145" s="31"/>
    </row>
    <row r="146" spans="1:51">
      <c r="A146" t="s">
        <v>16</v>
      </c>
      <c r="J146"/>
      <c r="N146" s="31"/>
    </row>
    <row r="147" spans="1:51">
      <c r="A147" t="s">
        <v>16</v>
      </c>
      <c r="E147" s="21"/>
      <c r="G147" s="21"/>
      <c r="I147" s="21"/>
      <c r="J147" s="21"/>
      <c r="K147" s="21"/>
      <c r="L147" s="21"/>
      <c r="M147" s="21"/>
      <c r="N147" s="207"/>
      <c r="O147" s="209" t="str">
        <f>O11</f>
        <v>Reference</v>
      </c>
      <c r="Q147" s="209"/>
      <c r="S147" s="209"/>
      <c r="T147" s="209"/>
      <c r="U147" s="209"/>
      <c r="V147" s="209"/>
      <c r="W147" s="209"/>
      <c r="X147" s="209"/>
      <c r="Y147" s="209" t="str">
        <f>Y11</f>
        <v>Scenario</v>
      </c>
      <c r="AA147" s="209"/>
      <c r="AB147" s="209"/>
      <c r="AD147" s="209"/>
      <c r="AE147" s="209"/>
      <c r="AF147" s="209"/>
      <c r="AG147" s="209"/>
      <c r="AH147" s="209"/>
      <c r="AR147" s="209"/>
      <c r="AS147" s="209"/>
      <c r="AT147" s="209"/>
      <c r="AU147" s="209"/>
      <c r="AV147" s="209"/>
      <c r="AW147" s="209"/>
      <c r="AX147" s="209"/>
      <c r="AY147" s="209"/>
    </row>
    <row r="148" spans="1:51" ht="15.75" thickBot="1">
      <c r="A148" t="s">
        <v>16</v>
      </c>
      <c r="C148" s="13" t="s">
        <v>130</v>
      </c>
      <c r="D148" s="13"/>
      <c r="E148" s="4">
        <f t="shared" ref="E148:M148" si="320">E4</f>
        <v>2017</v>
      </c>
      <c r="F148" s="4">
        <f t="shared" si="320"/>
        <v>2019</v>
      </c>
      <c r="G148" s="4">
        <f t="shared" si="320"/>
        <v>2020</v>
      </c>
      <c r="H148" s="4">
        <f t="shared" si="320"/>
        <v>2021</v>
      </c>
      <c r="I148" s="4">
        <f t="shared" si="320"/>
        <v>2030</v>
      </c>
      <c r="J148" s="4">
        <f t="shared" si="320"/>
        <v>2040</v>
      </c>
      <c r="K148" s="4">
        <f t="shared" ref="K148:L148" si="321">K4</f>
        <v>2050</v>
      </c>
      <c r="L148" s="4">
        <f t="shared" si="321"/>
        <v>2060</v>
      </c>
      <c r="M148" s="4">
        <f t="shared" si="320"/>
        <v>2070</v>
      </c>
      <c r="N148" s="207"/>
      <c r="O148" s="243">
        <f t="shared" ref="O148:W148" si="322">O$12</f>
        <v>2017</v>
      </c>
      <c r="P148" s="243">
        <f t="shared" si="322"/>
        <v>2019</v>
      </c>
      <c r="Q148" s="243">
        <f t="shared" si="322"/>
        <v>2020</v>
      </c>
      <c r="R148" s="243">
        <f t="shared" si="322"/>
        <v>2021</v>
      </c>
      <c r="S148" s="243">
        <f t="shared" si="322"/>
        <v>2030</v>
      </c>
      <c r="T148" s="243">
        <f t="shared" si="322"/>
        <v>2040</v>
      </c>
      <c r="U148" s="243">
        <f t="shared" si="322"/>
        <v>2050</v>
      </c>
      <c r="V148" s="243">
        <f t="shared" si="322"/>
        <v>2060</v>
      </c>
      <c r="W148" s="243">
        <f t="shared" si="322"/>
        <v>2070</v>
      </c>
      <c r="X148" s="209"/>
      <c r="Y148" s="243">
        <f t="shared" ref="Y148:AG148" si="323">Y$12</f>
        <v>2017</v>
      </c>
      <c r="Z148" s="243">
        <f t="shared" si="323"/>
        <v>2019</v>
      </c>
      <c r="AA148" s="243">
        <f t="shared" si="323"/>
        <v>2020</v>
      </c>
      <c r="AB148" s="243">
        <f t="shared" si="323"/>
        <v>2021</v>
      </c>
      <c r="AC148" s="243">
        <f t="shared" si="323"/>
        <v>2030</v>
      </c>
      <c r="AD148" s="243">
        <f t="shared" si="323"/>
        <v>2040</v>
      </c>
      <c r="AE148" s="243">
        <f t="shared" si="323"/>
        <v>2050</v>
      </c>
      <c r="AF148" s="243">
        <f t="shared" si="323"/>
        <v>2060</v>
      </c>
      <c r="AG148" s="243">
        <f t="shared" si="323"/>
        <v>2070</v>
      </c>
      <c r="AH148" s="209"/>
      <c r="AR148" s="209"/>
      <c r="AS148" s="209"/>
      <c r="AT148" s="209"/>
      <c r="AU148" s="209"/>
      <c r="AV148" s="209"/>
      <c r="AW148" s="209"/>
      <c r="AX148" s="209"/>
      <c r="AY148" s="209"/>
    </row>
    <row r="149" spans="1:51">
      <c r="A149" t="s">
        <v>16</v>
      </c>
      <c r="B149" t="s">
        <v>116</v>
      </c>
      <c r="C149" t="s">
        <v>90</v>
      </c>
      <c r="D149" t="s">
        <v>75</v>
      </c>
      <c r="E149" s="264">
        <f>SUMIF('BY-DMD'!$H$5:$H$138,B149,'BY-DMD'!$I$5:$I$138)</f>
        <v>81.1386031348502</v>
      </c>
      <c r="F149" s="38">
        <f t="shared" ref="F149:J156" si="324">IF($D$4,Z149,P149)</f>
        <v>84.616485002842012</v>
      </c>
      <c r="G149" s="38">
        <f t="shared" si="324"/>
        <v>78.308349507973659</v>
      </c>
      <c r="H149" s="38">
        <f t="shared" si="324"/>
        <v>83.011371976970224</v>
      </c>
      <c r="I149" s="38">
        <f t="shared" si="324"/>
        <v>99.240263719345407</v>
      </c>
      <c r="J149" s="38">
        <f t="shared" si="324"/>
        <v>128.1137148596512</v>
      </c>
      <c r="K149" s="38">
        <f t="shared" ref="K149:K156" si="325">IF($D$4,AE149,U149)</f>
        <v>164.79876687305341</v>
      </c>
      <c r="L149" s="38">
        <f t="shared" ref="L149:L156" si="326">IF($D$4,AF149,V149)</f>
        <v>184.31240491540811</v>
      </c>
      <c r="M149" s="38">
        <f t="shared" ref="M149:M156" si="327">IF($D$4,AG149,W149)</f>
        <v>201.44093923041561</v>
      </c>
      <c r="N149" s="210" t="str">
        <f t="shared" ref="N149:N156" si="328">C149</f>
        <v>Car Priv.Veh. Vehicle km</v>
      </c>
      <c r="O149" s="198">
        <f t="shared" ref="O149:R149" si="329">O132*O$111</f>
        <v>80.737936364882756</v>
      </c>
      <c r="P149" s="198">
        <f>P132*P$111</f>
        <v>84.616485002842012</v>
      </c>
      <c r="Q149" s="198">
        <f t="shared" si="329"/>
        <v>78.308349507973659</v>
      </c>
      <c r="R149" s="198">
        <f t="shared" si="329"/>
        <v>83.011371976970224</v>
      </c>
      <c r="S149" s="250">
        <f t="shared" ref="S149:W151" si="330">S132*S$111</f>
        <v>99.240263719345407</v>
      </c>
      <c r="T149" s="250">
        <f t="shared" si="330"/>
        <v>128.1137148596512</v>
      </c>
      <c r="U149" s="250">
        <f t="shared" ref="U149:V149" si="331">U132*U$111</f>
        <v>164.79876687305341</v>
      </c>
      <c r="V149" s="250">
        <f t="shared" si="331"/>
        <v>184.31240491540811</v>
      </c>
      <c r="W149" s="250">
        <f t="shared" si="330"/>
        <v>201.44093923041561</v>
      </c>
      <c r="X149" s="198"/>
      <c r="Y149" s="198">
        <f t="shared" ref="Y149:AB156" si="332">O149</f>
        <v>80.737936364882756</v>
      </c>
      <c r="Z149" s="198">
        <f t="shared" si="332"/>
        <v>84.616485002842012</v>
      </c>
      <c r="AA149" s="198">
        <f t="shared" si="332"/>
        <v>78.308349507973659</v>
      </c>
      <c r="AB149" s="198">
        <f t="shared" si="332"/>
        <v>83.011371976970224</v>
      </c>
      <c r="AC149" s="250">
        <f t="shared" ref="AC149:AG149" si="333">AC132*AC$111</f>
        <v>90.122539123237956</v>
      </c>
      <c r="AD149" s="250">
        <f t="shared" si="333"/>
        <v>109.21672967008878</v>
      </c>
      <c r="AE149" s="250">
        <f t="shared" si="333"/>
        <v>139.68972685549204</v>
      </c>
      <c r="AF149" s="250">
        <f t="shared" si="333"/>
        <v>156.36082794982522</v>
      </c>
      <c r="AG149" s="250">
        <f t="shared" si="333"/>
        <v>161.2681030356207</v>
      </c>
      <c r="AH149" s="198"/>
      <c r="AI149" s="198"/>
      <c r="AJ149" s="198"/>
      <c r="AR149" s="198"/>
      <c r="AS149" s="198"/>
      <c r="AT149" s="198"/>
      <c r="AU149" s="198"/>
      <c r="AV149" s="198"/>
      <c r="AW149" s="198"/>
      <c r="AX149" s="198"/>
      <c r="AY149" s="198"/>
    </row>
    <row r="150" spans="1:51">
      <c r="A150" t="s">
        <v>16</v>
      </c>
      <c r="B150" t="s">
        <v>115</v>
      </c>
      <c r="C150" t="s">
        <v>89</v>
      </c>
      <c r="D150" t="s">
        <v>75</v>
      </c>
      <c r="E150" s="264">
        <f>SUMIF('BY-DMD'!$H$5:$H$138,B150,'BY-DMD'!$I$5:$I$138)</f>
        <v>17.754191802068</v>
      </c>
      <c r="F150" s="38">
        <f t="shared" si="324"/>
        <v>17.98100306310393</v>
      </c>
      <c r="G150" s="38">
        <f t="shared" si="324"/>
        <v>16.640524270444406</v>
      </c>
      <c r="H150" s="38">
        <f t="shared" si="324"/>
        <v>17.639916545106175</v>
      </c>
      <c r="I150" s="38">
        <f t="shared" si="324"/>
        <v>21.088556040360903</v>
      </c>
      <c r="J150" s="38">
        <f t="shared" si="324"/>
        <v>27.224164407675886</v>
      </c>
      <c r="K150" s="38">
        <f t="shared" si="325"/>
        <v>35.019737960523855</v>
      </c>
      <c r="L150" s="38">
        <f t="shared" si="326"/>
        <v>39.166386044524231</v>
      </c>
      <c r="M150" s="38">
        <f t="shared" si="327"/>
        <v>42.806199586463322</v>
      </c>
      <c r="N150" s="210" t="str">
        <f t="shared" si="328"/>
        <v>SUV Priv.Veh. Vehicle km</v>
      </c>
      <c r="O150" s="198">
        <f t="shared" ref="O150:R150" si="334">O133*O$111</f>
        <v>17.156811477537588</v>
      </c>
      <c r="P150" s="198">
        <f t="shared" si="334"/>
        <v>17.98100306310393</v>
      </c>
      <c r="Q150" s="198">
        <f t="shared" si="334"/>
        <v>16.640524270444406</v>
      </c>
      <c r="R150" s="198">
        <f t="shared" si="334"/>
        <v>17.639916545106175</v>
      </c>
      <c r="S150" s="250">
        <f t="shared" si="330"/>
        <v>21.088556040360903</v>
      </c>
      <c r="T150" s="250">
        <f t="shared" si="330"/>
        <v>27.224164407675886</v>
      </c>
      <c r="U150" s="250">
        <f t="shared" ref="U150:V150" si="335">U133*U$111</f>
        <v>35.019737960523855</v>
      </c>
      <c r="V150" s="250">
        <f t="shared" si="335"/>
        <v>39.166386044524231</v>
      </c>
      <c r="W150" s="250">
        <f t="shared" si="330"/>
        <v>42.806199586463322</v>
      </c>
      <c r="X150" s="198"/>
      <c r="Y150" s="198">
        <f t="shared" si="332"/>
        <v>17.156811477537588</v>
      </c>
      <c r="Z150" s="198">
        <f t="shared" si="332"/>
        <v>17.98100306310393</v>
      </c>
      <c r="AA150" s="198">
        <f t="shared" si="332"/>
        <v>16.640524270444406</v>
      </c>
      <c r="AB150" s="198">
        <f t="shared" si="332"/>
        <v>17.639916545106175</v>
      </c>
      <c r="AC150" s="250">
        <f t="shared" ref="AC150:AG150" si="336">AC133*AC$111</f>
        <v>19.151039563688069</v>
      </c>
      <c r="AD150" s="250">
        <f t="shared" si="336"/>
        <v>23.208555054893868</v>
      </c>
      <c r="AE150" s="250">
        <f t="shared" si="336"/>
        <v>29.684066956792066</v>
      </c>
      <c r="AF150" s="250">
        <f t="shared" si="336"/>
        <v>33.226675939337866</v>
      </c>
      <c r="AG150" s="250">
        <f t="shared" si="336"/>
        <v>34.269471895069401</v>
      </c>
      <c r="AH150" s="203"/>
      <c r="AR150" s="198"/>
      <c r="AS150" s="198"/>
      <c r="AT150" s="198"/>
      <c r="AU150" s="198"/>
      <c r="AV150" s="198"/>
      <c r="AW150" s="198"/>
      <c r="AX150" s="198"/>
      <c r="AY150" s="198"/>
    </row>
    <row r="151" spans="1:51">
      <c r="A151" t="s">
        <v>16</v>
      </c>
      <c r="B151" t="s">
        <v>171</v>
      </c>
      <c r="C151" t="s">
        <v>175</v>
      </c>
      <c r="D151" t="s">
        <v>75</v>
      </c>
      <c r="E151" s="264">
        <f>SUMIF('BY-DMD'!$H$5:$H$138,B151,'BY-DMD'!$I$5:$I$138)</f>
        <v>5.9227912022632498</v>
      </c>
      <c r="F151" s="38">
        <f t="shared" si="324"/>
        <v>3.1731181876065753</v>
      </c>
      <c r="G151" s="38">
        <f t="shared" si="324"/>
        <v>2.9365631065490123</v>
      </c>
      <c r="H151" s="38">
        <f t="shared" si="324"/>
        <v>3.1129264491363839</v>
      </c>
      <c r="I151" s="38">
        <f t="shared" si="324"/>
        <v>3.7215098894754526</v>
      </c>
      <c r="J151" s="38">
        <f t="shared" si="324"/>
        <v>4.8042643072369202</v>
      </c>
      <c r="K151" s="38">
        <f t="shared" si="325"/>
        <v>6.1799537577395034</v>
      </c>
      <c r="L151" s="38">
        <f t="shared" si="326"/>
        <v>6.9117151843278037</v>
      </c>
      <c r="M151" s="38">
        <f t="shared" si="327"/>
        <v>7.5540352211405857</v>
      </c>
      <c r="N151" s="210" t="str">
        <f t="shared" si="328"/>
        <v>Motorbikes Priv.Veh. Vehicle km</v>
      </c>
      <c r="O151" s="198">
        <f t="shared" ref="O151:R151" si="337">O134*O$111</f>
        <v>3.0276726136831034</v>
      </c>
      <c r="P151" s="198">
        <f t="shared" si="337"/>
        <v>3.1731181876065753</v>
      </c>
      <c r="Q151" s="198">
        <f t="shared" si="337"/>
        <v>2.9365631065490123</v>
      </c>
      <c r="R151" s="198">
        <f t="shared" si="337"/>
        <v>3.1129264491363839</v>
      </c>
      <c r="S151" s="250">
        <f t="shared" si="330"/>
        <v>3.7215098894754526</v>
      </c>
      <c r="T151" s="250">
        <f t="shared" si="330"/>
        <v>4.8042643072369202</v>
      </c>
      <c r="U151" s="250">
        <f t="shared" ref="U151:V151" si="338">U134*U$111</f>
        <v>6.1799537577395034</v>
      </c>
      <c r="V151" s="250">
        <f t="shared" si="338"/>
        <v>6.9117151843278037</v>
      </c>
      <c r="W151" s="250">
        <f t="shared" si="330"/>
        <v>7.5540352211405857</v>
      </c>
      <c r="X151" s="198"/>
      <c r="Y151" s="198">
        <f t="shared" si="332"/>
        <v>3.0276726136831034</v>
      </c>
      <c r="Z151" s="198">
        <f t="shared" si="332"/>
        <v>3.1731181876065753</v>
      </c>
      <c r="AA151" s="198">
        <f t="shared" si="332"/>
        <v>2.9365631065490123</v>
      </c>
      <c r="AB151" s="198">
        <f t="shared" si="332"/>
        <v>3.1129264491363839</v>
      </c>
      <c r="AC151" s="250">
        <f t="shared" ref="AC151:AG151" si="339">AC134*AC$111</f>
        <v>3.3795952171214232</v>
      </c>
      <c r="AD151" s="250">
        <f t="shared" si="339"/>
        <v>4.0956273626283295</v>
      </c>
      <c r="AE151" s="250">
        <f t="shared" si="339"/>
        <v>5.2383647570809524</v>
      </c>
      <c r="AF151" s="250">
        <f t="shared" si="339"/>
        <v>5.8635310481184462</v>
      </c>
      <c r="AG151" s="250">
        <f t="shared" si="339"/>
        <v>6.047553863835776</v>
      </c>
      <c r="AH151" s="198"/>
      <c r="AI151" s="198"/>
      <c r="AJ151" s="198"/>
      <c r="AL151" s="209"/>
      <c r="AM151" s="198"/>
      <c r="AN151" s="198"/>
      <c r="AO151" s="198"/>
      <c r="AP151" s="198"/>
      <c r="AQ151" s="198"/>
      <c r="AR151" s="198"/>
      <c r="AS151" s="198"/>
      <c r="AT151" s="198"/>
      <c r="AU151" s="198"/>
      <c r="AV151" s="198"/>
      <c r="AW151" s="198"/>
      <c r="AX151" s="198"/>
      <c r="AY151" s="198"/>
    </row>
    <row r="152" spans="1:51">
      <c r="A152" t="s">
        <v>16</v>
      </c>
      <c r="B152" t="s">
        <v>117</v>
      </c>
      <c r="C152" t="s">
        <v>76</v>
      </c>
      <c r="D152" t="s">
        <v>75</v>
      </c>
      <c r="E152" s="264">
        <f>SUMIF('BY-DMD'!$H$5:$H$138,B152,'BY-DMD'!$I$5:$I$138)</f>
        <v>0.64296697178877804</v>
      </c>
      <c r="F152" s="38">
        <f t="shared" si="324"/>
        <v>0.65561461783585018</v>
      </c>
      <c r="G152" s="38">
        <f t="shared" si="324"/>
        <v>0.6666265611015576</v>
      </c>
      <c r="H152" s="38">
        <f t="shared" si="324"/>
        <v>0.67369816503155333</v>
      </c>
      <c r="I152" s="38">
        <f t="shared" si="324"/>
        <v>0.71283674117553131</v>
      </c>
      <c r="J152" s="38">
        <f t="shared" si="324"/>
        <v>0.72295666448485008</v>
      </c>
      <c r="K152" s="38">
        <f t="shared" si="325"/>
        <v>0.69966542118267516</v>
      </c>
      <c r="L152" s="38">
        <f t="shared" si="326"/>
        <v>0.68531017316263421</v>
      </c>
      <c r="M152" s="38">
        <f t="shared" si="327"/>
        <v>0.65713751702226919</v>
      </c>
      <c r="N152" s="210" t="str">
        <f t="shared" si="328"/>
        <v>Bus vehicle km</v>
      </c>
      <c r="O152" s="198">
        <f t="shared" ref="O152:R152" si="340">O137*O$129/O142</f>
        <v>0.6407849258947157</v>
      </c>
      <c r="P152" s="198">
        <f t="shared" si="340"/>
        <v>0.65561461783585018</v>
      </c>
      <c r="Q152" s="198">
        <f t="shared" si="340"/>
        <v>0.6666265611015576</v>
      </c>
      <c r="R152" s="198">
        <f t="shared" si="340"/>
        <v>0.67369816503155333</v>
      </c>
      <c r="S152" s="250">
        <f t="shared" ref="S152:W153" si="341">S137*S$129/S142</f>
        <v>0.71283674117553131</v>
      </c>
      <c r="T152" s="250">
        <f t="shared" si="341"/>
        <v>0.72295666448485008</v>
      </c>
      <c r="U152" s="250">
        <f t="shared" ref="U152:V152" si="342">U137*U$129/U142</f>
        <v>0.69966542118267516</v>
      </c>
      <c r="V152" s="250">
        <f t="shared" si="342"/>
        <v>0.68531017316263421</v>
      </c>
      <c r="W152" s="250">
        <f t="shared" si="341"/>
        <v>0.65713751702226919</v>
      </c>
      <c r="X152" s="198"/>
      <c r="Y152" s="198">
        <f t="shared" si="332"/>
        <v>0.6407849258947157</v>
      </c>
      <c r="Z152" s="198">
        <f t="shared" si="332"/>
        <v>0.65561461783585018</v>
      </c>
      <c r="AA152" s="198">
        <f t="shared" si="332"/>
        <v>0.6666265611015576</v>
      </c>
      <c r="AB152" s="198">
        <f t="shared" si="332"/>
        <v>0.67369816503155333</v>
      </c>
      <c r="AC152" s="250">
        <f t="shared" ref="AC152:AG152" si="343">AC137*AC$129/AC142</f>
        <v>0.73108305602021262</v>
      </c>
      <c r="AD152" s="250">
        <f t="shared" si="343"/>
        <v>0.75963628820258744</v>
      </c>
      <c r="AE152" s="250">
        <f t="shared" si="343"/>
        <v>0.74275655767983195</v>
      </c>
      <c r="AF152" s="250">
        <f t="shared" si="343"/>
        <v>0.73183199561931966</v>
      </c>
      <c r="AG152" s="250">
        <f t="shared" si="343"/>
        <v>0.72948211681307451</v>
      </c>
      <c r="AH152" s="198"/>
      <c r="AI152" s="198"/>
      <c r="AJ152" s="198"/>
      <c r="AL152" s="209"/>
      <c r="AM152" s="198"/>
      <c r="AN152" s="198"/>
      <c r="AO152" s="198"/>
      <c r="AP152" s="198"/>
      <c r="AQ152" s="198"/>
      <c r="AR152" s="198"/>
      <c r="AS152" s="198"/>
      <c r="AT152" s="198"/>
      <c r="AU152" s="198"/>
      <c r="AV152" s="198"/>
      <c r="AW152" s="198"/>
      <c r="AX152" s="198"/>
      <c r="AY152" s="198"/>
    </row>
    <row r="153" spans="1:51">
      <c r="A153" t="s">
        <v>16</v>
      </c>
      <c r="B153" t="s">
        <v>118</v>
      </c>
      <c r="C153" t="s">
        <v>77</v>
      </c>
      <c r="D153" t="s">
        <v>75</v>
      </c>
      <c r="E153" s="264">
        <f>SUMIF('BY-DMD'!$H$5:$H$138,B153,'BY-DMD'!$I$5:$I$138)</f>
        <v>7.2130505455454896</v>
      </c>
      <c r="F153" s="264">
        <f t="shared" si="324"/>
        <v>7.3560605036075861</v>
      </c>
      <c r="G153" s="38">
        <f t="shared" si="324"/>
        <v>7.4796155902715018</v>
      </c>
      <c r="H153" s="38">
        <f t="shared" si="324"/>
        <v>7.5589596819854874</v>
      </c>
      <c r="I153" s="38">
        <f t="shared" si="324"/>
        <v>7.9980983563038182</v>
      </c>
      <c r="J153" s="38">
        <f t="shared" si="324"/>
        <v>8.1116448913108439</v>
      </c>
      <c r="K153" s="38">
        <f t="shared" si="325"/>
        <v>7.8503148503477531</v>
      </c>
      <c r="L153" s="38">
        <f t="shared" si="326"/>
        <v>7.6892475554660615</v>
      </c>
      <c r="M153" s="38">
        <f t="shared" si="327"/>
        <v>7.37314758228373</v>
      </c>
      <c r="N153" s="210" t="str">
        <f t="shared" si="328"/>
        <v>Minibus vehicle km</v>
      </c>
      <c r="O153" s="198">
        <f t="shared" ref="O153:R153" si="344">O138*O$129/O143</f>
        <v>7.1896699012611327</v>
      </c>
      <c r="P153" s="198">
        <f t="shared" si="344"/>
        <v>7.3560605036075861</v>
      </c>
      <c r="Q153" s="198">
        <f t="shared" si="344"/>
        <v>7.4796155902715018</v>
      </c>
      <c r="R153" s="198">
        <f t="shared" si="344"/>
        <v>7.5589596819854874</v>
      </c>
      <c r="S153" s="250">
        <f t="shared" si="341"/>
        <v>7.9980983563038182</v>
      </c>
      <c r="T153" s="250">
        <f t="shared" si="341"/>
        <v>8.1116448913108439</v>
      </c>
      <c r="U153" s="250">
        <f t="shared" ref="U153:V153" si="345">U138*U$129/U143</f>
        <v>7.8503148503477531</v>
      </c>
      <c r="V153" s="250">
        <f t="shared" si="345"/>
        <v>7.6892475554660615</v>
      </c>
      <c r="W153" s="250">
        <f t="shared" si="341"/>
        <v>7.37314758228373</v>
      </c>
      <c r="X153" s="198"/>
      <c r="Y153" s="198">
        <f t="shared" si="332"/>
        <v>7.1896699012611327</v>
      </c>
      <c r="Z153" s="198">
        <f t="shared" si="332"/>
        <v>7.3560605036075861</v>
      </c>
      <c r="AA153" s="198">
        <f t="shared" si="332"/>
        <v>7.4796155902715018</v>
      </c>
      <c r="AB153" s="198">
        <f t="shared" si="332"/>
        <v>7.5589596819854874</v>
      </c>
      <c r="AC153" s="250">
        <f t="shared" ref="AC153:AG153" si="346">AC138*AC$129/AC143</f>
        <v>7.9392710588378765</v>
      </c>
      <c r="AD153" s="250">
        <f t="shared" si="346"/>
        <v>8.03706401502067</v>
      </c>
      <c r="AE153" s="250">
        <f t="shared" si="346"/>
        <v>7.8584739754522799</v>
      </c>
      <c r="AF153" s="250">
        <f t="shared" si="346"/>
        <v>7.7428904969113139</v>
      </c>
      <c r="AG153" s="250">
        <f t="shared" si="346"/>
        <v>7.7180284324119723</v>
      </c>
      <c r="AH153" s="198"/>
      <c r="AI153" s="198"/>
      <c r="AJ153" s="198"/>
      <c r="AL153" s="198"/>
      <c r="AM153" s="198"/>
      <c r="AN153" s="198"/>
      <c r="AO153" s="198"/>
      <c r="AP153" s="198"/>
      <c r="AQ153" s="198"/>
      <c r="AR153" s="198"/>
      <c r="AS153" s="198"/>
      <c r="AT153" s="198"/>
      <c r="AU153" s="198"/>
      <c r="AV153" s="198"/>
      <c r="AW153" s="198"/>
      <c r="AX153" s="198"/>
      <c r="AY153" s="198"/>
    </row>
    <row r="154" spans="1:51">
      <c r="A154" t="s">
        <v>16</v>
      </c>
      <c r="B154" t="s">
        <v>119</v>
      </c>
      <c r="C154" t="s">
        <v>78</v>
      </c>
      <c r="D154" t="s">
        <v>75</v>
      </c>
      <c r="E154" s="264">
        <f>SUMIF('BY-DMD'!$H$5:$H$138,B154,'BY-DMD'!$I$5:$I$138)</f>
        <v>7.2799982901224303E-2</v>
      </c>
      <c r="F154" s="38">
        <f t="shared" si="324"/>
        <v>0.1113095478662298</v>
      </c>
      <c r="G154" s="38">
        <f t="shared" si="324"/>
        <v>0.11091277099762989</v>
      </c>
      <c r="H154" s="38">
        <f t="shared" si="324"/>
        <v>0.11324882528963676</v>
      </c>
      <c r="I154" s="38">
        <f t="shared" si="324"/>
        <v>0.12334856036474222</v>
      </c>
      <c r="J154" s="38">
        <f t="shared" si="324"/>
        <v>0.13308287833344792</v>
      </c>
      <c r="K154" s="38">
        <f t="shared" si="325"/>
        <v>0.14046420066248355</v>
      </c>
      <c r="L154" s="38">
        <f t="shared" si="326"/>
        <v>0.14463708863242258</v>
      </c>
      <c r="M154" s="38">
        <f t="shared" si="327"/>
        <v>0.14633958167928779</v>
      </c>
      <c r="N154" s="210" t="str">
        <f t="shared" si="328"/>
        <v>BRT vehicle km</v>
      </c>
      <c r="O154" s="295">
        <f t="shared" ref="O154:R154" si="347">O$127/O144</f>
        <v>7.2799982901224289E-2</v>
      </c>
      <c r="P154" s="198">
        <f t="shared" si="347"/>
        <v>0.1113095478662298</v>
      </c>
      <c r="Q154" s="198">
        <f t="shared" si="347"/>
        <v>0.11091277099762989</v>
      </c>
      <c r="R154" s="198">
        <f t="shared" si="347"/>
        <v>0.11324882528963676</v>
      </c>
      <c r="S154" s="250">
        <f>S$127/S144</f>
        <v>0.12334856036474222</v>
      </c>
      <c r="T154" s="250">
        <f>T$127/T144</f>
        <v>0.13308287833344792</v>
      </c>
      <c r="U154" s="250">
        <f>U$127/U144</f>
        <v>0.14046420066248355</v>
      </c>
      <c r="V154" s="250">
        <f>V$127/V144</f>
        <v>0.14463708863242258</v>
      </c>
      <c r="W154" s="250">
        <f>W$127/W144</f>
        <v>0.14633958167928779</v>
      </c>
      <c r="X154" s="198"/>
      <c r="Y154" s="198">
        <f t="shared" si="332"/>
        <v>7.2799982901224289E-2</v>
      </c>
      <c r="Z154" s="198">
        <f t="shared" si="332"/>
        <v>0.1113095478662298</v>
      </c>
      <c r="AA154" s="198">
        <f t="shared" si="332"/>
        <v>0.11091277099762989</v>
      </c>
      <c r="AB154" s="198">
        <f t="shared" si="332"/>
        <v>0.11324882528963676</v>
      </c>
      <c r="AC154" s="250">
        <f>AC$127/AC144</f>
        <v>0.10843199027412222</v>
      </c>
      <c r="AD154" s="250">
        <f>AD$127/AD144</f>
        <v>0.11698913490707746</v>
      </c>
      <c r="AE154" s="250">
        <f>AE$127/AE144</f>
        <v>0.12347783221027621</v>
      </c>
      <c r="AF154" s="250">
        <f>AF$127/AF144</f>
        <v>0.12714609186757148</v>
      </c>
      <c r="AG154" s="250">
        <f>AG$127/AG144</f>
        <v>0.12864270203435063</v>
      </c>
      <c r="AH154" s="198"/>
      <c r="AI154" s="198"/>
      <c r="AJ154" s="198"/>
      <c r="AL154" s="198"/>
      <c r="AM154" s="198"/>
      <c r="AN154" s="198"/>
      <c r="AO154" s="198"/>
      <c r="AP154" s="198"/>
      <c r="AQ154" s="198"/>
      <c r="AR154" s="198"/>
      <c r="AS154" s="198"/>
      <c r="AT154" s="198"/>
      <c r="AU154" s="198"/>
      <c r="AV154" s="198"/>
      <c r="AW154" s="198"/>
      <c r="AX154" s="198"/>
      <c r="AY154" s="198"/>
    </row>
    <row r="155" spans="1:51">
      <c r="A155" t="s">
        <v>16</v>
      </c>
      <c r="B155" t="s">
        <v>120</v>
      </c>
      <c r="C155" t="s">
        <v>79</v>
      </c>
      <c r="D155" t="str">
        <f>D154</f>
        <v>billion</v>
      </c>
      <c r="E155" s="264">
        <f>SUMIF('BY-DMD'!$H$5:$H$138,B155,'BY-DMD'!$I$5:$I$138)</f>
        <v>8.7048317578401608</v>
      </c>
      <c r="F155" s="38">
        <f t="shared" si="324"/>
        <v>8.8749083635056305</v>
      </c>
      <c r="G155" s="38">
        <f t="shared" si="324"/>
        <v>9.0239745751619225</v>
      </c>
      <c r="H155" s="38">
        <f t="shared" si="324"/>
        <v>9.1197012950280598</v>
      </c>
      <c r="I155" s="38">
        <f t="shared" si="324"/>
        <v>9.6495114415779959</v>
      </c>
      <c r="J155" s="38">
        <f t="shared" si="324"/>
        <v>9.7865025787072693</v>
      </c>
      <c r="K155" s="38">
        <f t="shared" si="325"/>
        <v>9.4712142304070923</v>
      </c>
      <c r="L155" s="38">
        <f t="shared" si="326"/>
        <v>9.2768904504800904</v>
      </c>
      <c r="M155" s="38">
        <f t="shared" si="327"/>
        <v>8.8955235089868872</v>
      </c>
      <c r="N155" s="210" t="str">
        <f t="shared" si="328"/>
        <v>Metro Rail pkm</v>
      </c>
      <c r="O155" s="198">
        <f t="shared" ref="O155:R155" si="348">O139*O$129</f>
        <v>8.6741621423932465</v>
      </c>
      <c r="P155" s="198">
        <f t="shared" si="348"/>
        <v>8.8749083635056305</v>
      </c>
      <c r="Q155" s="198">
        <f t="shared" si="348"/>
        <v>9.0239745751619225</v>
      </c>
      <c r="R155" s="198">
        <f t="shared" si="348"/>
        <v>9.1197012950280598</v>
      </c>
      <c r="S155" s="250">
        <f>S139*S$129</f>
        <v>9.6495114415779959</v>
      </c>
      <c r="T155" s="250">
        <f>T139*T$129</f>
        <v>9.7865025787072693</v>
      </c>
      <c r="U155" s="250">
        <f>U139*U$129</f>
        <v>9.4712142304070923</v>
      </c>
      <c r="V155" s="250">
        <f>V139*V$129</f>
        <v>9.2768904504800904</v>
      </c>
      <c r="W155" s="250">
        <f>W139*W$129</f>
        <v>8.8955235089868872</v>
      </c>
      <c r="X155" s="198"/>
      <c r="Y155" s="198">
        <f t="shared" si="332"/>
        <v>8.6741621423932465</v>
      </c>
      <c r="Z155" s="198">
        <f t="shared" si="332"/>
        <v>8.8749083635056305</v>
      </c>
      <c r="AA155" s="198">
        <f t="shared" si="332"/>
        <v>9.0239745751619225</v>
      </c>
      <c r="AB155" s="198">
        <f t="shared" si="332"/>
        <v>9.1197012950280598</v>
      </c>
      <c r="AC155" s="250">
        <f>AC139*AC$129</f>
        <v>13.586246150610366</v>
      </c>
      <c r="AD155" s="250">
        <f>AD139*AD$129</f>
        <v>17.088844511599678</v>
      </c>
      <c r="AE155" s="250">
        <f>AE139*AE$129</f>
        <v>16.709116614471966</v>
      </c>
      <c r="AF155" s="250">
        <f>AF139*AF$129</f>
        <v>16.46335670896357</v>
      </c>
      <c r="AG155" s="250">
        <f>AG139*AG$129</f>
        <v>16.410493629402108</v>
      </c>
      <c r="AH155" s="198"/>
      <c r="AI155" s="198"/>
      <c r="AJ155" s="198"/>
      <c r="AL155" s="198"/>
      <c r="AM155" s="198"/>
      <c r="AN155" s="198"/>
      <c r="AO155" s="198"/>
      <c r="AP155" s="198"/>
      <c r="AQ155" s="198"/>
      <c r="AR155" s="198"/>
      <c r="AS155" s="198"/>
      <c r="AT155" s="198"/>
      <c r="AU155" s="198"/>
      <c r="AV155" s="198"/>
      <c r="AW155" s="198"/>
      <c r="AX155" s="198"/>
      <c r="AY155" s="198"/>
    </row>
    <row r="156" spans="1:51">
      <c r="A156" t="s">
        <v>16</v>
      </c>
      <c r="B156" t="s">
        <v>121</v>
      </c>
      <c r="C156" t="s">
        <v>80</v>
      </c>
      <c r="D156" t="s">
        <v>75</v>
      </c>
      <c r="E156" s="264">
        <f>SUMIF('BY-DMD'!$H$5:$H$138,B156,'BY-DMD'!$I$5:$I$138)</f>
        <v>0.64854136839212595</v>
      </c>
      <c r="F156" s="38">
        <f t="shared" si="324"/>
        <v>0.6995709084876961</v>
      </c>
      <c r="G156" s="38">
        <f t="shared" si="324"/>
        <v>0.64248252977129328</v>
      </c>
      <c r="H156" s="38">
        <f t="shared" si="324"/>
        <v>0.68522387738371804</v>
      </c>
      <c r="I156" s="38">
        <f t="shared" si="324"/>
        <v>0.81566069118119378</v>
      </c>
      <c r="J156" s="38">
        <f t="shared" si="324"/>
        <v>1.0013836629689683</v>
      </c>
      <c r="K156" s="38">
        <f t="shared" si="325"/>
        <v>1.1699568078493543</v>
      </c>
      <c r="L156" s="38">
        <f t="shared" si="326"/>
        <v>1.3180866292979314</v>
      </c>
      <c r="M156" s="38">
        <f t="shared" si="327"/>
        <v>1.447944780185249</v>
      </c>
      <c r="N156" s="210" t="str">
        <f t="shared" si="328"/>
        <v>Gautrain pkm</v>
      </c>
      <c r="O156" s="194">
        <f t="shared" ref="O156:R156" si="349">O128</f>
        <v>0.64854136839212595</v>
      </c>
      <c r="P156" s="198">
        <f t="shared" si="349"/>
        <v>0.6995709084876961</v>
      </c>
      <c r="Q156" s="198">
        <f t="shared" si="349"/>
        <v>0.64248252977129328</v>
      </c>
      <c r="R156" s="198">
        <f t="shared" si="349"/>
        <v>0.68522387738371804</v>
      </c>
      <c r="S156" s="250">
        <f>S128</f>
        <v>0.81566069118119378</v>
      </c>
      <c r="T156" s="250">
        <f>T128</f>
        <v>1.0013836629689683</v>
      </c>
      <c r="U156" s="250">
        <f>U128</f>
        <v>1.1699568078493543</v>
      </c>
      <c r="V156" s="250">
        <f>V128</f>
        <v>1.3180866292979314</v>
      </c>
      <c r="W156" s="250">
        <f>W128</f>
        <v>1.447944780185249</v>
      </c>
      <c r="X156" s="198"/>
      <c r="Y156" s="198">
        <f t="shared" si="332"/>
        <v>0.64854136839212595</v>
      </c>
      <c r="Z156" s="198">
        <f t="shared" si="332"/>
        <v>0.6995709084876961</v>
      </c>
      <c r="AA156" s="198">
        <f t="shared" si="332"/>
        <v>0.64248252977129328</v>
      </c>
      <c r="AB156" s="198">
        <f t="shared" si="332"/>
        <v>0.68522387738371804</v>
      </c>
      <c r="AC156" s="250">
        <f>AC128</f>
        <v>1.4819498780717364</v>
      </c>
      <c r="AD156" s="250">
        <f>AD128</f>
        <v>2.5138635661777662</v>
      </c>
      <c r="AE156" s="250">
        <f>AE128</f>
        <v>4.3095625394226769</v>
      </c>
      <c r="AF156" s="250">
        <f>AF128</f>
        <v>5.623397503663158</v>
      </c>
      <c r="AG156" s="250">
        <f>AG128</f>
        <v>6.6634521251781704</v>
      </c>
      <c r="AH156" s="198"/>
      <c r="AI156" s="198"/>
      <c r="AJ156" s="198"/>
      <c r="AL156" s="198"/>
      <c r="AM156" s="198"/>
      <c r="AN156" s="198"/>
      <c r="AO156" s="198"/>
      <c r="AP156" s="198"/>
      <c r="AQ156" s="198"/>
      <c r="AR156" s="198"/>
      <c r="AS156" s="198"/>
      <c r="AT156" s="198"/>
      <c r="AU156" s="198"/>
      <c r="AV156" s="198"/>
      <c r="AW156" s="198"/>
      <c r="AX156" s="198"/>
      <c r="AY156" s="198"/>
    </row>
    <row r="157" spans="1:51" ht="15.75" thickBot="1">
      <c r="A157" t="s">
        <v>16</v>
      </c>
      <c r="J157"/>
      <c r="N157" s="31"/>
      <c r="AK157" t="s">
        <v>606</v>
      </c>
    </row>
    <row r="158" spans="1:51" ht="15.75" thickTop="1">
      <c r="A158" t="s">
        <v>16</v>
      </c>
      <c r="J158"/>
      <c r="N158" s="318" t="s">
        <v>784</v>
      </c>
      <c r="O158" s="309"/>
      <c r="P158" s="309"/>
      <c r="Q158" s="309"/>
      <c r="R158" s="309"/>
      <c r="S158" s="309"/>
      <c r="T158" s="309"/>
      <c r="U158" s="309"/>
      <c r="V158" s="309"/>
      <c r="W158" s="309"/>
      <c r="X158" s="309"/>
      <c r="Y158" s="309"/>
      <c r="Z158" s="309"/>
      <c r="AA158" s="309"/>
      <c r="AB158" s="309"/>
      <c r="AC158" s="309"/>
      <c r="AD158" s="309"/>
      <c r="AE158" s="309"/>
      <c r="AF158" s="309"/>
      <c r="AG158" s="310"/>
      <c r="AK158" t="s">
        <v>596</v>
      </c>
      <c r="AQ158" t="s">
        <v>601</v>
      </c>
      <c r="AU158" t="s">
        <v>602</v>
      </c>
    </row>
    <row r="159" spans="1:51" ht="15.75" thickBot="1">
      <c r="A159" t="s">
        <v>16</v>
      </c>
      <c r="J159"/>
      <c r="N159" s="311"/>
      <c r="O159" t="s">
        <v>32</v>
      </c>
      <c r="Q159" s="334" t="s">
        <v>786</v>
      </c>
      <c r="S159" s="6"/>
      <c r="Y159" t="s">
        <v>185</v>
      </c>
      <c r="AB159" s="6"/>
      <c r="AG159" s="312"/>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50">E4</f>
        <v>2017</v>
      </c>
      <c r="F160" s="4">
        <f t="shared" si="350"/>
        <v>2019</v>
      </c>
      <c r="G160" s="4">
        <f t="shared" si="350"/>
        <v>2020</v>
      </c>
      <c r="H160" s="4">
        <f t="shared" si="350"/>
        <v>2021</v>
      </c>
      <c r="I160" s="4">
        <f t="shared" si="350"/>
        <v>2030</v>
      </c>
      <c r="J160" s="4">
        <f t="shared" si="350"/>
        <v>2040</v>
      </c>
      <c r="K160" s="4">
        <f t="shared" ref="K160:L160" si="351">K4</f>
        <v>2050</v>
      </c>
      <c r="L160" s="4">
        <f t="shared" si="351"/>
        <v>2060</v>
      </c>
      <c r="M160" s="4">
        <f t="shared" si="350"/>
        <v>2070</v>
      </c>
      <c r="N160" s="311"/>
      <c r="O160" s="313">
        <f t="shared" ref="O160:W160" si="352">O$12</f>
        <v>2017</v>
      </c>
      <c r="P160" s="313">
        <f t="shared" si="352"/>
        <v>2019</v>
      </c>
      <c r="Q160" s="313">
        <f t="shared" si="352"/>
        <v>2020</v>
      </c>
      <c r="R160" s="313">
        <f t="shared" si="352"/>
        <v>2021</v>
      </c>
      <c r="S160" s="313">
        <f t="shared" si="352"/>
        <v>2030</v>
      </c>
      <c r="T160" s="313">
        <f t="shared" si="352"/>
        <v>2040</v>
      </c>
      <c r="U160" s="313">
        <f t="shared" si="352"/>
        <v>2050</v>
      </c>
      <c r="V160" s="313">
        <f t="shared" si="352"/>
        <v>2060</v>
      </c>
      <c r="W160" s="313">
        <f t="shared" si="352"/>
        <v>2070</v>
      </c>
      <c r="Y160" s="313">
        <f t="shared" ref="Y160:AG160" si="353">Y$12</f>
        <v>2017</v>
      </c>
      <c r="Z160" s="313">
        <f t="shared" si="353"/>
        <v>2019</v>
      </c>
      <c r="AA160" s="313">
        <f t="shared" si="353"/>
        <v>2020</v>
      </c>
      <c r="AB160" s="313">
        <f t="shared" si="353"/>
        <v>2021</v>
      </c>
      <c r="AC160" s="313">
        <f t="shared" si="353"/>
        <v>2030</v>
      </c>
      <c r="AD160" s="313">
        <f t="shared" si="353"/>
        <v>2040</v>
      </c>
      <c r="AE160" s="313">
        <f t="shared" si="353"/>
        <v>2050</v>
      </c>
      <c r="AF160" s="313">
        <f t="shared" si="353"/>
        <v>2060</v>
      </c>
      <c r="AG160" s="314">
        <f t="shared" si="353"/>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54">IF($D$4,Y161,O161)</f>
        <v>113.03311091083582</v>
      </c>
      <c r="F161" s="38">
        <f t="shared" si="354"/>
        <v>118.46307900397879</v>
      </c>
      <c r="G161" s="38">
        <f t="shared" si="354"/>
        <v>109.6316893111631</v>
      </c>
      <c r="H161" s="38">
        <f t="shared" si="354"/>
        <v>116.21592076775832</v>
      </c>
      <c r="I161" s="38">
        <f t="shared" si="354"/>
        <v>138.93636920708354</v>
      </c>
      <c r="J161" s="38">
        <f t="shared" si="354"/>
        <v>179.35920080351164</v>
      </c>
      <c r="K161" s="38">
        <f t="shared" ref="K161:K168" si="355">IF($D$4,AD161,T161)</f>
        <v>179.35920080351164</v>
      </c>
      <c r="L161" s="38">
        <f t="shared" ref="L161:L168" si="356">IF($D$4,AD161,T161)</f>
        <v>179.35920080351164</v>
      </c>
      <c r="M161" s="307">
        <f t="shared" ref="M161:M168" si="357">IF($D$4,AG161,W161)</f>
        <v>282.01731492258176</v>
      </c>
      <c r="N161" s="311" t="str">
        <f t="shared" ref="N161:N168" si="358">C161</f>
        <v>Car</v>
      </c>
      <c r="O161" s="6">
        <f t="shared" ref="O161:R161" si="359">SUMPRODUCT(O$35:O$38,O$41:O$44,O$54:O$57)*O132</f>
        <v>113.03311091083582</v>
      </c>
      <c r="P161" s="6">
        <f t="shared" si="359"/>
        <v>118.46307900397879</v>
      </c>
      <c r="Q161" s="6">
        <f t="shared" si="359"/>
        <v>109.6316893111631</v>
      </c>
      <c r="R161" s="6">
        <f t="shared" si="359"/>
        <v>116.21592076775832</v>
      </c>
      <c r="S161" s="340">
        <f t="shared" ref="S161:W163" si="360">SUMPRODUCT(S$35:S$38,S$41:S$44,S$54:S$57)*S132</f>
        <v>138.93636920708354</v>
      </c>
      <c r="T161" s="341">
        <f t="shared" si="360"/>
        <v>179.35920080351164</v>
      </c>
      <c r="U161" s="341">
        <f t="shared" ref="U161:V161" si="361">SUMPRODUCT(U$35:U$38,U$41:U$44,U$54:U$57)*U132</f>
        <v>230.71827362227481</v>
      </c>
      <c r="V161" s="341">
        <f t="shared" si="361"/>
        <v>258.03736688157136</v>
      </c>
      <c r="W161" s="342">
        <f t="shared" si="360"/>
        <v>282.01731492258176</v>
      </c>
      <c r="X161" s="348" t="s">
        <v>787</v>
      </c>
      <c r="Y161" s="6">
        <f t="shared" ref="Y161:AB168" si="362">O161</f>
        <v>113.03311091083582</v>
      </c>
      <c r="Z161" s="6">
        <f t="shared" si="362"/>
        <v>118.46307900397879</v>
      </c>
      <c r="AA161" s="6">
        <f t="shared" si="362"/>
        <v>109.6316893111631</v>
      </c>
      <c r="AB161" s="6">
        <f t="shared" si="362"/>
        <v>116.21592076775832</v>
      </c>
      <c r="AC161" s="340">
        <f t="shared" ref="AC161:AG161" si="363">SUMPRODUCT(AC$35:AC$38,AC$41:AC$44,AC$54:AC$57)*AC132</f>
        <v>126.1715547725331</v>
      </c>
      <c r="AD161" s="341">
        <f t="shared" si="363"/>
        <v>152.90342153812423</v>
      </c>
      <c r="AE161" s="341">
        <f t="shared" si="363"/>
        <v>195.56561759768886</v>
      </c>
      <c r="AF161" s="341">
        <f t="shared" si="363"/>
        <v>218.90515912975533</v>
      </c>
      <c r="AG161" s="342">
        <f t="shared" si="363"/>
        <v>225.77534424986897</v>
      </c>
      <c r="AK161" s="198">
        <v>0.8</v>
      </c>
      <c r="AL161" s="198">
        <f>AVERAGE(AK161,AN161)</f>
        <v>0.8</v>
      </c>
      <c r="AM161" s="198">
        <v>0.8</v>
      </c>
      <c r="AN161" s="198">
        <v>0.8</v>
      </c>
      <c r="AO161" s="198">
        <v>0.8</v>
      </c>
      <c r="AP161" s="209"/>
      <c r="AQ161" s="198">
        <f>AVERAGE(1,1,AS161)</f>
        <v>0.93333333333333324</v>
      </c>
      <c r="AR161" s="198">
        <f>AVERAGE(AQ161,AS161)</f>
        <v>0.8666666666666667</v>
      </c>
      <c r="AS161" s="198">
        <v>0.8</v>
      </c>
      <c r="AU161" s="198">
        <v>0.8</v>
      </c>
      <c r="AV161" s="198">
        <f>AVERAGE(AW161,AU161)</f>
        <v>0.75</v>
      </c>
      <c r="AW161" s="198">
        <v>0.7</v>
      </c>
    </row>
    <row r="162" spans="1:50">
      <c r="A162" t="s">
        <v>16</v>
      </c>
      <c r="B162" t="s">
        <v>115</v>
      </c>
      <c r="C162" t="s">
        <v>87</v>
      </c>
      <c r="D162" t="s">
        <v>75</v>
      </c>
      <c r="E162" s="38">
        <f t="shared" si="354"/>
        <v>24.019536068552615</v>
      </c>
      <c r="F162" s="38">
        <f t="shared" si="354"/>
        <v>25.173404288345498</v>
      </c>
      <c r="G162" s="38">
        <f t="shared" si="354"/>
        <v>23.296733978622161</v>
      </c>
      <c r="H162" s="38">
        <f t="shared" si="354"/>
        <v>24.695883163148647</v>
      </c>
      <c r="I162" s="38">
        <f t="shared" si="354"/>
        <v>29.523978456505255</v>
      </c>
      <c r="J162" s="38">
        <f t="shared" si="354"/>
        <v>38.113830170746233</v>
      </c>
      <c r="K162" s="38">
        <f t="shared" si="355"/>
        <v>38.113830170746233</v>
      </c>
      <c r="L162" s="38">
        <f t="shared" si="356"/>
        <v>38.113830170746233</v>
      </c>
      <c r="M162" s="307">
        <f t="shared" si="357"/>
        <v>59.928679421048628</v>
      </c>
      <c r="N162" s="311" t="str">
        <f t="shared" si="358"/>
        <v>SUV</v>
      </c>
      <c r="O162" s="6">
        <f t="shared" ref="O162:R162" si="364">SUMPRODUCT(O$35:O$38,O$41:O$44,O$54:O$57)*O133</f>
        <v>24.019536068552615</v>
      </c>
      <c r="P162" s="6">
        <f t="shared" si="364"/>
        <v>25.173404288345498</v>
      </c>
      <c r="Q162" s="6">
        <f t="shared" si="364"/>
        <v>23.296733978622161</v>
      </c>
      <c r="R162" s="6">
        <f t="shared" si="364"/>
        <v>24.695883163148647</v>
      </c>
      <c r="S162" s="343">
        <f t="shared" si="360"/>
        <v>29.523978456505255</v>
      </c>
      <c r="T162" s="315">
        <f t="shared" si="360"/>
        <v>38.113830170746233</v>
      </c>
      <c r="U162" s="315">
        <f>SUMPRODUCT(U$35:U$38,U$41:U$44,U$54:U$57)*U133</f>
        <v>49.0276331447334</v>
      </c>
      <c r="V162" s="315">
        <f>SUMPRODUCT(V$35:V$38,V$41:V$44,V$54:V$57)*V133</f>
        <v>54.832940462333923</v>
      </c>
      <c r="W162" s="344">
        <f>SUMPRODUCT(W$35:W$38,W$41:W$44,W$54:W$57)*W133</f>
        <v>59.928679421048628</v>
      </c>
      <c r="Y162" s="6">
        <f t="shared" si="362"/>
        <v>24.019536068552615</v>
      </c>
      <c r="Z162" s="6">
        <f t="shared" si="362"/>
        <v>25.173404288345498</v>
      </c>
      <c r="AA162" s="6">
        <f t="shared" si="362"/>
        <v>23.296733978622161</v>
      </c>
      <c r="AB162" s="6">
        <f t="shared" si="362"/>
        <v>24.695883163148647</v>
      </c>
      <c r="AC162" s="343">
        <f t="shared" ref="AC162:AD162" si="365">SUMPRODUCT(AC$35:AC$38,AC$41:AC$44,AC$54:AC$57)*AC133</f>
        <v>26.811455389163289</v>
      </c>
      <c r="AD162" s="315">
        <f t="shared" si="365"/>
        <v>32.491977076851406</v>
      </c>
      <c r="AE162" s="315">
        <f>SUMPRODUCT(AE$35:AE$38,AE$41:AE$44,AE$54:AE$57)*AE133</f>
        <v>41.557693739508892</v>
      </c>
      <c r="AF162" s="315">
        <f>SUMPRODUCT(AF$35:AF$38,AF$41:AF$44,AF$54:AF$57)*AF133</f>
        <v>46.517346315073013</v>
      </c>
      <c r="AG162" s="344">
        <f>SUMPRODUCT(AG$35:AG$38,AG$41:AG$44,AG$54:AG$57)*AG133</f>
        <v>47.977260653097161</v>
      </c>
      <c r="AK162" s="198">
        <f>AK161</f>
        <v>0.8</v>
      </c>
      <c r="AL162" s="198">
        <f t="shared" ref="AL162:AN162" si="366">AL161</f>
        <v>0.8</v>
      </c>
      <c r="AM162" s="198">
        <f t="shared" ref="AM162" si="367">AM161</f>
        <v>0.8</v>
      </c>
      <c r="AN162" s="198">
        <f t="shared" si="366"/>
        <v>0.8</v>
      </c>
      <c r="AO162" s="198">
        <f t="shared" ref="AO162" si="368">AO161</f>
        <v>0.8</v>
      </c>
      <c r="AP162" s="209"/>
      <c r="AQ162" s="198">
        <f>AQ161</f>
        <v>0.93333333333333324</v>
      </c>
      <c r="AR162" s="198">
        <f t="shared" ref="AR162:AS162" si="369">AR161</f>
        <v>0.8666666666666667</v>
      </c>
      <c r="AS162" s="198">
        <f t="shared" si="369"/>
        <v>0.8</v>
      </c>
      <c r="AU162" s="198">
        <f>AU161</f>
        <v>0.8</v>
      </c>
      <c r="AV162" s="198">
        <f t="shared" ref="AV162:AW162" si="370">AV161</f>
        <v>0.75</v>
      </c>
      <c r="AW162" s="198">
        <f t="shared" si="370"/>
        <v>0.7</v>
      </c>
    </row>
    <row r="163" spans="1:50" ht="15.75" thickBot="1">
      <c r="A163" t="s">
        <v>16</v>
      </c>
      <c r="B163" t="s">
        <v>171</v>
      </c>
      <c r="C163" t="s">
        <v>198</v>
      </c>
      <c r="D163" t="s">
        <v>75</v>
      </c>
      <c r="E163" s="38">
        <f t="shared" si="354"/>
        <v>4.2387416591563438</v>
      </c>
      <c r="F163" s="38">
        <f t="shared" si="354"/>
        <v>4.4423654626492048</v>
      </c>
      <c r="G163" s="38">
        <f t="shared" si="354"/>
        <v>4.1111883491686161</v>
      </c>
      <c r="H163" s="38">
        <f t="shared" si="354"/>
        <v>4.3580970287909366</v>
      </c>
      <c r="I163" s="38">
        <f t="shared" si="354"/>
        <v>5.2101138452656324</v>
      </c>
      <c r="J163" s="38">
        <f t="shared" si="354"/>
        <v>6.7259700301316867</v>
      </c>
      <c r="K163" s="38">
        <f t="shared" si="355"/>
        <v>6.7259700301316867</v>
      </c>
      <c r="L163" s="38">
        <f t="shared" si="356"/>
        <v>6.7259700301316867</v>
      </c>
      <c r="M163" s="307">
        <f t="shared" si="357"/>
        <v>10.575649309596816</v>
      </c>
      <c r="N163" s="311" t="str">
        <f t="shared" si="358"/>
        <v>Motorbike</v>
      </c>
      <c r="O163" s="6">
        <f t="shared" ref="O163:R163" si="371">SUMPRODUCT(O$35:O$38,O$41:O$44,O$54:O$57)*O134</f>
        <v>4.2387416591563438</v>
      </c>
      <c r="P163" s="6">
        <f t="shared" si="371"/>
        <v>4.4423654626492048</v>
      </c>
      <c r="Q163" s="6">
        <f t="shared" si="371"/>
        <v>4.1111883491686161</v>
      </c>
      <c r="R163" s="6">
        <f t="shared" si="371"/>
        <v>4.3580970287909366</v>
      </c>
      <c r="S163" s="345">
        <f t="shared" si="360"/>
        <v>5.2101138452656324</v>
      </c>
      <c r="T163" s="346">
        <f t="shared" si="360"/>
        <v>6.7259700301316867</v>
      </c>
      <c r="U163" s="346">
        <f t="shared" ref="U163:V163" si="372">SUMPRODUCT(U$35:U$38,U$41:U$44,U$54:U$57)*U134</f>
        <v>8.6519352608353053</v>
      </c>
      <c r="V163" s="346">
        <f t="shared" si="372"/>
        <v>9.6764012580589256</v>
      </c>
      <c r="W163" s="347">
        <f t="shared" si="360"/>
        <v>10.575649309596816</v>
      </c>
      <c r="Y163" s="6">
        <f t="shared" si="362"/>
        <v>4.2387416591563438</v>
      </c>
      <c r="Z163" s="6">
        <f t="shared" si="362"/>
        <v>4.4423654626492048</v>
      </c>
      <c r="AA163" s="6">
        <f t="shared" si="362"/>
        <v>4.1111883491686161</v>
      </c>
      <c r="AB163" s="6">
        <f t="shared" si="362"/>
        <v>4.3580970287909366</v>
      </c>
      <c r="AC163" s="345">
        <f t="shared" ref="AC163:AG163" si="373">SUMPRODUCT(AC$35:AC$38,AC$41:AC$44,AC$54:AC$57)*AC134</f>
        <v>4.7314333039699914</v>
      </c>
      <c r="AD163" s="346">
        <f t="shared" si="373"/>
        <v>5.7338783076796593</v>
      </c>
      <c r="AE163" s="346">
        <f t="shared" si="373"/>
        <v>7.3337106599133328</v>
      </c>
      <c r="AF163" s="346">
        <f t="shared" si="373"/>
        <v>8.2089434673658257</v>
      </c>
      <c r="AG163" s="347">
        <f t="shared" si="373"/>
        <v>8.4665754093700869</v>
      </c>
      <c r="AK163" s="209">
        <v>1</v>
      </c>
      <c r="AL163" s="209">
        <v>1</v>
      </c>
      <c r="AM163" s="209">
        <v>1</v>
      </c>
      <c r="AN163" s="209">
        <v>1</v>
      </c>
      <c r="AO163" s="209">
        <v>1</v>
      </c>
      <c r="AP163" s="209"/>
      <c r="AQ163" s="209">
        <v>1</v>
      </c>
      <c r="AR163" s="209">
        <v>1</v>
      </c>
      <c r="AS163" s="209">
        <v>1</v>
      </c>
      <c r="AT163" s="209"/>
      <c r="AU163" s="209">
        <v>1</v>
      </c>
      <c r="AV163" s="209">
        <v>1</v>
      </c>
      <c r="AW163" s="209">
        <v>1</v>
      </c>
    </row>
    <row r="164" spans="1:50">
      <c r="A164" t="s">
        <v>16</v>
      </c>
      <c r="B164" t="s">
        <v>117</v>
      </c>
      <c r="C164" t="s">
        <v>53</v>
      </c>
      <c r="D164" t="s">
        <v>75</v>
      </c>
      <c r="E164" s="38">
        <f t="shared" si="354"/>
        <v>16.019623147367891</v>
      </c>
      <c r="F164" s="38">
        <f t="shared" si="354"/>
        <v>16.390365445896254</v>
      </c>
      <c r="G164" s="38">
        <f t="shared" si="354"/>
        <v>16.665664027538941</v>
      </c>
      <c r="H164" s="38">
        <f t="shared" si="354"/>
        <v>16.842454125788834</v>
      </c>
      <c r="I164" s="38">
        <f t="shared" si="354"/>
        <v>17.820918529388283</v>
      </c>
      <c r="J164" s="38">
        <f t="shared" si="354"/>
        <v>18.073916612121252</v>
      </c>
      <c r="K164" s="38">
        <f t="shared" si="355"/>
        <v>18.073916612121252</v>
      </c>
      <c r="L164" s="38">
        <f t="shared" si="356"/>
        <v>18.073916612121252</v>
      </c>
      <c r="M164" s="307">
        <f t="shared" si="357"/>
        <v>16.428437925556729</v>
      </c>
      <c r="N164" s="311" t="str">
        <f t="shared" si="358"/>
        <v>Bus</v>
      </c>
      <c r="O164" s="6">
        <f t="shared" ref="O164:R164" si="374">O152*O142</f>
        <v>16.019623147367891</v>
      </c>
      <c r="P164" s="6">
        <f t="shared" si="374"/>
        <v>16.390365445896254</v>
      </c>
      <c r="Q164" s="6">
        <f t="shared" si="374"/>
        <v>16.665664027538941</v>
      </c>
      <c r="R164" s="6">
        <f t="shared" si="374"/>
        <v>16.842454125788834</v>
      </c>
      <c r="S164" s="254">
        <f>S152*S142</f>
        <v>17.820918529388283</v>
      </c>
      <c r="T164" s="254">
        <f t="shared" ref="S164:W166" si="375">T152*T142</f>
        <v>18.073916612121252</v>
      </c>
      <c r="U164" s="254">
        <f t="shared" ref="U164:V164" si="376">U152*U142</f>
        <v>17.491635529566878</v>
      </c>
      <c r="V164" s="254">
        <f t="shared" si="376"/>
        <v>17.132754329065854</v>
      </c>
      <c r="W164" s="254">
        <f t="shared" si="375"/>
        <v>16.428437925556729</v>
      </c>
      <c r="X164" s="253" t="s">
        <v>788</v>
      </c>
      <c r="Y164" s="6">
        <f t="shared" si="362"/>
        <v>16.019623147367891</v>
      </c>
      <c r="Z164" s="6">
        <f t="shared" si="362"/>
        <v>16.390365445896254</v>
      </c>
      <c r="AA164" s="6">
        <f t="shared" si="362"/>
        <v>16.665664027538941</v>
      </c>
      <c r="AB164" s="6">
        <f t="shared" si="362"/>
        <v>16.842454125788834</v>
      </c>
      <c r="AC164" s="254">
        <f>AC152*AC142</f>
        <v>18.277076400505315</v>
      </c>
      <c r="AD164" s="254">
        <f t="shared" ref="AD164:AG164" si="377">AD152*AD142</f>
        <v>18.990907205064687</v>
      </c>
      <c r="AE164" s="254">
        <f t="shared" si="377"/>
        <v>18.568913941995799</v>
      </c>
      <c r="AF164" s="254">
        <f t="shared" si="377"/>
        <v>18.295799890482993</v>
      </c>
      <c r="AG164" s="254">
        <f t="shared" si="377"/>
        <v>18.237052920326864</v>
      </c>
      <c r="AK164" s="6">
        <f t="shared" ref="AK164:AL168" si="378">SUM(S$161:S$162)*(1-AK$161) *AK175</f>
        <v>4.188714240034269</v>
      </c>
      <c r="AL164" s="6">
        <f t="shared" si="378"/>
        <v>5.4073993927900306</v>
      </c>
      <c r="AM164" s="6">
        <f t="shared" ref="AM164:AO168" si="379">SUM(V$161:V$162)*(1-AM$161) *AM175</f>
        <v>7.7794230501791395</v>
      </c>
      <c r="AN164" s="6">
        <f t="shared" si="379"/>
        <v>8.5023809798264125</v>
      </c>
      <c r="AO164" s="6">
        <f t="shared" si="379"/>
        <v>0</v>
      </c>
      <c r="AP164" s="6"/>
      <c r="AQ164" s="6">
        <f t="shared" ref="AQ164:AR168" si="380">SUM(S$161:S$162)*(1-AQ$161) *AQ175</f>
        <v>1.3962380800114254</v>
      </c>
      <c r="AR164" s="6">
        <f t="shared" si="380"/>
        <v>3.6049329285266873</v>
      </c>
      <c r="AS164" s="6">
        <f>SUM(W$161:W$162)*(1-AS$161) *AS175</f>
        <v>8.5023809798264125</v>
      </c>
      <c r="AT164" s="6"/>
      <c r="AU164" s="6">
        <f t="shared" ref="AU164:AV168" si="381">SUM(S$161:S$162)*(1-AU$161) *AU175</f>
        <v>4.188714240034269</v>
      </c>
      <c r="AV164" s="6">
        <f t="shared" si="381"/>
        <v>6.7592492409875407</v>
      </c>
      <c r="AW164" s="6">
        <f>SUM(W$161:W$162)*(1-AW$161) *AW175</f>
        <v>12.753571469739622</v>
      </c>
    </row>
    <row r="165" spans="1:50">
      <c r="A165" t="s">
        <v>16</v>
      </c>
      <c r="B165" t="s">
        <v>118</v>
      </c>
      <c r="C165" t="s">
        <v>52</v>
      </c>
      <c r="D165" t="s">
        <v>75</v>
      </c>
      <c r="E165" s="38">
        <f t="shared" si="354"/>
        <v>100.65537861765586</v>
      </c>
      <c r="F165" s="38">
        <f t="shared" si="354"/>
        <v>102.9848470505062</v>
      </c>
      <c r="G165" s="38">
        <f t="shared" si="354"/>
        <v>104.71461826380103</v>
      </c>
      <c r="H165" s="38">
        <f t="shared" si="354"/>
        <v>105.82543554779683</v>
      </c>
      <c r="I165" s="38">
        <f t="shared" si="354"/>
        <v>111.97337698825345</v>
      </c>
      <c r="J165" s="38">
        <f t="shared" si="354"/>
        <v>113.56302847835181</v>
      </c>
      <c r="K165" s="38">
        <f t="shared" si="355"/>
        <v>113.56302847835181</v>
      </c>
      <c r="L165" s="38">
        <f t="shared" si="356"/>
        <v>113.56302847835181</v>
      </c>
      <c r="M165" s="307">
        <f t="shared" si="357"/>
        <v>103.22406615197222</v>
      </c>
      <c r="N165" s="311" t="str">
        <f t="shared" si="358"/>
        <v>Minibus</v>
      </c>
      <c r="O165" s="6">
        <f t="shared" ref="O165:R165" si="382">O153*O143</f>
        <v>100.65537861765586</v>
      </c>
      <c r="P165" s="6">
        <f t="shared" si="382"/>
        <v>102.9848470505062</v>
      </c>
      <c r="Q165" s="6">
        <f t="shared" si="382"/>
        <v>104.71461826380103</v>
      </c>
      <c r="R165" s="6">
        <f t="shared" si="382"/>
        <v>105.82543554779683</v>
      </c>
      <c r="S165" s="254">
        <f t="shared" si="375"/>
        <v>111.97337698825345</v>
      </c>
      <c r="T165" s="254">
        <f t="shared" si="375"/>
        <v>113.56302847835181</v>
      </c>
      <c r="U165" s="254">
        <f t="shared" ref="U165:V165" si="383">U153*U143</f>
        <v>109.90440790486855</v>
      </c>
      <c r="V165" s="254">
        <f t="shared" si="383"/>
        <v>107.64946577652486</v>
      </c>
      <c r="W165" s="254">
        <f t="shared" si="375"/>
        <v>103.22406615197222</v>
      </c>
      <c r="X165" s="334" t="s">
        <v>790</v>
      </c>
      <c r="Y165" s="6">
        <f t="shared" si="362"/>
        <v>100.65537861765586</v>
      </c>
      <c r="Z165" s="6">
        <f t="shared" si="362"/>
        <v>102.9848470505062</v>
      </c>
      <c r="AA165" s="6">
        <f t="shared" si="362"/>
        <v>104.71461826380103</v>
      </c>
      <c r="AB165" s="6">
        <f t="shared" si="362"/>
        <v>105.82543554779683</v>
      </c>
      <c r="AC165" s="254">
        <f t="shared" ref="AC165:AG165" si="384">AC153*AC143</f>
        <v>111.14979482373028</v>
      </c>
      <c r="AD165" s="254">
        <f t="shared" si="384"/>
        <v>112.51889621028938</v>
      </c>
      <c r="AE165" s="254">
        <f t="shared" si="384"/>
        <v>110.01863565633192</v>
      </c>
      <c r="AF165" s="254">
        <f t="shared" si="384"/>
        <v>108.40046695675839</v>
      </c>
      <c r="AG165" s="254">
        <f t="shared" si="384"/>
        <v>108.05239805376762</v>
      </c>
      <c r="AK165" s="6">
        <f t="shared" si="378"/>
        <v>26.318760052797476</v>
      </c>
      <c r="AL165" s="6">
        <f t="shared" si="378"/>
        <v>33.976069737170533</v>
      </c>
      <c r="AM165" s="6">
        <f t="shared" si="379"/>
        <v>48.880099446743728</v>
      </c>
      <c r="AN165" s="6">
        <f t="shared" si="379"/>
        <v>53.422628535216028</v>
      </c>
      <c r="AO165" s="6">
        <f t="shared" si="379"/>
        <v>0</v>
      </c>
      <c r="AP165" s="6"/>
      <c r="AQ165" s="6">
        <f t="shared" si="380"/>
        <v>8.7729200175991746</v>
      </c>
      <c r="AR165" s="6">
        <f t="shared" si="380"/>
        <v>22.650713158113692</v>
      </c>
      <c r="AS165" s="6">
        <f>SUM(W$161:W$162)*(1-AS$161) *AS176</f>
        <v>53.422628535216028</v>
      </c>
      <c r="AT165" s="6"/>
      <c r="AU165" s="6">
        <f t="shared" si="381"/>
        <v>26.318760052797476</v>
      </c>
      <c r="AV165" s="6">
        <f t="shared" si="381"/>
        <v>42.470087171463177</v>
      </c>
      <c r="AW165" s="6">
        <f>SUM(W$161:W$162)*(1-AW$161) *AW176</f>
        <v>80.133942802824066</v>
      </c>
    </row>
    <row r="166" spans="1:50">
      <c r="A166" t="s">
        <v>16</v>
      </c>
      <c r="B166" t="s">
        <v>119</v>
      </c>
      <c r="C166" t="s">
        <v>54</v>
      </c>
      <c r="D166" t="s">
        <v>75</v>
      </c>
      <c r="E166" s="38">
        <f t="shared" si="354"/>
        <v>1.8199995725306073</v>
      </c>
      <c r="F166" s="38">
        <f t="shared" si="354"/>
        <v>2.7827386966557452</v>
      </c>
      <c r="G166" s="38">
        <f t="shared" si="354"/>
        <v>2.7728192749407472</v>
      </c>
      <c r="H166" s="38">
        <f t="shared" si="354"/>
        <v>2.8312206322409188</v>
      </c>
      <c r="I166" s="38">
        <f t="shared" si="354"/>
        <v>3.0837140091185553</v>
      </c>
      <c r="J166" s="38">
        <f t="shared" si="354"/>
        <v>3.3270719583361981</v>
      </c>
      <c r="K166" s="38">
        <f t="shared" si="355"/>
        <v>3.3270719583361981</v>
      </c>
      <c r="L166" s="38">
        <f t="shared" si="356"/>
        <v>3.3270719583361981</v>
      </c>
      <c r="M166" s="307">
        <f t="shared" si="357"/>
        <v>3.6584895419821946</v>
      </c>
      <c r="N166" s="311" t="str">
        <f t="shared" si="358"/>
        <v>BRT</v>
      </c>
      <c r="O166" s="6">
        <f t="shared" ref="O166:R166" si="385">O154*O144</f>
        <v>1.8199995725306073</v>
      </c>
      <c r="P166" s="6">
        <f t="shared" si="385"/>
        <v>2.7827386966557452</v>
      </c>
      <c r="Q166" s="6">
        <f t="shared" si="385"/>
        <v>2.7728192749407472</v>
      </c>
      <c r="R166" s="6">
        <f t="shared" si="385"/>
        <v>2.8312206322409188</v>
      </c>
      <c r="S166" s="254">
        <f t="shared" si="375"/>
        <v>3.0837140091185553</v>
      </c>
      <c r="T166" s="254">
        <f t="shared" si="375"/>
        <v>3.3270719583361981</v>
      </c>
      <c r="U166" s="254">
        <f t="shared" ref="U166:V166" si="386">U154*U144</f>
        <v>3.5116050165620889</v>
      </c>
      <c r="V166" s="254">
        <f t="shared" si="386"/>
        <v>3.6159272158105646</v>
      </c>
      <c r="W166" s="254">
        <f t="shared" si="375"/>
        <v>3.6584895419821946</v>
      </c>
      <c r="Y166" s="6">
        <f t="shared" si="362"/>
        <v>1.8199995725306073</v>
      </c>
      <c r="Z166" s="6">
        <f t="shared" si="362"/>
        <v>2.7827386966557452</v>
      </c>
      <c r="AA166" s="6">
        <f t="shared" si="362"/>
        <v>2.7728192749407472</v>
      </c>
      <c r="AB166" s="6">
        <f t="shared" si="362"/>
        <v>2.8312206322409188</v>
      </c>
      <c r="AC166" s="254">
        <f t="shared" ref="AC166:AG166" si="387">AC154*AC144</f>
        <v>2.7107997568530555</v>
      </c>
      <c r="AD166" s="254">
        <f t="shared" si="387"/>
        <v>2.9247283726769364</v>
      </c>
      <c r="AE166" s="254">
        <f t="shared" si="387"/>
        <v>3.0869458052569052</v>
      </c>
      <c r="AF166" s="254">
        <f t="shared" si="387"/>
        <v>3.1786522966892869</v>
      </c>
      <c r="AG166" s="254">
        <f t="shared" si="387"/>
        <v>3.2160675508587659</v>
      </c>
      <c r="AK166" s="6">
        <f t="shared" si="378"/>
        <v>0.72481094399747747</v>
      </c>
      <c r="AL166" s="6">
        <f t="shared" si="378"/>
        <v>0.93569101014335687</v>
      </c>
      <c r="AM166" s="6">
        <f t="shared" si="379"/>
        <v>1.3461436234690354</v>
      </c>
      <c r="AN166" s="6">
        <f t="shared" si="379"/>
        <v>1.4712435442155543</v>
      </c>
      <c r="AO166" s="6">
        <f t="shared" si="379"/>
        <v>0</v>
      </c>
      <c r="AP166" s="6"/>
      <c r="AQ166" s="6">
        <f t="shared" si="380"/>
        <v>0.24160364799915957</v>
      </c>
      <c r="AR166" s="6">
        <f t="shared" si="380"/>
        <v>0.62379400676223795</v>
      </c>
      <c r="AS166" s="6">
        <f>SUM(W$161:W$162)*(1-AS$161) *AS177</f>
        <v>1.4712435442155543</v>
      </c>
      <c r="AT166" s="6"/>
      <c r="AU166" s="6">
        <f t="shared" si="381"/>
        <v>0.72481094399747747</v>
      </c>
      <c r="AV166" s="6">
        <f t="shared" si="381"/>
        <v>1.1696137626791965</v>
      </c>
      <c r="AW166" s="6">
        <f>SUM(W$161:W$162)*(1-AW$161) *AW177</f>
        <v>2.2068653163233316</v>
      </c>
    </row>
    <row r="167" spans="1:50">
      <c r="A167" t="s">
        <v>16</v>
      </c>
      <c r="B167" t="s">
        <v>120</v>
      </c>
      <c r="C167" t="s">
        <v>74</v>
      </c>
      <c r="D167" t="str">
        <f>D166</f>
        <v>billion</v>
      </c>
      <c r="E167" s="38">
        <f t="shared" si="354"/>
        <v>8.6741621423932465</v>
      </c>
      <c r="F167" s="38">
        <f t="shared" si="354"/>
        <v>8.8749083635056305</v>
      </c>
      <c r="G167" s="38">
        <f t="shared" si="354"/>
        <v>9.0239745751619225</v>
      </c>
      <c r="H167" s="38">
        <f t="shared" si="354"/>
        <v>9.1197012950280598</v>
      </c>
      <c r="I167" s="38">
        <f t="shared" si="354"/>
        <v>9.6495114415779959</v>
      </c>
      <c r="J167" s="38">
        <f t="shared" si="354"/>
        <v>9.7865025787072693</v>
      </c>
      <c r="K167" s="38">
        <f t="shared" si="355"/>
        <v>9.7865025787072693</v>
      </c>
      <c r="L167" s="38">
        <f t="shared" si="356"/>
        <v>9.7865025787072693</v>
      </c>
      <c r="M167" s="307">
        <f t="shared" si="357"/>
        <v>8.8955235089868872</v>
      </c>
      <c r="N167" s="311" t="str">
        <f t="shared" si="358"/>
        <v>Metro Rail</v>
      </c>
      <c r="O167" s="6">
        <f t="shared" ref="O167:R167" si="388">O155</f>
        <v>8.6741621423932465</v>
      </c>
      <c r="P167" s="6">
        <f t="shared" si="388"/>
        <v>8.8749083635056305</v>
      </c>
      <c r="Q167" s="6">
        <f t="shared" si="388"/>
        <v>9.0239745751619225</v>
      </c>
      <c r="R167" s="6">
        <f t="shared" si="388"/>
        <v>9.1197012950280598</v>
      </c>
      <c r="S167" s="338">
        <f t="shared" ref="S167:W168" si="389">S155</f>
        <v>9.6495114415779959</v>
      </c>
      <c r="T167" s="338">
        <f t="shared" si="389"/>
        <v>9.7865025787072693</v>
      </c>
      <c r="U167" s="338">
        <f t="shared" ref="U167:V167" si="390">U155</f>
        <v>9.4712142304070923</v>
      </c>
      <c r="V167" s="338">
        <f t="shared" si="390"/>
        <v>9.2768904504800904</v>
      </c>
      <c r="W167" s="338">
        <f t="shared" si="389"/>
        <v>8.8955235089868872</v>
      </c>
      <c r="X167" s="281" t="s">
        <v>789</v>
      </c>
      <c r="Y167" s="6">
        <f t="shared" si="362"/>
        <v>8.6741621423932465</v>
      </c>
      <c r="Z167" s="6">
        <f t="shared" si="362"/>
        <v>8.8749083635056305</v>
      </c>
      <c r="AA167" s="6">
        <f t="shared" si="362"/>
        <v>9.0239745751619225</v>
      </c>
      <c r="AB167" s="6">
        <f t="shared" si="362"/>
        <v>9.1197012950280598</v>
      </c>
      <c r="AC167" s="338">
        <f t="shared" ref="AC167:AG167" si="391">AC155</f>
        <v>13.586246150610366</v>
      </c>
      <c r="AD167" s="338">
        <f t="shared" si="391"/>
        <v>17.088844511599678</v>
      </c>
      <c r="AE167" s="338">
        <f t="shared" si="391"/>
        <v>16.709116614471966</v>
      </c>
      <c r="AF167" s="338">
        <f t="shared" si="391"/>
        <v>16.46335670896357</v>
      </c>
      <c r="AG167" s="338">
        <f t="shared" si="391"/>
        <v>16.410493629402108</v>
      </c>
      <c r="AK167" s="6">
        <f t="shared" si="378"/>
        <v>2.268067491473952</v>
      </c>
      <c r="AL167" s="6">
        <f t="shared" si="378"/>
        <v>2.9279502189442077</v>
      </c>
      <c r="AM167" s="6">
        <f t="shared" si="379"/>
        <v>4.2123323558090444</v>
      </c>
      <c r="AN167" s="6">
        <f t="shared" si="379"/>
        <v>4.6037931440061595</v>
      </c>
      <c r="AO167" s="6">
        <f t="shared" si="379"/>
        <v>0</v>
      </c>
      <c r="AP167" s="6"/>
      <c r="AQ167" s="6">
        <f t="shared" si="380"/>
        <v>0.75602249715798542</v>
      </c>
      <c r="AR167" s="6">
        <f t="shared" si="380"/>
        <v>1.9519668126294718</v>
      </c>
      <c r="AS167" s="6">
        <f>SUM(W$161:W$162)*(1-AS$161) *AS178</f>
        <v>4.6037931440061595</v>
      </c>
      <c r="AT167" s="6"/>
      <c r="AU167" s="6">
        <f t="shared" si="381"/>
        <v>2.268067491473952</v>
      </c>
      <c r="AV167" s="6">
        <f t="shared" si="381"/>
        <v>3.6599377736802605</v>
      </c>
      <c r="AW167" s="6">
        <f>SUM(W$161:W$162)*(1-AW$161) *AW178</f>
        <v>6.9056897160092401</v>
      </c>
    </row>
    <row r="168" spans="1:50" ht="15.75" thickBot="1">
      <c r="A168" t="s">
        <v>16</v>
      </c>
      <c r="B168" t="s">
        <v>121</v>
      </c>
      <c r="C168" t="s">
        <v>71</v>
      </c>
      <c r="D168" t="s">
        <v>75</v>
      </c>
      <c r="E168" s="38">
        <f t="shared" si="354"/>
        <v>0.64854136839212595</v>
      </c>
      <c r="F168" s="38">
        <f t="shared" si="354"/>
        <v>0.6995709084876961</v>
      </c>
      <c r="G168" s="38">
        <f t="shared" si="354"/>
        <v>0.64248252977129328</v>
      </c>
      <c r="H168" s="38">
        <f t="shared" si="354"/>
        <v>0.68522387738371804</v>
      </c>
      <c r="I168" s="38">
        <f t="shared" si="354"/>
        <v>0.81566069118119378</v>
      </c>
      <c r="J168" s="38">
        <f t="shared" si="354"/>
        <v>1.0013836629689683</v>
      </c>
      <c r="K168" s="38">
        <f t="shared" si="355"/>
        <v>1.0013836629689683</v>
      </c>
      <c r="L168" s="38">
        <f t="shared" si="356"/>
        <v>1.0013836629689683</v>
      </c>
      <c r="M168" s="307">
        <f t="shared" si="357"/>
        <v>1.447944780185249</v>
      </c>
      <c r="N168" s="316" t="str">
        <f t="shared" si="358"/>
        <v>Gautrain</v>
      </c>
      <c r="O168" s="317">
        <f t="shared" ref="O168:R168" si="392">O156</f>
        <v>0.64854136839212595</v>
      </c>
      <c r="P168" s="317">
        <f t="shared" si="392"/>
        <v>0.6995709084876961</v>
      </c>
      <c r="Q168" s="317">
        <f t="shared" si="392"/>
        <v>0.64248252977129328</v>
      </c>
      <c r="R168" s="317">
        <f t="shared" si="392"/>
        <v>0.68522387738371804</v>
      </c>
      <c r="S168" s="339">
        <f t="shared" si="389"/>
        <v>0.81566069118119378</v>
      </c>
      <c r="T168" s="339">
        <f t="shared" si="389"/>
        <v>1.0013836629689683</v>
      </c>
      <c r="U168" s="339">
        <f t="shared" ref="U168:V168" si="393">U156</f>
        <v>1.1699568078493543</v>
      </c>
      <c r="V168" s="339">
        <f t="shared" si="393"/>
        <v>1.3180866292979314</v>
      </c>
      <c r="W168" s="339">
        <f t="shared" si="389"/>
        <v>1.447944780185249</v>
      </c>
      <c r="X168" s="349" t="s">
        <v>791</v>
      </c>
      <c r="Y168" s="317">
        <f t="shared" si="362"/>
        <v>0.64854136839212595</v>
      </c>
      <c r="Z168" s="317">
        <f t="shared" si="362"/>
        <v>0.6995709084876961</v>
      </c>
      <c r="AA168" s="317">
        <f t="shared" si="362"/>
        <v>0.64248252977129328</v>
      </c>
      <c r="AB168" s="317">
        <f t="shared" si="362"/>
        <v>0.68522387738371804</v>
      </c>
      <c r="AC168" s="339">
        <f t="shared" ref="AC168:AG168" si="394">AC156</f>
        <v>1.4819498780717364</v>
      </c>
      <c r="AD168" s="339">
        <f t="shared" si="394"/>
        <v>2.5138635661777662</v>
      </c>
      <c r="AE168" s="339">
        <f t="shared" si="394"/>
        <v>4.3095625394226769</v>
      </c>
      <c r="AF168" s="339">
        <f t="shared" si="394"/>
        <v>5.623397503663158</v>
      </c>
      <c r="AG168" s="339">
        <f t="shared" si="394"/>
        <v>6.6634521251781704</v>
      </c>
      <c r="AK168" s="6">
        <f t="shared" si="378"/>
        <v>0.19171680441457792</v>
      </c>
      <c r="AL168" s="6">
        <f t="shared" si="378"/>
        <v>0.24749583580343554</v>
      </c>
      <c r="AM168" s="6">
        <f t="shared" si="379"/>
        <v>0.35606299258009333</v>
      </c>
      <c r="AN168" s="6">
        <f t="shared" si="379"/>
        <v>0.38915266546191318</v>
      </c>
      <c r="AO168" s="6">
        <f t="shared" si="379"/>
        <v>0</v>
      </c>
      <c r="AP168" s="6"/>
      <c r="AQ168" s="6">
        <f t="shared" si="380"/>
        <v>6.3905601471526075E-2</v>
      </c>
      <c r="AR168" s="6">
        <f t="shared" si="380"/>
        <v>0.16499722386895704</v>
      </c>
      <c r="AS168" s="6">
        <f>SUM(W$161:W$162)*(1-AS$161) *AS179</f>
        <v>0.38915266546191318</v>
      </c>
      <c r="AT168" s="6"/>
      <c r="AU168" s="6">
        <f t="shared" si="381"/>
        <v>0.19171680441457792</v>
      </c>
      <c r="AV168" s="6">
        <f t="shared" si="381"/>
        <v>0.30936979475429449</v>
      </c>
      <c r="AW168" s="6">
        <f>SUM(W$161:W$162)*(1-AW$161) *AW179</f>
        <v>0.58372899819286983</v>
      </c>
    </row>
    <row r="169" spans="1:50" ht="15.75" thickTop="1">
      <c r="A169" t="s">
        <v>16</v>
      </c>
      <c r="C169" s="2" t="s">
        <v>5</v>
      </c>
      <c r="E169" s="6">
        <f t="shared" ref="E169:M169" si="395">SUM(E161:E168)</f>
        <v>269.10909348688449</v>
      </c>
      <c r="F169" s="6">
        <f t="shared" si="395"/>
        <v>279.81127922002509</v>
      </c>
      <c r="G169" s="6">
        <f t="shared" si="395"/>
        <v>270.85917031016783</v>
      </c>
      <c r="H169" s="6">
        <f t="shared" si="395"/>
        <v>280.5739364379362</v>
      </c>
      <c r="I169" s="6">
        <f t="shared" si="395"/>
        <v>317.01364316837396</v>
      </c>
      <c r="J169" s="6">
        <f t="shared" si="395"/>
        <v>369.95090429487504</v>
      </c>
      <c r="K169" s="6">
        <f t="shared" ref="K169:L169" si="396">SUM(K161:K168)</f>
        <v>369.95090429487504</v>
      </c>
      <c r="L169" s="6">
        <f t="shared" si="396"/>
        <v>369.95090429487504</v>
      </c>
      <c r="M169" s="6">
        <f t="shared" si="395"/>
        <v>486.17610556191056</v>
      </c>
      <c r="N169" s="30"/>
      <c r="O169" s="6">
        <f t="shared" ref="O169:R169" si="397">SUM(O161:O168)</f>
        <v>269.10909348688449</v>
      </c>
      <c r="P169" s="6">
        <f t="shared" si="397"/>
        <v>279.81127922002509</v>
      </c>
      <c r="Q169" s="6">
        <f t="shared" si="397"/>
        <v>270.85917031016783</v>
      </c>
      <c r="R169" s="6">
        <f t="shared" si="397"/>
        <v>280.5739364379362</v>
      </c>
      <c r="S169" s="6">
        <f>SUM(S161:S168)</f>
        <v>317.01364316837396</v>
      </c>
      <c r="T169" s="6">
        <f>SUM(T161:T168)</f>
        <v>369.95090429487504</v>
      </c>
      <c r="U169" s="6">
        <f>SUM(U161:U168)</f>
        <v>429.94666151709748</v>
      </c>
      <c r="V169" s="6">
        <f>SUM(V161:V168)</f>
        <v>461.53983300314354</v>
      </c>
      <c r="W169" s="6">
        <f>SUM(W161:W168)</f>
        <v>486.17610556191056</v>
      </c>
      <c r="Y169" s="6">
        <f t="shared" ref="Y169:AB169" si="398">SUM(Y161:Y168)</f>
        <v>269.10909348688449</v>
      </c>
      <c r="Z169" s="6">
        <f t="shared" si="398"/>
        <v>279.81127922002509</v>
      </c>
      <c r="AA169" s="6">
        <f t="shared" si="398"/>
        <v>270.85917031016783</v>
      </c>
      <c r="AB169" s="6">
        <f t="shared" si="398"/>
        <v>280.5739364379362</v>
      </c>
      <c r="AC169" s="6">
        <f>SUM(AC161:AC168)</f>
        <v>304.92031047543713</v>
      </c>
      <c r="AD169" s="6">
        <f>SUM(AD161:AD168)</f>
        <v>345.16651678846375</v>
      </c>
      <c r="AE169" s="6">
        <f>SUM(AE161:AE168)</f>
        <v>397.15019655459037</v>
      </c>
      <c r="AF169" s="6">
        <f>SUM(AF161:AF168)</f>
        <v>425.59312226875159</v>
      </c>
      <c r="AG169" s="6">
        <f>SUM(AG161:AG168)</f>
        <v>434.79864459186973</v>
      </c>
      <c r="AU169" t="s">
        <v>602</v>
      </c>
    </row>
    <row r="170" spans="1:50" ht="15.75" thickBot="1">
      <c r="A170" t="s">
        <v>16</v>
      </c>
      <c r="C170" t="s">
        <v>783</v>
      </c>
      <c r="J170"/>
      <c r="N170" s="31"/>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0.51775978483244489</v>
      </c>
      <c r="S170" s="107">
        <f t="shared" ref="S170" si="403">SUM(S161:S163)/S169</f>
        <v>0.54783276761566269</v>
      </c>
      <c r="T170" s="107">
        <f t="shared" ref="T170" si="404">SUM(T161:T163)/T169</f>
        <v>0.60602365990079676</v>
      </c>
      <c r="U170" s="107">
        <f>SUM(U161:U163)/U169</f>
        <v>0.67077586091774999</v>
      </c>
      <c r="V170" s="107">
        <f t="shared" ref="V170" si="405">SUM(V161:V163)/V169</f>
        <v>0.69884912533598664</v>
      </c>
      <c r="W170" s="107">
        <f t="shared" ref="W170" si="406">SUM(W161:W163)/W169</f>
        <v>0.72509043455722955</v>
      </c>
      <c r="Y170" s="107">
        <f t="shared" ref="Y170:AD170" si="407">SUM(Y161:Y163)/Y169</f>
        <v>0.52503386937918872</v>
      </c>
      <c r="Z170" s="107">
        <f t="shared" si="407"/>
        <v>0.52920972009328504</v>
      </c>
      <c r="AA170" s="107">
        <f t="shared" si="407"/>
        <v>0.50594414611115546</v>
      </c>
      <c r="AB170" s="107">
        <f t="shared" si="407"/>
        <v>0.51775978483244489</v>
      </c>
      <c r="AC170" s="107">
        <f t="shared" si="407"/>
        <v>0.51723167676090598</v>
      </c>
      <c r="AD170" s="107">
        <f t="shared" si="407"/>
        <v>0.55373064195502308</v>
      </c>
      <c r="AE170" s="107">
        <f>SUM(AE161:AE163)/AE169</f>
        <v>0.6155278887379555</v>
      </c>
      <c r="AF170" s="107">
        <f t="shared" ref="AF170" si="408">SUM(AF161:AF163)/AF169</f>
        <v>0.64294142596459214</v>
      </c>
      <c r="AG170" s="107">
        <f t="shared" ref="AG170" si="409">SUM(AG161:AG163)/AG169</f>
        <v>0.64908017497903081</v>
      </c>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410">F4</f>
        <v>2019</v>
      </c>
      <c r="G171" s="13">
        <f t="shared" si="410"/>
        <v>2020</v>
      </c>
      <c r="H171" s="13">
        <f t="shared" si="410"/>
        <v>2021</v>
      </c>
      <c r="I171" s="13">
        <v>2030</v>
      </c>
      <c r="J171" s="13">
        <v>2040</v>
      </c>
      <c r="K171" s="13">
        <v>2050</v>
      </c>
      <c r="L171" s="13">
        <v>2050</v>
      </c>
      <c r="M171" s="13">
        <v>2050</v>
      </c>
      <c r="N171" s="13"/>
      <c r="O171" s="244">
        <f t="shared" ref="O171:W171" si="411">O160</f>
        <v>2017</v>
      </c>
      <c r="P171" s="244">
        <f t="shared" si="411"/>
        <v>2019</v>
      </c>
      <c r="Q171" s="244">
        <f t="shared" si="411"/>
        <v>2020</v>
      </c>
      <c r="R171" s="244">
        <f t="shared" si="411"/>
        <v>2021</v>
      </c>
      <c r="S171" s="244">
        <f t="shared" si="411"/>
        <v>2030</v>
      </c>
      <c r="T171" s="244">
        <f t="shared" si="411"/>
        <v>2040</v>
      </c>
      <c r="U171" s="244">
        <f t="shared" ref="U171:V171" si="412">U160</f>
        <v>2050</v>
      </c>
      <c r="V171" s="244">
        <f t="shared" si="412"/>
        <v>2060</v>
      </c>
      <c r="W171" s="244">
        <f t="shared" si="411"/>
        <v>2070</v>
      </c>
      <c r="Y171" s="244">
        <f t="shared" ref="Y171:AG171" si="413">Y160</f>
        <v>2017</v>
      </c>
      <c r="Z171" s="244">
        <f t="shared" si="413"/>
        <v>2019</v>
      </c>
      <c r="AA171" s="244">
        <f t="shared" si="413"/>
        <v>2020</v>
      </c>
      <c r="AB171" s="244">
        <f t="shared" si="413"/>
        <v>2021</v>
      </c>
      <c r="AC171" s="244">
        <f t="shared" si="413"/>
        <v>2030</v>
      </c>
      <c r="AD171" s="244">
        <f t="shared" si="413"/>
        <v>2040</v>
      </c>
      <c r="AE171" s="244">
        <f t="shared" ref="AE171:AF171" si="414">AE160</f>
        <v>2050</v>
      </c>
      <c r="AF171" s="244">
        <f t="shared" si="414"/>
        <v>2060</v>
      </c>
      <c r="AG171" s="244">
        <f t="shared" si="413"/>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415">B161</f>
        <v>TPPRCAR</v>
      </c>
      <c r="C172" t="str">
        <f t="shared" si="415"/>
        <v>Car</v>
      </c>
      <c r="E172" s="203">
        <f t="shared" ref="E172:E179" si="416">E161/E$169</f>
        <v>0.42002709550335088</v>
      </c>
      <c r="F172" s="203">
        <f>F161/F$169</f>
        <v>0.423367776074628</v>
      </c>
      <c r="G172" s="203">
        <f t="shared" ref="G172:H172" si="417">G161/G$169</f>
        <v>0.4047553168889243</v>
      </c>
      <c r="H172" s="203">
        <f t="shared" si="417"/>
        <v>0.41420782786595589</v>
      </c>
      <c r="I172" s="203">
        <f t="shared" ref="I172:M179" si="418">I161/I$169</f>
        <v>0.43826621409253014</v>
      </c>
      <c r="J172" s="203">
        <f t="shared" si="418"/>
        <v>0.48481892792063735</v>
      </c>
      <c r="K172" s="203">
        <f t="shared" ref="K172:L172" si="419">K161/K$169</f>
        <v>0.48481892792063735</v>
      </c>
      <c r="L172" s="203">
        <f t="shared" si="419"/>
        <v>0.48481892792063735</v>
      </c>
      <c r="M172" s="203">
        <f t="shared" si="418"/>
        <v>0.58007234764578364</v>
      </c>
      <c r="N172" s="31" t="str">
        <f>C172</f>
        <v>Car</v>
      </c>
      <c r="O172" s="203">
        <f t="shared" ref="O172:R172" si="420">O161/O$169</f>
        <v>0.42002709550335088</v>
      </c>
      <c r="P172" s="203">
        <f t="shared" si="420"/>
        <v>0.423367776074628</v>
      </c>
      <c r="Q172" s="203">
        <f t="shared" si="420"/>
        <v>0.4047553168889243</v>
      </c>
      <c r="R172" s="203">
        <f t="shared" si="420"/>
        <v>0.41420782786595589</v>
      </c>
      <c r="S172" s="251">
        <f t="shared" ref="S172:W179" si="421">S161/S$169</f>
        <v>0.43826621409253014</v>
      </c>
      <c r="T172" s="251">
        <f t="shared" si="421"/>
        <v>0.48481892792063735</v>
      </c>
      <c r="U172" s="251">
        <f t="shared" ref="U172:V172" si="422">U161/U$169</f>
        <v>0.53662068873419999</v>
      </c>
      <c r="V172" s="251">
        <f t="shared" si="422"/>
        <v>0.55907930026878927</v>
      </c>
      <c r="W172" s="251">
        <f t="shared" si="421"/>
        <v>0.58007234764578364</v>
      </c>
      <c r="Y172" s="203">
        <f t="shared" ref="Y172:AB179" si="423">O172</f>
        <v>0.42002709550335088</v>
      </c>
      <c r="Z172" s="203">
        <f t="shared" si="423"/>
        <v>0.423367776074628</v>
      </c>
      <c r="AA172" s="203">
        <f t="shared" si="423"/>
        <v>0.4047553168889243</v>
      </c>
      <c r="AB172" s="203">
        <f t="shared" si="423"/>
        <v>0.41420782786595589</v>
      </c>
      <c r="AC172" s="203">
        <f t="shared" ref="AC172:AG179" si="424">AC161/AC$169</f>
        <v>0.41378534140872475</v>
      </c>
      <c r="AD172" s="203">
        <f t="shared" si="424"/>
        <v>0.44298451356401847</v>
      </c>
      <c r="AE172" s="203">
        <f t="shared" ref="AE172:AF172" si="425">AE161/AE$169</f>
        <v>0.49242231099036443</v>
      </c>
      <c r="AF172" s="203">
        <f t="shared" si="425"/>
        <v>0.51435314077167371</v>
      </c>
      <c r="AG172" s="203">
        <f t="shared" si="424"/>
        <v>0.51926413998322463</v>
      </c>
      <c r="AK172" s="164"/>
      <c r="AL172" s="164"/>
      <c r="AM172" s="164"/>
      <c r="AN172" s="164"/>
      <c r="AO172" s="164"/>
      <c r="AQ172" s="164"/>
      <c r="AR172" s="164"/>
      <c r="AS172" s="164"/>
      <c r="AU172" s="198"/>
      <c r="AV172" s="198"/>
      <c r="AW172" s="198"/>
    </row>
    <row r="173" spans="1:50">
      <c r="A173" t="s">
        <v>16</v>
      </c>
      <c r="B173" t="str">
        <f t="shared" si="415"/>
        <v>TPPRSUV</v>
      </c>
      <c r="C173" t="str">
        <f t="shared" si="415"/>
        <v>SUV</v>
      </c>
      <c r="E173" s="203">
        <f t="shared" si="416"/>
        <v>8.9255757794462084E-2</v>
      </c>
      <c r="F173" s="203">
        <f t="shared" ref="F173:H173" si="426">F162/F$169</f>
        <v>8.9965652415858466E-2</v>
      </c>
      <c r="G173" s="203">
        <f t="shared" si="426"/>
        <v>8.6010504838896426E-2</v>
      </c>
      <c r="H173" s="203">
        <f t="shared" si="426"/>
        <v>8.8019163421515639E-2</v>
      </c>
      <c r="I173" s="203">
        <f t="shared" si="418"/>
        <v>9.3131570494662669E-2</v>
      </c>
      <c r="J173" s="203">
        <f t="shared" si="418"/>
        <v>0.10302402218313547</v>
      </c>
      <c r="K173" s="203">
        <f t="shared" ref="K173:L173" si="427">K162/K$169</f>
        <v>0.10302402218313547</v>
      </c>
      <c r="L173" s="203">
        <f t="shared" si="427"/>
        <v>0.10302402218313547</v>
      </c>
      <c r="M173" s="203">
        <f t="shared" si="418"/>
        <v>0.12326537387472902</v>
      </c>
      <c r="N173" s="31"/>
      <c r="O173" s="203">
        <f t="shared" ref="O173:R173" si="428">O162/O$169</f>
        <v>8.9255757794462084E-2</v>
      </c>
      <c r="P173" s="203">
        <f t="shared" si="428"/>
        <v>8.9965652415858466E-2</v>
      </c>
      <c r="Q173" s="203">
        <f t="shared" si="428"/>
        <v>8.6010504838896426E-2</v>
      </c>
      <c r="R173" s="203">
        <f t="shared" si="428"/>
        <v>8.8019163421515639E-2</v>
      </c>
      <c r="S173" s="251">
        <f t="shared" si="421"/>
        <v>9.3131570494662669E-2</v>
      </c>
      <c r="T173" s="251">
        <f t="shared" si="421"/>
        <v>0.10302402218313547</v>
      </c>
      <c r="U173" s="251">
        <f t="shared" ref="U173:V173" si="429">U162/U$169</f>
        <v>0.1140318963560175</v>
      </c>
      <c r="V173" s="251">
        <f t="shared" si="429"/>
        <v>0.11880435130711775</v>
      </c>
      <c r="W173" s="251">
        <f t="shared" si="421"/>
        <v>0.12326537387472902</v>
      </c>
      <c r="Y173" s="203">
        <f t="shared" si="423"/>
        <v>8.9255757794462084E-2</v>
      </c>
      <c r="Z173" s="203">
        <f t="shared" si="423"/>
        <v>8.9965652415858466E-2</v>
      </c>
      <c r="AA173" s="203">
        <f t="shared" si="423"/>
        <v>8.6010504838896426E-2</v>
      </c>
      <c r="AB173" s="203">
        <f t="shared" si="423"/>
        <v>8.8019163421515639E-2</v>
      </c>
      <c r="AC173" s="251">
        <f t="shared" si="424"/>
        <v>8.792938504935402E-2</v>
      </c>
      <c r="AD173" s="251">
        <f t="shared" si="424"/>
        <v>9.4134209132353944E-2</v>
      </c>
      <c r="AE173" s="251">
        <f t="shared" ref="AE173:AF173" si="430">AE162/AE$169</f>
        <v>0.10463974108545247</v>
      </c>
      <c r="AF173" s="251">
        <f t="shared" si="430"/>
        <v>0.10930004241398068</v>
      </c>
      <c r="AG173" s="251">
        <f t="shared" si="424"/>
        <v>0.11034362974643525</v>
      </c>
      <c r="AK173" s="164"/>
      <c r="AL173" s="164"/>
      <c r="AM173" s="164"/>
      <c r="AN173" s="164"/>
      <c r="AO173" s="164"/>
      <c r="AQ173" s="164"/>
      <c r="AR173" s="164"/>
      <c r="AS173" s="164"/>
      <c r="AU173" s="198"/>
      <c r="AV173" s="198"/>
      <c r="AW173" s="198"/>
    </row>
    <row r="174" spans="1:50">
      <c r="A174" t="s">
        <v>16</v>
      </c>
      <c r="B174" t="str">
        <f t="shared" si="415"/>
        <v>TPPRMOT</v>
      </c>
      <c r="C174" t="str">
        <f t="shared" si="415"/>
        <v>Motorbike</v>
      </c>
      <c r="E174" s="203">
        <f t="shared" si="416"/>
        <v>1.5751016081375663E-2</v>
      </c>
      <c r="F174" s="203">
        <f t="shared" ref="F174:H174" si="431">F163/F$169</f>
        <v>1.5876291602798551E-2</v>
      </c>
      <c r="G174" s="203">
        <f t="shared" si="431"/>
        <v>1.5178324383334661E-2</v>
      </c>
      <c r="H174" s="203">
        <f t="shared" si="431"/>
        <v>1.5532793544973344E-2</v>
      </c>
      <c r="I174" s="203">
        <f t="shared" si="418"/>
        <v>1.6434983028469879E-2</v>
      </c>
      <c r="J174" s="203">
        <f t="shared" si="418"/>
        <v>1.8180709797023901E-2</v>
      </c>
      <c r="K174" s="203">
        <f t="shared" ref="K174:L174" si="432">K163/K$169</f>
        <v>1.8180709797023901E-2</v>
      </c>
      <c r="L174" s="203">
        <f t="shared" si="432"/>
        <v>1.8180709797023901E-2</v>
      </c>
      <c r="M174" s="203">
        <f t="shared" si="418"/>
        <v>2.1752713036716883E-2</v>
      </c>
      <c r="N174" s="31"/>
      <c r="O174" s="203">
        <f t="shared" ref="O174:R174" si="433">O163/O$169</f>
        <v>1.5751016081375663E-2</v>
      </c>
      <c r="P174" s="203">
        <f t="shared" si="433"/>
        <v>1.5876291602798551E-2</v>
      </c>
      <c r="Q174" s="203">
        <f t="shared" si="433"/>
        <v>1.5178324383334661E-2</v>
      </c>
      <c r="R174" s="203">
        <f t="shared" si="433"/>
        <v>1.5532793544973344E-2</v>
      </c>
      <c r="S174" s="251">
        <f t="shared" si="421"/>
        <v>1.6434983028469879E-2</v>
      </c>
      <c r="T174" s="251">
        <f t="shared" si="421"/>
        <v>1.8180709797023901E-2</v>
      </c>
      <c r="U174" s="251">
        <f t="shared" ref="U174:V174" si="434">U163/U$169</f>
        <v>2.01232758275325E-2</v>
      </c>
      <c r="V174" s="251">
        <f t="shared" si="434"/>
        <v>2.0965473760079598E-2</v>
      </c>
      <c r="W174" s="251">
        <f t="shared" si="421"/>
        <v>2.1752713036716883E-2</v>
      </c>
      <c r="Y174" s="203">
        <f t="shared" si="423"/>
        <v>1.5751016081375663E-2</v>
      </c>
      <c r="Z174" s="203">
        <f t="shared" si="423"/>
        <v>1.5876291602798551E-2</v>
      </c>
      <c r="AA174" s="203">
        <f t="shared" si="423"/>
        <v>1.5178324383334661E-2</v>
      </c>
      <c r="AB174" s="203">
        <f t="shared" si="423"/>
        <v>1.5532793544973344E-2</v>
      </c>
      <c r="AC174" s="251">
        <f t="shared" si="424"/>
        <v>1.5516950302827178E-2</v>
      </c>
      <c r="AD174" s="251">
        <f t="shared" si="424"/>
        <v>1.6611919258650694E-2</v>
      </c>
      <c r="AE174" s="251">
        <f t="shared" ref="AE174:AF174" si="435">AE163/AE$169</f>
        <v>1.8465836662138666E-2</v>
      </c>
      <c r="AF174" s="251">
        <f t="shared" si="435"/>
        <v>1.9288242778937766E-2</v>
      </c>
      <c r="AG174" s="251">
        <f t="shared" si="424"/>
        <v>1.9472405249370925E-2</v>
      </c>
      <c r="AK174" s="164"/>
      <c r="AL174" s="164"/>
      <c r="AM174" s="164"/>
      <c r="AN174" s="164"/>
      <c r="AO174" s="164"/>
      <c r="AQ174" s="164"/>
      <c r="AR174" s="164"/>
      <c r="AS174" s="164"/>
    </row>
    <row r="175" spans="1:50">
      <c r="A175" t="s">
        <v>16</v>
      </c>
      <c r="B175" t="str">
        <f t="shared" si="415"/>
        <v>TPPUBUS</v>
      </c>
      <c r="C175" t="str">
        <f t="shared" si="415"/>
        <v>Bus</v>
      </c>
      <c r="E175" s="203">
        <f t="shared" si="416"/>
        <v>5.9528360561136653E-2</v>
      </c>
      <c r="F175" s="203">
        <f t="shared" ref="F175:H175" si="436">F164/F$169</f>
        <v>5.8576500173918848E-2</v>
      </c>
      <c r="G175" s="203">
        <f t="shared" si="436"/>
        <v>6.1528889749070191E-2</v>
      </c>
      <c r="H175" s="203">
        <f t="shared" si="436"/>
        <v>6.0028576922056459E-2</v>
      </c>
      <c r="I175" s="203">
        <f t="shared" si="418"/>
        <v>5.6214989207651049E-2</v>
      </c>
      <c r="J175" s="203">
        <f t="shared" si="418"/>
        <v>4.8854905886958337E-2</v>
      </c>
      <c r="K175" s="203">
        <f t="shared" ref="K175:L175" si="437">K164/K$169</f>
        <v>4.8854905886958337E-2</v>
      </c>
      <c r="L175" s="203">
        <f t="shared" si="437"/>
        <v>4.8854905886958337E-2</v>
      </c>
      <c r="M175" s="203">
        <f t="shared" si="418"/>
        <v>3.3791125762071626E-2</v>
      </c>
      <c r="N175" s="31"/>
      <c r="O175" s="203">
        <f t="shared" ref="O175:R175" si="438">O164/O$169</f>
        <v>5.9528360561136653E-2</v>
      </c>
      <c r="P175" s="203">
        <f t="shared" si="438"/>
        <v>5.8576500173918848E-2</v>
      </c>
      <c r="Q175" s="203">
        <f t="shared" si="438"/>
        <v>6.1528889749070191E-2</v>
      </c>
      <c r="R175" s="203">
        <f t="shared" si="438"/>
        <v>6.0028576922056459E-2</v>
      </c>
      <c r="S175" s="251">
        <f t="shared" si="421"/>
        <v>5.6214989207651049E-2</v>
      </c>
      <c r="T175" s="251">
        <f t="shared" si="421"/>
        <v>4.8854905886958337E-2</v>
      </c>
      <c r="U175" s="251">
        <f t="shared" ref="U175:V175" si="439">U164/U$169</f>
        <v>4.0683268635803321E-2</v>
      </c>
      <c r="V175" s="251">
        <f t="shared" si="439"/>
        <v>3.7120857408095398E-2</v>
      </c>
      <c r="W175" s="251">
        <f t="shared" si="421"/>
        <v>3.3791125762071626E-2</v>
      </c>
      <c r="Y175" s="203">
        <f t="shared" si="423"/>
        <v>5.9528360561136653E-2</v>
      </c>
      <c r="Z175" s="203">
        <f t="shared" si="423"/>
        <v>5.8576500173918848E-2</v>
      </c>
      <c r="AA175" s="203">
        <f t="shared" si="423"/>
        <v>6.1528889749070191E-2</v>
      </c>
      <c r="AB175" s="203">
        <f t="shared" si="423"/>
        <v>6.0028576922056459E-2</v>
      </c>
      <c r="AC175" s="251">
        <f t="shared" si="424"/>
        <v>5.9940501739642646E-2</v>
      </c>
      <c r="AD175" s="251">
        <f t="shared" si="424"/>
        <v>5.5019552249047712E-2</v>
      </c>
      <c r="AE175" s="251">
        <f t="shared" ref="AE175:AF175" si="440">AE164/AE$169</f>
        <v>4.6755394062718045E-2</v>
      </c>
      <c r="AF175" s="251">
        <f t="shared" si="440"/>
        <v>4.2988946327308472E-2</v>
      </c>
      <c r="AG175" s="251">
        <f t="shared" si="424"/>
        <v>4.1943674726597518E-2</v>
      </c>
      <c r="AI175" s="216">
        <f>S175</f>
        <v>5.6214989207651049E-2</v>
      </c>
      <c r="AK175" s="252">
        <f>AI175/$AI$180</f>
        <v>0.12432344756877238</v>
      </c>
      <c r="AL175" s="252">
        <f>AK175</f>
        <v>0.12432344756877238</v>
      </c>
      <c r="AM175" s="252">
        <f>AK175</f>
        <v>0.12432344756877238</v>
      </c>
      <c r="AN175" s="252">
        <f>AL175</f>
        <v>0.12432344756877238</v>
      </c>
      <c r="AO175" s="252">
        <f>AN175</f>
        <v>0.12432344756877238</v>
      </c>
      <c r="AP175" s="253"/>
      <c r="AQ175" s="252">
        <f>AK175</f>
        <v>0.12432344756877238</v>
      </c>
      <c r="AR175" s="252">
        <f>AL175</f>
        <v>0.12432344756877238</v>
      </c>
      <c r="AS175" s="252">
        <f>AN175</f>
        <v>0.12432344756877238</v>
      </c>
      <c r="AT175" s="253"/>
      <c r="AU175" s="252">
        <f>AQ175</f>
        <v>0.12432344756877238</v>
      </c>
      <c r="AV175" s="252">
        <f t="shared" ref="AV175:AW179" si="441">AR175</f>
        <v>0.12432344756877238</v>
      </c>
      <c r="AW175" s="252">
        <f t="shared" si="441"/>
        <v>0.12432344756877238</v>
      </c>
    </row>
    <row r="176" spans="1:50">
      <c r="A176" t="s">
        <v>16</v>
      </c>
      <c r="B176" t="str">
        <f t="shared" si="415"/>
        <v>TPPUMBT</v>
      </c>
      <c r="C176" t="str">
        <f t="shared" si="415"/>
        <v>Minibus</v>
      </c>
      <c r="E176" s="203">
        <f t="shared" si="416"/>
        <v>0.37403187426128903</v>
      </c>
      <c r="F176" s="203">
        <f t="shared" ref="F176:H176" si="442">F165/F$169</f>
        <v>0.36805109264207225</v>
      </c>
      <c r="G176" s="203">
        <f t="shared" si="442"/>
        <v>0.38660170945620786</v>
      </c>
      <c r="H176" s="203">
        <f t="shared" si="442"/>
        <v>0.37717486125517485</v>
      </c>
      <c r="I176" s="203">
        <f t="shared" si="418"/>
        <v>0.35321311685245532</v>
      </c>
      <c r="J176" s="203">
        <f t="shared" si="418"/>
        <v>0.30696783589379917</v>
      </c>
      <c r="K176" s="203">
        <f t="shared" ref="K176:L176" si="443">K165/K$169</f>
        <v>0.30696783589379917</v>
      </c>
      <c r="L176" s="203">
        <f t="shared" si="443"/>
        <v>0.30696783589379917</v>
      </c>
      <c r="M176" s="203">
        <f t="shared" si="418"/>
        <v>0.21231826280863464</v>
      </c>
      <c r="N176" s="31"/>
      <c r="O176" s="203">
        <f t="shared" ref="O176:R176" si="444">O165/O$169</f>
        <v>0.37403187426128903</v>
      </c>
      <c r="P176" s="203">
        <f t="shared" si="444"/>
        <v>0.36805109264207225</v>
      </c>
      <c r="Q176" s="203">
        <f t="shared" si="444"/>
        <v>0.38660170945620786</v>
      </c>
      <c r="R176" s="203">
        <f t="shared" si="444"/>
        <v>0.37717486125517485</v>
      </c>
      <c r="S176" s="251">
        <f t="shared" si="421"/>
        <v>0.35321311685245532</v>
      </c>
      <c r="T176" s="251">
        <f t="shared" si="421"/>
        <v>0.30696783589379917</v>
      </c>
      <c r="U176" s="251">
        <f t="shared" ref="U176:V176" si="445">U165/U$169</f>
        <v>0.25562335457394414</v>
      </c>
      <c r="V176" s="251">
        <f t="shared" si="445"/>
        <v>0.23323981610876837</v>
      </c>
      <c r="W176" s="251">
        <f t="shared" si="421"/>
        <v>0.21231826280863464</v>
      </c>
      <c r="Y176" s="203">
        <f t="shared" si="423"/>
        <v>0.37403187426128903</v>
      </c>
      <c r="Z176" s="203">
        <f t="shared" si="423"/>
        <v>0.36805109264207225</v>
      </c>
      <c r="AA176" s="203">
        <f t="shared" si="423"/>
        <v>0.38660170945620786</v>
      </c>
      <c r="AB176" s="203">
        <f t="shared" si="423"/>
        <v>0.37717486125517485</v>
      </c>
      <c r="AC176" s="251">
        <f t="shared" si="424"/>
        <v>0.36452079774687213</v>
      </c>
      <c r="AD176" s="251">
        <f t="shared" si="424"/>
        <v>0.32598438938168184</v>
      </c>
      <c r="AE176" s="251">
        <f t="shared" ref="AE176:AF176" si="446">AE165/AE$169</f>
        <v>0.27702022209929661</v>
      </c>
      <c r="AF176" s="251">
        <f t="shared" si="446"/>
        <v>0.25470446133832531</v>
      </c>
      <c r="AG176" s="251">
        <f t="shared" si="424"/>
        <v>0.24851134978857312</v>
      </c>
      <c r="AI176" s="216">
        <f>S176</f>
        <v>0.35321311685245532</v>
      </c>
      <c r="AK176" s="252">
        <f>1-SUM(AK177:AK179,AK175)</f>
        <v>0.78115593425449303</v>
      </c>
      <c r="AL176" s="252">
        <f t="shared" ref="AL176:AN176" si="447">1-SUM(AL177:AL179,AL175)</f>
        <v>0.78115593425449303</v>
      </c>
      <c r="AM176" s="252">
        <f t="shared" ref="AM176" si="448">1-SUM(AM177:AM179,AM175)</f>
        <v>0.78115593425449303</v>
      </c>
      <c r="AN176" s="252">
        <f t="shared" si="447"/>
        <v>0.78115593425449303</v>
      </c>
      <c r="AO176" s="252">
        <f t="shared" ref="AO176" si="449">1-SUM(AO177:AO179,AO175)</f>
        <v>0.78115593425449303</v>
      </c>
      <c r="AP176" s="253"/>
      <c r="AQ176" s="252">
        <f t="shared" ref="AQ176:AQ179" si="450">AK176</f>
        <v>0.78115593425449303</v>
      </c>
      <c r="AR176" s="252">
        <f>AL176</f>
        <v>0.78115593425449303</v>
      </c>
      <c r="AS176" s="252">
        <f>AN176</f>
        <v>0.78115593425449303</v>
      </c>
      <c r="AT176" s="253"/>
      <c r="AU176" s="252">
        <f t="shared" ref="AU176:AU178" si="451">AQ176</f>
        <v>0.78115593425449303</v>
      </c>
      <c r="AV176" s="252">
        <f t="shared" si="441"/>
        <v>0.78115593425449303</v>
      </c>
      <c r="AW176" s="252">
        <f t="shared" si="441"/>
        <v>0.78115593425449303</v>
      </c>
    </row>
    <row r="177" spans="1:51">
      <c r="A177" t="s">
        <v>16</v>
      </c>
      <c r="B177" t="str">
        <f t="shared" si="415"/>
        <v>TPPUBRT</v>
      </c>
      <c r="C177" t="str">
        <f t="shared" si="415"/>
        <v>BRT</v>
      </c>
      <c r="E177" s="203">
        <f t="shared" si="416"/>
        <v>6.7630548969884888E-3</v>
      </c>
      <c r="F177" s="203">
        <f t="shared" ref="F177:H177" si="452">F166/F$169</f>
        <v>9.945055483155071E-3</v>
      </c>
      <c r="G177" s="203">
        <f t="shared" si="452"/>
        <v>1.0237125336260613E-2</v>
      </c>
      <c r="H177" s="203">
        <f t="shared" si="452"/>
        <v>1.0090818371032812E-2</v>
      </c>
      <c r="I177" s="203">
        <f t="shared" si="418"/>
        <v>9.7273857941839962E-3</v>
      </c>
      <c r="J177" s="203">
        <f t="shared" si="418"/>
        <v>8.9932797020123093E-3</v>
      </c>
      <c r="K177" s="203">
        <f t="shared" ref="K177:L177" si="453">K166/K$169</f>
        <v>8.9932797020123093E-3</v>
      </c>
      <c r="L177" s="203">
        <f t="shared" si="453"/>
        <v>8.9932797020123093E-3</v>
      </c>
      <c r="M177" s="203">
        <f t="shared" si="418"/>
        <v>7.5250295111764101E-3</v>
      </c>
      <c r="N177" s="31"/>
      <c r="O177" s="203">
        <f t="shared" ref="O177:R177" si="454">O166/O$169</f>
        <v>6.7630548969884888E-3</v>
      </c>
      <c r="P177" s="203">
        <f t="shared" si="454"/>
        <v>9.945055483155071E-3</v>
      </c>
      <c r="Q177" s="203">
        <f t="shared" si="454"/>
        <v>1.0237125336260613E-2</v>
      </c>
      <c r="R177" s="203">
        <f t="shared" si="454"/>
        <v>1.0090818371032812E-2</v>
      </c>
      <c r="S177" s="251">
        <f t="shared" si="421"/>
        <v>9.7273857941839962E-3</v>
      </c>
      <c r="T177" s="251">
        <f t="shared" si="421"/>
        <v>8.9932797020123093E-3</v>
      </c>
      <c r="U177" s="251">
        <f t="shared" ref="U177:V177" si="455">U166/U$169</f>
        <v>8.1675364199157632E-3</v>
      </c>
      <c r="V177" s="251">
        <f t="shared" si="455"/>
        <v>7.8344856873619768E-3</v>
      </c>
      <c r="W177" s="251">
        <f t="shared" si="421"/>
        <v>7.5250295111764101E-3</v>
      </c>
      <c r="Y177" s="203">
        <f t="shared" si="423"/>
        <v>6.7630548969884888E-3</v>
      </c>
      <c r="Z177" s="203">
        <f t="shared" si="423"/>
        <v>9.945055483155071E-3</v>
      </c>
      <c r="AA177" s="203">
        <f t="shared" si="423"/>
        <v>1.0237125336260613E-2</v>
      </c>
      <c r="AB177" s="203">
        <f t="shared" si="423"/>
        <v>1.0090818371032812E-2</v>
      </c>
      <c r="AC177" s="251">
        <f t="shared" si="424"/>
        <v>8.8901908588061209E-3</v>
      </c>
      <c r="AD177" s="251">
        <f t="shared" si="424"/>
        <v>8.473383802952603E-3</v>
      </c>
      <c r="AE177" s="251">
        <f t="shared" ref="AE177:AF177" si="456">AE166/AE$169</f>
        <v>7.7727414767440215E-3</v>
      </c>
      <c r="AF177" s="251">
        <f t="shared" si="456"/>
        <v>7.4687586109111184E-3</v>
      </c>
      <c r="AG177" s="251">
        <f t="shared" si="424"/>
        <v>7.3966825583772827E-3</v>
      </c>
      <c r="AI177" s="216">
        <f>S177</f>
        <v>9.7273857941839962E-3</v>
      </c>
      <c r="AK177" s="252">
        <f>AI177/$AI$180</f>
        <v>2.1512805655753107E-2</v>
      </c>
      <c r="AL177" s="252">
        <f t="shared" ref="AL177:AO177" si="457">AK177</f>
        <v>2.1512805655753107E-2</v>
      </c>
      <c r="AM177" s="252">
        <f>AK177</f>
        <v>2.1512805655753107E-2</v>
      </c>
      <c r="AN177" s="252">
        <f>AL177</f>
        <v>2.1512805655753107E-2</v>
      </c>
      <c r="AO177" s="252">
        <f t="shared" si="457"/>
        <v>2.1512805655753107E-2</v>
      </c>
      <c r="AP177" s="253"/>
      <c r="AQ177" s="252">
        <f t="shared" si="450"/>
        <v>2.1512805655753107E-2</v>
      </c>
      <c r="AR177" s="252">
        <f>AL177</f>
        <v>2.1512805655753107E-2</v>
      </c>
      <c r="AS177" s="252">
        <f>AN177</f>
        <v>2.1512805655753107E-2</v>
      </c>
      <c r="AT177" s="253"/>
      <c r="AU177" s="252">
        <f t="shared" si="451"/>
        <v>2.1512805655753107E-2</v>
      </c>
      <c r="AV177" s="252">
        <f t="shared" si="441"/>
        <v>2.1512805655753107E-2</v>
      </c>
      <c r="AW177" s="252">
        <f t="shared" si="441"/>
        <v>2.1512805655753107E-2</v>
      </c>
    </row>
    <row r="178" spans="1:51">
      <c r="A178" t="s">
        <v>16</v>
      </c>
      <c r="B178" t="str">
        <f t="shared" si="415"/>
        <v>TPPUMER</v>
      </c>
      <c r="C178" t="str">
        <f t="shared" si="415"/>
        <v>Metro Rail</v>
      </c>
      <c r="D178" s="215">
        <f>INDEX($Y$5:$Y$8,MATCH($D$3,$P$5:$P$8,0))</f>
        <v>0</v>
      </c>
      <c r="E178" s="203">
        <f t="shared" si="416"/>
        <v>3.2232883809316527E-2</v>
      </c>
      <c r="F178" s="203">
        <f t="shared" ref="F178:H178" si="458">F167/F$169</f>
        <v>3.1717478967411422E-2</v>
      </c>
      <c r="G178" s="203">
        <f t="shared" si="458"/>
        <v>3.3316112446288362E-2</v>
      </c>
      <c r="H178" s="203">
        <f t="shared" si="458"/>
        <v>3.250373648674728E-2</v>
      </c>
      <c r="I178" s="203">
        <f t="shared" si="418"/>
        <v>3.0438789148430741E-2</v>
      </c>
      <c r="J178" s="203">
        <f t="shared" si="418"/>
        <v>2.6453517115629991E-2</v>
      </c>
      <c r="K178" s="203">
        <f t="shared" ref="K178:L178" si="459">K167/K$169</f>
        <v>2.6453517115629991E-2</v>
      </c>
      <c r="L178" s="203">
        <f t="shared" si="459"/>
        <v>2.6453517115629991E-2</v>
      </c>
      <c r="M178" s="203">
        <f t="shared" si="418"/>
        <v>1.8296916296833752E-2</v>
      </c>
      <c r="N178" s="31"/>
      <c r="O178" s="203">
        <f t="shared" ref="O178:R178" si="460">O167/O$169</f>
        <v>3.2232883809316527E-2</v>
      </c>
      <c r="P178" s="203">
        <f t="shared" si="460"/>
        <v>3.1717478967411422E-2</v>
      </c>
      <c r="Q178" s="203">
        <f t="shared" si="460"/>
        <v>3.3316112446288362E-2</v>
      </c>
      <c r="R178" s="203">
        <f t="shared" si="460"/>
        <v>3.250373648674728E-2</v>
      </c>
      <c r="S178" s="251">
        <f t="shared" si="421"/>
        <v>3.0438789148430741E-2</v>
      </c>
      <c r="T178" s="251">
        <f t="shared" si="421"/>
        <v>2.6453517115629991E-2</v>
      </c>
      <c r="U178" s="251">
        <f t="shared" ref="U178:V178" si="461">U167/U$169</f>
        <v>2.2028812125176728E-2</v>
      </c>
      <c r="V178" s="251">
        <f t="shared" si="461"/>
        <v>2.0099869582474165E-2</v>
      </c>
      <c r="W178" s="251">
        <f t="shared" si="421"/>
        <v>1.8296916296833752E-2</v>
      </c>
      <c r="Y178" s="203">
        <f t="shared" si="423"/>
        <v>3.2232883809316527E-2</v>
      </c>
      <c r="Z178" s="203">
        <f t="shared" si="423"/>
        <v>3.1717478967411422E-2</v>
      </c>
      <c r="AA178" s="203">
        <f t="shared" si="423"/>
        <v>3.3316112446288362E-2</v>
      </c>
      <c r="AB178" s="203">
        <f t="shared" si="423"/>
        <v>3.250373648674728E-2</v>
      </c>
      <c r="AC178" s="251">
        <f t="shared" si="424"/>
        <v>4.4556710995821994E-2</v>
      </c>
      <c r="AD178" s="251">
        <f t="shared" si="424"/>
        <v>4.9508986765575018E-2</v>
      </c>
      <c r="AE178" s="251">
        <f t="shared" ref="AE178:AF178" si="462">AE167/AE$169</f>
        <v>4.207253769336914E-2</v>
      </c>
      <c r="AF178" s="251">
        <f t="shared" si="462"/>
        <v>3.8683324159941114E-2</v>
      </c>
      <c r="AG178" s="251">
        <f t="shared" si="424"/>
        <v>3.7742743298581495E-2</v>
      </c>
      <c r="AI178" s="216">
        <f>S178</f>
        <v>3.0438789148430741E-2</v>
      </c>
      <c r="AK178" s="252">
        <f>AI178/$AI$180</f>
        <v>6.7317547509851638E-2</v>
      </c>
      <c r="AL178" s="252">
        <f>AK178*(1+$D$178)</f>
        <v>6.7317547509851638E-2</v>
      </c>
      <c r="AM178" s="252">
        <f>AK178*(1+$D$178)</f>
        <v>6.7317547509851638E-2</v>
      </c>
      <c r="AN178" s="252">
        <f>AL178*(1+$D$178)</f>
        <v>6.7317547509851638E-2</v>
      </c>
      <c r="AO178" s="252">
        <f>AN178*(1+$D$178)</f>
        <v>6.7317547509851638E-2</v>
      </c>
      <c r="AP178" s="253"/>
      <c r="AQ178" s="252">
        <f>AK178</f>
        <v>6.7317547509851638E-2</v>
      </c>
      <c r="AR178" s="252">
        <f>AL178</f>
        <v>6.7317547509851638E-2</v>
      </c>
      <c r="AS178" s="252">
        <f>AN178</f>
        <v>6.7317547509851638E-2</v>
      </c>
      <c r="AT178" s="253"/>
      <c r="AU178" s="252">
        <f t="shared" si="451"/>
        <v>6.7317547509851638E-2</v>
      </c>
      <c r="AV178" s="252">
        <f t="shared" si="441"/>
        <v>6.7317547509851638E-2</v>
      </c>
      <c r="AW178" s="252">
        <f>AS178</f>
        <v>6.7317547509851638E-2</v>
      </c>
    </row>
    <row r="179" spans="1:51">
      <c r="A179" t="s">
        <v>16</v>
      </c>
      <c r="B179" t="str">
        <f t="shared" si="415"/>
        <v>TPPUGAT</v>
      </c>
      <c r="C179" t="str">
        <f t="shared" si="415"/>
        <v>Gautrain</v>
      </c>
      <c r="E179" s="203">
        <f t="shared" si="416"/>
        <v>2.4099570920807019E-3</v>
      </c>
      <c r="F179" s="203">
        <f t="shared" ref="F179:H179" si="463">F168/F$169</f>
        <v>2.5001526401571533E-3</v>
      </c>
      <c r="G179" s="203">
        <f t="shared" si="463"/>
        <v>2.3720169010174917E-3</v>
      </c>
      <c r="H179" s="203">
        <f t="shared" si="463"/>
        <v>2.4422221325439888E-3</v>
      </c>
      <c r="I179" s="203">
        <f t="shared" si="418"/>
        <v>2.5729513816160139E-3</v>
      </c>
      <c r="J179" s="203">
        <f t="shared" si="418"/>
        <v>2.706801500803469E-3</v>
      </c>
      <c r="K179" s="203">
        <f t="shared" ref="K179:L179" si="464">K168/K$169</f>
        <v>2.706801500803469E-3</v>
      </c>
      <c r="L179" s="203">
        <f t="shared" si="464"/>
        <v>2.706801500803469E-3</v>
      </c>
      <c r="M179" s="203">
        <f t="shared" si="418"/>
        <v>2.9782310640539388E-3</v>
      </c>
      <c r="N179" s="31"/>
      <c r="O179" s="203">
        <f t="shared" ref="O179:R179" si="465">O168/O$169</f>
        <v>2.4099570920807019E-3</v>
      </c>
      <c r="P179" s="203">
        <f t="shared" si="465"/>
        <v>2.5001526401571533E-3</v>
      </c>
      <c r="Q179" s="203">
        <f t="shared" si="465"/>
        <v>2.3720169010174917E-3</v>
      </c>
      <c r="R179" s="203">
        <f t="shared" si="465"/>
        <v>2.4422221325439888E-3</v>
      </c>
      <c r="S179" s="251">
        <f t="shared" si="421"/>
        <v>2.5729513816160139E-3</v>
      </c>
      <c r="T179" s="251">
        <f t="shared" si="421"/>
        <v>2.706801500803469E-3</v>
      </c>
      <c r="U179" s="251">
        <f t="shared" ref="U179:V179" si="466">U168/U$169</f>
        <v>2.7211673274100518E-3</v>
      </c>
      <c r="V179" s="251">
        <f t="shared" si="466"/>
        <v>2.8558458773133757E-3</v>
      </c>
      <c r="W179" s="251">
        <f t="shared" si="421"/>
        <v>2.9782310640539388E-3</v>
      </c>
      <c r="Y179" s="203">
        <f t="shared" si="423"/>
        <v>2.4099570920807019E-3</v>
      </c>
      <c r="Z179" s="203">
        <f t="shared" si="423"/>
        <v>2.5001526401571533E-3</v>
      </c>
      <c r="AA179" s="203">
        <f t="shared" si="423"/>
        <v>2.3720169010174917E-3</v>
      </c>
      <c r="AB179" s="203">
        <f t="shared" si="423"/>
        <v>2.4422221325439888E-3</v>
      </c>
      <c r="AC179" s="251">
        <f t="shared" si="424"/>
        <v>4.8601218979511529E-3</v>
      </c>
      <c r="AD179" s="251">
        <f t="shared" si="424"/>
        <v>7.2830458457197175E-3</v>
      </c>
      <c r="AE179" s="251">
        <f t="shared" ref="AE179:AF179" si="467">AE168/AE$169</f>
        <v>1.0851215929916593E-2</v>
      </c>
      <c r="AF179" s="251">
        <f t="shared" si="467"/>
        <v>1.3213083598921791E-2</v>
      </c>
      <c r="AG179" s="251">
        <f t="shared" si="424"/>
        <v>1.5325374648839854E-2</v>
      </c>
      <c r="AI179" s="216">
        <f>S179</f>
        <v>2.5729513816160139E-3</v>
      </c>
      <c r="AK179" s="252">
        <f>AI179/$AI$180</f>
        <v>5.6902650111298513E-3</v>
      </c>
      <c r="AL179" s="252">
        <f t="shared" ref="AL179:AO179" si="468">AK179</f>
        <v>5.6902650111298513E-3</v>
      </c>
      <c r="AM179" s="252">
        <f>AK179</f>
        <v>5.6902650111298513E-3</v>
      </c>
      <c r="AN179" s="252">
        <f>AL179</f>
        <v>5.6902650111298513E-3</v>
      </c>
      <c r="AO179" s="252">
        <f t="shared" si="468"/>
        <v>5.6902650111298513E-3</v>
      </c>
      <c r="AP179" s="253"/>
      <c r="AQ179" s="252">
        <f t="shared" si="450"/>
        <v>5.6902650111298513E-3</v>
      </c>
      <c r="AR179" s="252">
        <f>AL179</f>
        <v>5.6902650111298513E-3</v>
      </c>
      <c r="AS179" s="252">
        <f>AN179</f>
        <v>5.6902650111298513E-3</v>
      </c>
      <c r="AT179" s="253"/>
      <c r="AU179" s="252">
        <f>AQ179</f>
        <v>5.6902650111298513E-3</v>
      </c>
      <c r="AV179" s="252">
        <f t="shared" si="441"/>
        <v>5.6902650111298513E-3</v>
      </c>
      <c r="AW179" s="252">
        <f t="shared" si="441"/>
        <v>5.6902650111298513E-3</v>
      </c>
    </row>
    <row r="180" spans="1:51">
      <c r="A180" t="s">
        <v>16</v>
      </c>
      <c r="J180"/>
      <c r="N180" s="31"/>
      <c r="AI180" s="216">
        <f>SUM(AI175:AI179)</f>
        <v>0.45216723238433709</v>
      </c>
      <c r="AK180" s="24"/>
      <c r="AL180" s="24"/>
      <c r="AM180" s="24"/>
      <c r="AN180" s="24"/>
      <c r="AO180" s="24"/>
    </row>
    <row r="181" spans="1:51">
      <c r="A181" t="s">
        <v>16</v>
      </c>
      <c r="C181" t="s">
        <v>133</v>
      </c>
      <c r="E181" s="24">
        <f t="shared" ref="E181" si="469">SUM(E172:E174)</f>
        <v>0.52503386937918861</v>
      </c>
      <c r="F181" s="24">
        <f t="shared" ref="F181:H181" si="470">SUM(F172:F174)</f>
        <v>0.52920972009328504</v>
      </c>
      <c r="G181" s="24">
        <f t="shared" si="470"/>
        <v>0.50594414611115535</v>
      </c>
      <c r="H181" s="24">
        <f t="shared" si="470"/>
        <v>0.51775978483244489</v>
      </c>
      <c r="I181" s="24">
        <f>SUM(I172:I174)</f>
        <v>0.54783276761566269</v>
      </c>
      <c r="J181" s="24">
        <f>SUM(J172:J174)</f>
        <v>0.60602365990079676</v>
      </c>
      <c r="K181" s="24">
        <f>SUM(K172:K174)</f>
        <v>0.60602365990079676</v>
      </c>
      <c r="L181" s="24">
        <f>SUM(L172:L174)</f>
        <v>0.60602365990079676</v>
      </c>
      <c r="M181" s="24">
        <f>SUM(M172:M174)</f>
        <v>0.72509043455722955</v>
      </c>
      <c r="N181" s="31"/>
      <c r="O181" s="24">
        <f t="shared" ref="O181:R181" si="471">SUM(O172:O174)</f>
        <v>0.52503386937918861</v>
      </c>
      <c r="P181" s="24">
        <f t="shared" si="471"/>
        <v>0.52920972009328504</v>
      </c>
      <c r="Q181" s="24">
        <f t="shared" si="471"/>
        <v>0.50594414611115535</v>
      </c>
      <c r="R181" s="24">
        <f t="shared" si="471"/>
        <v>0.51775978483244489</v>
      </c>
      <c r="S181" s="24">
        <f>SUM(S172:S174)</f>
        <v>0.54783276761566269</v>
      </c>
      <c r="T181" s="24">
        <f>SUM(T172:T174)</f>
        <v>0.60602365990079676</v>
      </c>
      <c r="U181" s="24">
        <f>SUM(U172:U174)</f>
        <v>0.67077586091774999</v>
      </c>
      <c r="V181" s="24">
        <f>SUM(V172:V174)</f>
        <v>0.69884912533598664</v>
      </c>
      <c r="W181" s="24">
        <f>SUM(W172:W174)</f>
        <v>0.72509043455722955</v>
      </c>
      <c r="Y181" s="203">
        <f t="shared" ref="Y181:AB182" si="472">O181</f>
        <v>0.52503386937918861</v>
      </c>
      <c r="Z181" s="203">
        <f t="shared" si="472"/>
        <v>0.52920972009328504</v>
      </c>
      <c r="AA181" s="203">
        <f t="shared" si="472"/>
        <v>0.50594414611115535</v>
      </c>
      <c r="AB181" s="203">
        <f t="shared" si="472"/>
        <v>0.51775978483244489</v>
      </c>
      <c r="AC181" s="251">
        <f>SUM(AC172:AC174)</f>
        <v>0.51723167676090598</v>
      </c>
      <c r="AD181" s="251">
        <f>SUM(AD172:AD174)</f>
        <v>0.55373064195502308</v>
      </c>
      <c r="AE181" s="251">
        <f>SUM(AE172:AE174)</f>
        <v>0.6155278887379555</v>
      </c>
      <c r="AF181" s="251">
        <f>SUM(AF172:AF174)</f>
        <v>0.64294142596459225</v>
      </c>
      <c r="AG181" s="251">
        <f>SUM(AG172:AG174)</f>
        <v>0.6490801749790307</v>
      </c>
    </row>
    <row r="182" spans="1:51">
      <c r="A182" t="s">
        <v>16</v>
      </c>
      <c r="C182" t="s">
        <v>134</v>
      </c>
      <c r="E182" s="24">
        <f t="shared" ref="E182" si="473">1-E181</f>
        <v>0.47496613062081139</v>
      </c>
      <c r="F182" s="24">
        <f t="shared" ref="F182:H182" si="474">1-F181</f>
        <v>0.47079027990671496</v>
      </c>
      <c r="G182" s="24">
        <f t="shared" si="474"/>
        <v>0.49405585388884465</v>
      </c>
      <c r="H182" s="24">
        <f t="shared" si="474"/>
        <v>0.48224021516755511</v>
      </c>
      <c r="I182" s="24">
        <f>1-I181</f>
        <v>0.45216723238433731</v>
      </c>
      <c r="J182" s="24">
        <f>1-J181</f>
        <v>0.39397634009920324</v>
      </c>
      <c r="K182" s="24">
        <f>1-K181</f>
        <v>0.39397634009920324</v>
      </c>
      <c r="L182" s="24">
        <f>1-L181</f>
        <v>0.39397634009920324</v>
      </c>
      <c r="M182" s="24">
        <f>1-M181</f>
        <v>0.27490956544277045</v>
      </c>
      <c r="N182" s="31"/>
      <c r="O182" s="24">
        <f t="shared" ref="O182:R182" si="475">1-O181</f>
        <v>0.47496613062081139</v>
      </c>
      <c r="P182" s="24">
        <f t="shared" si="475"/>
        <v>0.47079027990671496</v>
      </c>
      <c r="Q182" s="24">
        <f t="shared" si="475"/>
        <v>0.49405585388884465</v>
      </c>
      <c r="R182" s="24">
        <f t="shared" si="475"/>
        <v>0.48224021516755511</v>
      </c>
      <c r="S182" s="24">
        <f>1-S181</f>
        <v>0.45216723238433731</v>
      </c>
      <c r="T182" s="24">
        <f>1-T181</f>
        <v>0.39397634009920324</v>
      </c>
      <c r="U182" s="24">
        <f>1-U181</f>
        <v>0.32922413908225001</v>
      </c>
      <c r="V182" s="24">
        <f>1-V181</f>
        <v>0.30115087466401336</v>
      </c>
      <c r="W182" s="24">
        <f>1-W181</f>
        <v>0.27490956544277045</v>
      </c>
      <c r="Y182" s="203">
        <f t="shared" si="472"/>
        <v>0.47496613062081139</v>
      </c>
      <c r="Z182" s="203">
        <f t="shared" si="472"/>
        <v>0.47079027990671496</v>
      </c>
      <c r="AA182" s="203">
        <f t="shared" si="472"/>
        <v>0.49405585388884465</v>
      </c>
      <c r="AB182" s="203">
        <f t="shared" si="472"/>
        <v>0.48224021516755511</v>
      </c>
      <c r="AC182" s="251">
        <f>1-AC181</f>
        <v>0.48276832323909402</v>
      </c>
      <c r="AD182" s="251">
        <f>1-AD181</f>
        <v>0.44626935804497692</v>
      </c>
      <c r="AE182" s="251">
        <f>1-AE181</f>
        <v>0.3844721112620445</v>
      </c>
      <c r="AF182" s="251">
        <f>1-AF181</f>
        <v>0.35705857403540775</v>
      </c>
      <c r="AG182" s="251">
        <f>1-AG181</f>
        <v>0.3509198250209693</v>
      </c>
    </row>
    <row r="183" spans="1:51">
      <c r="A183" t="s">
        <v>16</v>
      </c>
      <c r="J183"/>
      <c r="N183" s="31"/>
      <c r="Y183" s="17">
        <f t="shared" ref="Y183:AD183" si="476">SUM(Y161:Y162)/SUM(O161:O162)</f>
        <v>1</v>
      </c>
      <c r="Z183" s="17">
        <f t="shared" si="476"/>
        <v>1</v>
      </c>
      <c r="AA183" s="17">
        <f t="shared" si="476"/>
        <v>1</v>
      </c>
      <c r="AB183" s="17">
        <f t="shared" si="476"/>
        <v>1</v>
      </c>
      <c r="AC183" s="17">
        <f t="shared" si="476"/>
        <v>0.90812474438910529</v>
      </c>
      <c r="AD183" s="17">
        <f t="shared" si="476"/>
        <v>0.85249834328616481</v>
      </c>
      <c r="AE183" s="17">
        <f>SUM(AE161:AE162)/SUM(V161:V162)</f>
        <v>0.75789650142975429</v>
      </c>
      <c r="AF183" s="17">
        <f>SUM(AF161:AF162)/SUM(V161:V162)</f>
        <v>0.84834674053321857</v>
      </c>
      <c r="AG183" s="17">
        <f>SUM(AG161:AG162)/SUM(W161:W162)</f>
        <v>0.80057263261246181</v>
      </c>
    </row>
    <row r="184" spans="1:51">
      <c r="A184" t="s">
        <v>16</v>
      </c>
      <c r="J184"/>
      <c r="N184" s="31"/>
    </row>
    <row r="185" spans="1:51" ht="15.75" thickBot="1">
      <c r="A185" t="s">
        <v>16</v>
      </c>
      <c r="C185" s="13" t="s">
        <v>190</v>
      </c>
      <c r="E185" s="4">
        <f>E4</f>
        <v>2017</v>
      </c>
      <c r="F185" s="4">
        <f t="shared" ref="F185:H185" si="477">F4</f>
        <v>2019</v>
      </c>
      <c r="G185" s="4">
        <f t="shared" si="477"/>
        <v>2020</v>
      </c>
      <c r="H185" s="4">
        <f t="shared" si="477"/>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78">G149</f>
        <v>78.308349507973659</v>
      </c>
      <c r="H186" s="3">
        <f t="shared" si="478"/>
        <v>83.011371976970224</v>
      </c>
      <c r="I186" s="6">
        <f t="shared" ref="I186:M193" si="479">I149</f>
        <v>99.240263719345407</v>
      </c>
      <c r="J186" s="6">
        <f t="shared" si="479"/>
        <v>128.1137148596512</v>
      </c>
      <c r="K186" s="6">
        <f t="shared" ref="K186:L186" si="480">K149</f>
        <v>164.79876687305341</v>
      </c>
      <c r="L186" s="6">
        <f t="shared" si="480"/>
        <v>184.31240491540811</v>
      </c>
      <c r="M186" s="6">
        <f t="shared" si="479"/>
        <v>201.44093923041561</v>
      </c>
      <c r="N186" s="31"/>
      <c r="AH186" s="198"/>
      <c r="AI186" s="198"/>
      <c r="AJ186" s="198"/>
      <c r="AK186" s="198"/>
      <c r="AL186" s="198"/>
      <c r="AM186" s="198"/>
      <c r="AN186" s="198"/>
      <c r="AO186" s="198"/>
      <c r="AP186" s="198"/>
      <c r="AQ186" s="198"/>
      <c r="AR186" s="198"/>
      <c r="AS186" s="198"/>
      <c r="AT186" s="198"/>
      <c r="AU186" s="198"/>
      <c r="AV186" s="198"/>
      <c r="AW186" s="198"/>
      <c r="AX186" s="198"/>
      <c r="AY186" s="198"/>
    </row>
    <row r="187" spans="1:51">
      <c r="A187" t="s">
        <v>16</v>
      </c>
      <c r="B187" t="str">
        <f t="shared" ref="B187:C193" si="481">B150</f>
        <v>TPPRSUV</v>
      </c>
      <c r="C187" t="str">
        <f t="shared" si="481"/>
        <v>SUV Priv.Veh. Vehicle km</v>
      </c>
      <c r="E187" s="6">
        <f t="shared" ref="E187:E193" si="482">E150</f>
        <v>17.754191802068</v>
      </c>
      <c r="F187" s="6">
        <f t="shared" ref="F187:H187" si="483">F150</f>
        <v>17.98100306310393</v>
      </c>
      <c r="G187" s="6">
        <f t="shared" si="483"/>
        <v>16.640524270444406</v>
      </c>
      <c r="H187" s="6">
        <f t="shared" si="483"/>
        <v>17.639916545106175</v>
      </c>
      <c r="I187" s="6">
        <f t="shared" si="479"/>
        <v>21.088556040360903</v>
      </c>
      <c r="J187" s="6">
        <f t="shared" si="479"/>
        <v>27.224164407675886</v>
      </c>
      <c r="K187" s="6">
        <f t="shared" ref="K187:L187" si="484">K150</f>
        <v>35.019737960523855</v>
      </c>
      <c r="L187" s="6">
        <f t="shared" si="484"/>
        <v>39.166386044524231</v>
      </c>
      <c r="M187" s="6">
        <f t="shared" si="479"/>
        <v>42.806199586463322</v>
      </c>
      <c r="N187" s="31"/>
      <c r="AH187" s="198"/>
      <c r="AI187" s="198"/>
      <c r="AJ187" s="198"/>
      <c r="AK187" s="198"/>
      <c r="AL187" s="198"/>
      <c r="AM187" s="198"/>
      <c r="AN187" s="198"/>
      <c r="AO187" s="198"/>
      <c r="AP187" s="198"/>
      <c r="AQ187" s="198"/>
      <c r="AR187" s="198"/>
      <c r="AS187" s="198"/>
      <c r="AT187" s="198"/>
      <c r="AU187" s="198"/>
      <c r="AV187" s="198"/>
      <c r="AW187" s="198"/>
      <c r="AX187" s="198"/>
      <c r="AY187" s="198"/>
    </row>
    <row r="188" spans="1:51">
      <c r="A188" t="s">
        <v>16</v>
      </c>
      <c r="B188" t="str">
        <f t="shared" si="481"/>
        <v>TPPRMOT</v>
      </c>
      <c r="C188" t="str">
        <f t="shared" si="481"/>
        <v>Motorbikes Priv.Veh. Vehicle km</v>
      </c>
      <c r="E188" s="6">
        <f t="shared" si="482"/>
        <v>5.9227912022632498</v>
      </c>
      <c r="F188" s="6">
        <f t="shared" ref="F188:H188" si="485">F151</f>
        <v>3.1731181876065753</v>
      </c>
      <c r="G188" s="6">
        <f t="shared" si="485"/>
        <v>2.9365631065490123</v>
      </c>
      <c r="H188" s="6">
        <f t="shared" si="485"/>
        <v>3.1129264491363839</v>
      </c>
      <c r="I188" s="6">
        <f t="shared" si="479"/>
        <v>3.7215098894754526</v>
      </c>
      <c r="J188" s="6">
        <f t="shared" si="479"/>
        <v>4.8042643072369202</v>
      </c>
      <c r="K188" s="6">
        <f t="shared" ref="K188:L188" si="486">K151</f>
        <v>6.1799537577395034</v>
      </c>
      <c r="L188" s="6">
        <f t="shared" si="486"/>
        <v>6.9117151843278037</v>
      </c>
      <c r="M188" s="6">
        <f t="shared" si="479"/>
        <v>7.5540352211405857</v>
      </c>
      <c r="N188" s="31"/>
      <c r="AH188" s="198"/>
      <c r="AI188" s="198"/>
      <c r="AJ188" s="198"/>
      <c r="AK188" s="198"/>
      <c r="AL188" s="198"/>
      <c r="AM188" s="198"/>
      <c r="AN188" s="198"/>
      <c r="AO188" s="198"/>
      <c r="AP188" s="198"/>
      <c r="AQ188" s="198"/>
      <c r="AR188" s="198"/>
      <c r="AS188" s="198"/>
      <c r="AT188" s="198"/>
      <c r="AU188" s="198"/>
      <c r="AV188" s="198"/>
      <c r="AW188" s="198"/>
      <c r="AX188" s="198"/>
      <c r="AY188" s="198"/>
    </row>
    <row r="189" spans="1:51">
      <c r="A189" t="s">
        <v>16</v>
      </c>
      <c r="B189" t="str">
        <f t="shared" si="481"/>
        <v>TPPUBUS</v>
      </c>
      <c r="C189" t="str">
        <f t="shared" si="481"/>
        <v>Bus vehicle km</v>
      </c>
      <c r="E189" s="6">
        <f t="shared" si="482"/>
        <v>0.64296697178877804</v>
      </c>
      <c r="F189" s="6">
        <f t="shared" ref="F189:H189" si="487">F152</f>
        <v>0.65561461783585018</v>
      </c>
      <c r="G189" s="6">
        <f t="shared" si="487"/>
        <v>0.6666265611015576</v>
      </c>
      <c r="H189" s="6">
        <f t="shared" si="487"/>
        <v>0.67369816503155333</v>
      </c>
      <c r="I189" s="6">
        <f t="shared" si="479"/>
        <v>0.71283674117553131</v>
      </c>
      <c r="J189" s="6">
        <f t="shared" si="479"/>
        <v>0.72295666448485008</v>
      </c>
      <c r="K189" s="6">
        <f t="shared" ref="K189:L189" si="488">K152</f>
        <v>0.69966542118267516</v>
      </c>
      <c r="L189" s="6">
        <f t="shared" si="488"/>
        <v>0.68531017316263421</v>
      </c>
      <c r="M189" s="6">
        <f t="shared" si="479"/>
        <v>0.65713751702226919</v>
      </c>
      <c r="N189" s="31"/>
      <c r="AH189" s="198"/>
      <c r="AI189" s="198"/>
      <c r="AJ189" s="198"/>
      <c r="AK189" s="198"/>
      <c r="AL189" s="198"/>
      <c r="AM189" s="198"/>
      <c r="AN189" s="198"/>
      <c r="AO189" s="198"/>
      <c r="AP189" s="198"/>
      <c r="AQ189" s="198"/>
      <c r="AR189" s="198"/>
      <c r="AS189" s="198"/>
      <c r="AT189" s="198"/>
      <c r="AU189" s="198"/>
      <c r="AV189" s="198"/>
      <c r="AW189" s="198"/>
      <c r="AX189" s="198"/>
      <c r="AY189" s="198"/>
    </row>
    <row r="190" spans="1:51">
      <c r="A190" t="s">
        <v>16</v>
      </c>
      <c r="B190" t="str">
        <f t="shared" si="481"/>
        <v>TPPUMBT</v>
      </c>
      <c r="C190" t="str">
        <f t="shared" si="481"/>
        <v>Minibus vehicle km</v>
      </c>
      <c r="E190" s="6">
        <f t="shared" si="482"/>
        <v>7.2130505455454896</v>
      </c>
      <c r="F190" s="6">
        <f t="shared" ref="F190:H190" si="489">F153</f>
        <v>7.3560605036075861</v>
      </c>
      <c r="G190" s="6">
        <f t="shared" si="489"/>
        <v>7.4796155902715018</v>
      </c>
      <c r="H190" s="6">
        <f t="shared" si="489"/>
        <v>7.5589596819854874</v>
      </c>
      <c r="I190" s="6">
        <f t="shared" si="479"/>
        <v>7.9980983563038182</v>
      </c>
      <c r="J190" s="6">
        <f t="shared" si="479"/>
        <v>8.1116448913108439</v>
      </c>
      <c r="K190" s="6">
        <f t="shared" ref="K190:L190" si="490">K153</f>
        <v>7.8503148503477531</v>
      </c>
      <c r="L190" s="6">
        <f t="shared" si="490"/>
        <v>7.6892475554660615</v>
      </c>
      <c r="M190" s="6">
        <f t="shared" si="479"/>
        <v>7.37314758228373</v>
      </c>
      <c r="N190" s="31"/>
      <c r="AH190" s="198"/>
      <c r="AI190" s="198"/>
      <c r="AJ190" s="198"/>
      <c r="AK190" s="198"/>
      <c r="AL190" s="198"/>
      <c r="AM190" s="198"/>
      <c r="AN190" s="198"/>
      <c r="AO190" s="198"/>
      <c r="AP190" s="198"/>
      <c r="AQ190" s="198"/>
      <c r="AR190" s="198"/>
      <c r="AS190" s="198"/>
      <c r="AT190" s="198"/>
      <c r="AU190" s="198"/>
      <c r="AV190" s="198"/>
      <c r="AW190" s="198"/>
      <c r="AX190" s="198"/>
      <c r="AY190" s="198"/>
    </row>
    <row r="191" spans="1:51">
      <c r="A191" t="s">
        <v>16</v>
      </c>
      <c r="B191" t="str">
        <f t="shared" si="481"/>
        <v>TPPUBRT</v>
      </c>
      <c r="C191" t="str">
        <f t="shared" si="481"/>
        <v>BRT vehicle km</v>
      </c>
      <c r="E191" s="6">
        <f t="shared" si="482"/>
        <v>7.2799982901224303E-2</v>
      </c>
      <c r="F191" s="6">
        <f t="shared" ref="F191:H191" si="491">F154</f>
        <v>0.1113095478662298</v>
      </c>
      <c r="G191" s="6">
        <f t="shared" si="491"/>
        <v>0.11091277099762989</v>
      </c>
      <c r="H191" s="6">
        <f t="shared" si="491"/>
        <v>0.11324882528963676</v>
      </c>
      <c r="I191" s="6">
        <f t="shared" si="479"/>
        <v>0.12334856036474222</v>
      </c>
      <c r="J191" s="6">
        <f t="shared" si="479"/>
        <v>0.13308287833344792</v>
      </c>
      <c r="K191" s="6">
        <f t="shared" ref="K191:L191" si="492">K154</f>
        <v>0.14046420066248355</v>
      </c>
      <c r="L191" s="6">
        <f t="shared" si="492"/>
        <v>0.14463708863242258</v>
      </c>
      <c r="M191" s="6">
        <f t="shared" si="479"/>
        <v>0.14633958167928779</v>
      </c>
      <c r="N191" s="31"/>
      <c r="AH191" s="198"/>
      <c r="AI191" s="198"/>
      <c r="AJ191" s="198"/>
      <c r="AK191" s="198"/>
      <c r="AL191" s="198"/>
      <c r="AM191" s="198"/>
      <c r="AN191" s="198"/>
      <c r="AO191" s="198"/>
      <c r="AP191" s="198"/>
      <c r="AQ191" s="198"/>
      <c r="AR191" s="198"/>
      <c r="AS191" s="198"/>
      <c r="AT191" s="198"/>
      <c r="AU191" s="198"/>
      <c r="AV191" s="198"/>
      <c r="AW191" s="198"/>
      <c r="AX191" s="198"/>
      <c r="AY191" s="198"/>
    </row>
    <row r="192" spans="1:51">
      <c r="A192" t="s">
        <v>16</v>
      </c>
      <c r="B192" t="str">
        <f t="shared" si="481"/>
        <v>TPPUMER</v>
      </c>
      <c r="C192" t="str">
        <f t="shared" si="481"/>
        <v>Metro Rail pkm</v>
      </c>
      <c r="E192" s="6">
        <f t="shared" si="482"/>
        <v>8.7048317578401608</v>
      </c>
      <c r="F192" s="6">
        <f t="shared" ref="F192:H192" si="493">F155</f>
        <v>8.8749083635056305</v>
      </c>
      <c r="G192" s="6">
        <f t="shared" si="493"/>
        <v>9.0239745751619225</v>
      </c>
      <c r="H192" s="6">
        <f t="shared" si="493"/>
        <v>9.1197012950280598</v>
      </c>
      <c r="I192" s="6">
        <f t="shared" si="479"/>
        <v>9.6495114415779959</v>
      </c>
      <c r="J192" s="6">
        <f t="shared" si="479"/>
        <v>9.7865025787072693</v>
      </c>
      <c r="K192" s="6">
        <f t="shared" ref="K192:L192" si="494">K155</f>
        <v>9.4712142304070923</v>
      </c>
      <c r="L192" s="6">
        <f t="shared" si="494"/>
        <v>9.2768904504800904</v>
      </c>
      <c r="M192" s="6">
        <f t="shared" si="479"/>
        <v>8.8955235089868872</v>
      </c>
      <c r="N192" s="31"/>
      <c r="AH192" s="198"/>
      <c r="AI192" s="198"/>
      <c r="AJ192" s="198"/>
      <c r="AK192" s="198"/>
      <c r="AL192" s="198"/>
      <c r="AM192" s="198"/>
      <c r="AN192" s="198"/>
      <c r="AO192" s="198"/>
      <c r="AP192" s="198"/>
      <c r="AQ192" s="198"/>
      <c r="AR192" s="198"/>
      <c r="AS192" s="198"/>
      <c r="AT192" s="198"/>
      <c r="AU192" s="198"/>
      <c r="AV192" s="198"/>
      <c r="AW192" s="198"/>
      <c r="AX192" s="198"/>
      <c r="AY192" s="198"/>
    </row>
    <row r="193" spans="1:66">
      <c r="A193" t="s">
        <v>16</v>
      </c>
      <c r="B193" t="str">
        <f t="shared" si="481"/>
        <v>TPPUGAT</v>
      </c>
      <c r="C193" t="str">
        <f t="shared" si="481"/>
        <v>Gautrain pkm</v>
      </c>
      <c r="E193" s="6">
        <f t="shared" si="482"/>
        <v>0.64854136839212595</v>
      </c>
      <c r="F193" s="6">
        <f t="shared" ref="F193:H193" si="495">F156</f>
        <v>0.6995709084876961</v>
      </c>
      <c r="G193" s="6">
        <f t="shared" si="495"/>
        <v>0.64248252977129328</v>
      </c>
      <c r="H193" s="6">
        <f t="shared" si="495"/>
        <v>0.68522387738371804</v>
      </c>
      <c r="I193" s="6">
        <f t="shared" si="479"/>
        <v>0.81566069118119378</v>
      </c>
      <c r="J193" s="6">
        <f t="shared" si="479"/>
        <v>1.0013836629689683</v>
      </c>
      <c r="K193" s="6">
        <f t="shared" ref="K193:L193" si="496">K156</f>
        <v>1.1699568078493543</v>
      </c>
      <c r="L193" s="6">
        <f t="shared" si="496"/>
        <v>1.3180866292979314</v>
      </c>
      <c r="M193" s="6">
        <f t="shared" si="479"/>
        <v>1.447944780185249</v>
      </c>
      <c r="N193" s="31"/>
      <c r="AH193" s="198"/>
      <c r="AI193" s="198"/>
      <c r="AJ193" s="198"/>
      <c r="AK193" s="198"/>
      <c r="AL193" s="198"/>
      <c r="AM193" s="198"/>
      <c r="AN193" s="198"/>
      <c r="AO193" s="198"/>
      <c r="AP193" s="198"/>
      <c r="AQ193" s="198"/>
      <c r="AR193" s="198"/>
      <c r="AS193" s="198"/>
      <c r="AT193" s="198"/>
      <c r="AU193" s="198"/>
      <c r="AV193" s="198"/>
      <c r="AW193" s="198"/>
      <c r="AX193" s="198"/>
      <c r="AY193" s="198"/>
    </row>
    <row r="194" spans="1:66">
      <c r="E194" s="6"/>
      <c r="G194" s="6"/>
      <c r="I194" s="6"/>
      <c r="J194" s="6"/>
      <c r="K194" s="6"/>
      <c r="L194" s="6"/>
      <c r="M194" s="6"/>
      <c r="N194" s="31"/>
      <c r="Q194" s="198"/>
      <c r="S194" s="198"/>
      <c r="T194" s="198"/>
      <c r="U194" s="198"/>
      <c r="V194" s="198"/>
      <c r="W194" s="198"/>
      <c r="X194" s="198"/>
      <c r="AA194" s="198"/>
      <c r="AB194" s="198"/>
      <c r="AD194" s="198"/>
      <c r="AE194" s="198"/>
      <c r="AF194" s="198"/>
      <c r="AG194" s="198"/>
      <c r="AH194" s="198"/>
      <c r="AI194" s="198"/>
      <c r="AJ194" s="198"/>
      <c r="AK194" s="198"/>
      <c r="AL194" s="198"/>
      <c r="AM194" s="198"/>
      <c r="AN194" s="198"/>
      <c r="AO194" s="198"/>
      <c r="AP194" s="198"/>
      <c r="AQ194" s="198"/>
      <c r="AR194" s="198"/>
      <c r="AS194" s="198"/>
      <c r="AT194" s="198"/>
      <c r="AU194" s="198"/>
      <c r="AV194" s="198"/>
      <c r="AW194" s="198"/>
      <c r="AX194" s="198"/>
      <c r="AY194" s="198"/>
    </row>
    <row r="195" spans="1:66" ht="23.25">
      <c r="E195" t="s">
        <v>16</v>
      </c>
      <c r="F195" s="10" t="s">
        <v>18</v>
      </c>
      <c r="G195" s="10" t="s">
        <v>19</v>
      </c>
      <c r="H195" s="10" t="s">
        <v>20</v>
      </c>
      <c r="I195" s="10" t="s">
        <v>21</v>
      </c>
      <c r="J195" s="10" t="s">
        <v>22</v>
      </c>
      <c r="K195" s="10" t="s">
        <v>23</v>
      </c>
      <c r="L195" s="10" t="s">
        <v>24</v>
      </c>
      <c r="M195" s="10" t="s">
        <v>594</v>
      </c>
      <c r="N195" s="10" t="s">
        <v>623</v>
      </c>
      <c r="O195" s="10" t="s">
        <v>766</v>
      </c>
      <c r="P195" s="11" t="s">
        <v>25</v>
      </c>
      <c r="Q195" s="12">
        <v>2017</v>
      </c>
      <c r="R195" s="12">
        <f t="shared" ref="R195:AT195" si="497">1+Q195</f>
        <v>2018</v>
      </c>
      <c r="S195" s="12">
        <f t="shared" si="497"/>
        <v>2019</v>
      </c>
      <c r="T195" s="12">
        <f t="shared" si="497"/>
        <v>2020</v>
      </c>
      <c r="U195" s="12">
        <f>1+S195</f>
        <v>2020</v>
      </c>
      <c r="V195" s="12">
        <f>1+S195</f>
        <v>2020</v>
      </c>
      <c r="W195" s="12">
        <f>1+T195</f>
        <v>2021</v>
      </c>
      <c r="X195" s="12">
        <f t="shared" si="497"/>
        <v>2022</v>
      </c>
      <c r="Y195" s="12">
        <f t="shared" si="497"/>
        <v>2023</v>
      </c>
      <c r="Z195" s="12">
        <f t="shared" si="497"/>
        <v>2024</v>
      </c>
      <c r="AA195" s="12">
        <f t="shared" si="497"/>
        <v>2025</v>
      </c>
      <c r="AB195" s="12">
        <f t="shared" si="497"/>
        <v>2026</v>
      </c>
      <c r="AC195" s="12">
        <f t="shared" si="497"/>
        <v>2027</v>
      </c>
      <c r="AD195" s="12">
        <f t="shared" si="497"/>
        <v>2028</v>
      </c>
      <c r="AE195" s="12">
        <f t="shared" si="497"/>
        <v>2029</v>
      </c>
      <c r="AF195" s="12">
        <f>1+AD195</f>
        <v>2029</v>
      </c>
      <c r="AG195" s="12">
        <f>1+AD195</f>
        <v>2029</v>
      </c>
      <c r="AH195" s="12">
        <f>1+AE195</f>
        <v>2030</v>
      </c>
      <c r="AI195" s="12">
        <f t="shared" si="497"/>
        <v>2031</v>
      </c>
      <c r="AJ195" s="12">
        <f t="shared" si="497"/>
        <v>2032</v>
      </c>
      <c r="AK195" s="12">
        <f t="shared" si="497"/>
        <v>2033</v>
      </c>
      <c r="AL195" s="12">
        <f t="shared" si="497"/>
        <v>2034</v>
      </c>
      <c r="AM195" s="12">
        <f t="shared" si="497"/>
        <v>2035</v>
      </c>
      <c r="AN195" s="12">
        <f>1+AL195</f>
        <v>2035</v>
      </c>
      <c r="AO195" s="12">
        <f>1+AM195</f>
        <v>2036</v>
      </c>
      <c r="AP195" s="12">
        <f t="shared" si="497"/>
        <v>2037</v>
      </c>
      <c r="AQ195" s="12">
        <f>1+AO195</f>
        <v>2037</v>
      </c>
      <c r="AR195" s="12">
        <f t="shared" si="497"/>
        <v>2038</v>
      </c>
      <c r="AS195" s="12">
        <f t="shared" si="497"/>
        <v>2039</v>
      </c>
      <c r="AT195" s="12">
        <f t="shared" si="497"/>
        <v>2040</v>
      </c>
      <c r="AU195" s="12">
        <v>2045</v>
      </c>
      <c r="AV195" s="12">
        <v>2050</v>
      </c>
      <c r="AW195" s="12">
        <v>2060</v>
      </c>
      <c r="AX195" s="12">
        <v>2070</v>
      </c>
      <c r="AY195" s="12"/>
      <c r="BB195" s="12"/>
      <c r="BC195" s="12"/>
      <c r="BM195" s="12"/>
      <c r="BN195" s="12"/>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1"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98"/>
        <v>1</v>
      </c>
      <c r="R197" s="31" t="e">
        <f t="shared" si="498"/>
        <v>#N/A</v>
      </c>
      <c r="S197" s="31">
        <f t="shared" si="498"/>
        <v>2</v>
      </c>
      <c r="T197" s="31">
        <f t="shared" si="498"/>
        <v>3</v>
      </c>
      <c r="U197" s="31">
        <f>MATCH(Q$214,$E$185:$M$185,$G197)</f>
        <v>3</v>
      </c>
      <c r="V197" s="31">
        <f t="shared" si="499"/>
        <v>3</v>
      </c>
      <c r="W197" s="31">
        <f t="shared" si="499"/>
        <v>4</v>
      </c>
      <c r="X197" s="31" t="e">
        <f t="shared" si="499"/>
        <v>#N/A</v>
      </c>
      <c r="Y197" s="31" t="e">
        <f t="shared" si="499"/>
        <v>#N/A</v>
      </c>
      <c r="Z197" s="31" t="e">
        <f t="shared" si="500"/>
        <v>#N/A</v>
      </c>
      <c r="AA197" s="31" t="e">
        <f t="shared" si="500"/>
        <v>#N/A</v>
      </c>
      <c r="AB197" s="31" t="e">
        <f t="shared" si="500"/>
        <v>#N/A</v>
      </c>
      <c r="AC197" s="31" t="e">
        <f t="shared" si="500"/>
        <v>#N/A</v>
      </c>
      <c r="AD197" s="31" t="e">
        <f t="shared" si="500"/>
        <v>#N/A</v>
      </c>
      <c r="AE197" s="31" t="e">
        <f t="shared" si="500"/>
        <v>#N/A</v>
      </c>
      <c r="AF197" s="31" t="e">
        <f>MATCH(AB$214,$E$185:$M$185,$G197)</f>
        <v>#N/A</v>
      </c>
      <c r="AG197" s="31" t="e">
        <f t="shared" si="501"/>
        <v>#N/A</v>
      </c>
      <c r="AH197" s="31">
        <f t="shared" si="501"/>
        <v>5</v>
      </c>
      <c r="AI197" s="31" t="e">
        <f t="shared" si="501"/>
        <v>#N/A</v>
      </c>
      <c r="AJ197" s="31" t="e">
        <f t="shared" si="501"/>
        <v>#N/A</v>
      </c>
      <c r="AK197" s="31" t="e">
        <f t="shared" si="502"/>
        <v>#N/A</v>
      </c>
      <c r="AL197" s="31" t="e">
        <f t="shared" si="502"/>
        <v>#N/A</v>
      </c>
      <c r="AM197" s="31" t="e">
        <f t="shared" si="502"/>
        <v>#N/A</v>
      </c>
      <c r="AN197" s="31" t="e">
        <f t="shared" si="503"/>
        <v>#N/A</v>
      </c>
      <c r="AO197" s="31" t="e">
        <f t="shared" si="503"/>
        <v>#N/A</v>
      </c>
      <c r="AP197" s="31" t="e">
        <f t="shared" si="503"/>
        <v>#N/A</v>
      </c>
      <c r="AQ197" s="31" t="e">
        <f>MATCH(AL$214,$E$185:$M$185,$G197)</f>
        <v>#N/A</v>
      </c>
      <c r="AR197" s="31" t="e">
        <f>MATCH(AM$214,$E$185:$M$185,$G197)</f>
        <v>#N/A</v>
      </c>
      <c r="AS197" s="31" t="e">
        <f>MATCH(AO$214,$E$185:$M$185,$G197)</f>
        <v>#N/A</v>
      </c>
      <c r="AT197" s="31">
        <f t="shared" si="504"/>
        <v>6</v>
      </c>
      <c r="AU197" s="31" t="e">
        <f t="shared" si="504"/>
        <v>#N/A</v>
      </c>
      <c r="AV197" s="31">
        <f t="shared" si="504"/>
        <v>7</v>
      </c>
      <c r="AW197">
        <f>MATCH(AT$214,$G$210:$O$210,$G197)</f>
        <v>8</v>
      </c>
      <c r="AX197">
        <f>MATCH(AU$214,$G$210:$O$210,$G197)</f>
        <v>9</v>
      </c>
      <c r="BM197" s="31"/>
    </row>
    <row r="198" spans="1:66">
      <c r="E198" s="31"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6">
        <f t="shared" ref="Q199" si="506">IF(ISNA(Q196),-1,IF(ISNA(Q198),99,IF(ISNA(Q197),Q196,0)))</f>
        <v>0</v>
      </c>
      <c r="R199" s="66">
        <f t="shared" ref="R199:AX199" si="507">IF(ISNA(R196),-1,IF(ISNA(R198),99,IF(ISNA(R197),R196,0)))</f>
        <v>1</v>
      </c>
      <c r="S199" s="66">
        <f t="shared" si="507"/>
        <v>0</v>
      </c>
      <c r="T199" s="66">
        <f t="shared" si="507"/>
        <v>0</v>
      </c>
      <c r="U199" s="66">
        <f t="shared" ref="U199:V199" si="508">IF(ISNA(U196),-1,IF(ISNA(U198),99,IF(ISNA(U197),U196,0)))</f>
        <v>0</v>
      </c>
      <c r="V199" s="66">
        <f t="shared" si="508"/>
        <v>0</v>
      </c>
      <c r="W199" s="66">
        <f t="shared" si="507"/>
        <v>0</v>
      </c>
      <c r="X199" s="66">
        <f t="shared" si="507"/>
        <v>4</v>
      </c>
      <c r="Y199" s="66">
        <f t="shared" si="507"/>
        <v>4</v>
      </c>
      <c r="Z199" s="66">
        <f t="shared" si="507"/>
        <v>4</v>
      </c>
      <c r="AA199" s="66">
        <f t="shared" si="507"/>
        <v>4</v>
      </c>
      <c r="AB199" s="66">
        <f t="shared" si="507"/>
        <v>4</v>
      </c>
      <c r="AC199" s="66">
        <f t="shared" si="507"/>
        <v>4</v>
      </c>
      <c r="AD199" s="66">
        <f t="shared" si="507"/>
        <v>4</v>
      </c>
      <c r="AE199" s="66">
        <f t="shared" si="507"/>
        <v>4</v>
      </c>
      <c r="AF199" s="66">
        <f t="shared" ref="AF199:AG199" si="509">IF(ISNA(AF196),-1,IF(ISNA(AF198),99,IF(ISNA(AF197),AF196,0)))</f>
        <v>4</v>
      </c>
      <c r="AG199" s="66">
        <f t="shared" si="509"/>
        <v>4</v>
      </c>
      <c r="AH199" s="66">
        <f t="shared" si="507"/>
        <v>0</v>
      </c>
      <c r="AI199" s="66">
        <f t="shared" si="507"/>
        <v>5</v>
      </c>
      <c r="AJ199" s="66">
        <f t="shared" si="507"/>
        <v>5</v>
      </c>
      <c r="AK199" s="66">
        <f t="shared" si="507"/>
        <v>5</v>
      </c>
      <c r="AL199" s="66">
        <f t="shared" si="507"/>
        <v>5</v>
      </c>
      <c r="AM199" s="66">
        <f t="shared" si="507"/>
        <v>5</v>
      </c>
      <c r="AN199" s="66">
        <f t="shared" ref="AN199" si="510">IF(ISNA(AN196),-1,IF(ISNA(AN198),99,IF(ISNA(AN197),AN196,0)))</f>
        <v>5</v>
      </c>
      <c r="AO199" s="66">
        <f t="shared" si="507"/>
        <v>5</v>
      </c>
      <c r="AP199" s="66">
        <f t="shared" ref="AP199" si="511">IF(ISNA(AP196),-1,IF(ISNA(AP198),99,IF(ISNA(AP197),AP196,0)))</f>
        <v>5</v>
      </c>
      <c r="AQ199" s="66">
        <f t="shared" si="507"/>
        <v>5</v>
      </c>
      <c r="AR199" s="66">
        <f t="shared" si="507"/>
        <v>5</v>
      </c>
      <c r="AS199" s="66">
        <f t="shared" si="507"/>
        <v>5</v>
      </c>
      <c r="AT199" s="66">
        <f t="shared" si="507"/>
        <v>0</v>
      </c>
      <c r="AU199" s="66">
        <f t="shared" si="507"/>
        <v>6</v>
      </c>
      <c r="AV199" s="66">
        <f t="shared" si="507"/>
        <v>0</v>
      </c>
      <c r="AW199" s="66">
        <f t="shared" si="507"/>
        <v>0</v>
      </c>
      <c r="AX199" s="66">
        <f t="shared" si="507"/>
        <v>0</v>
      </c>
      <c r="AY199" s="66"/>
      <c r="BB199" s="66"/>
      <c r="BC199" s="66"/>
      <c r="BM199" s="66"/>
      <c r="BN199" s="66"/>
    </row>
    <row r="200" spans="1:66">
      <c r="E200" t="s">
        <v>16</v>
      </c>
      <c r="F200" s="15" t="str">
        <f t="shared" ref="F200:F207" si="512">IF(E200="*","","COM_PROJ")</f>
        <v/>
      </c>
      <c r="G200" s="43" t="str">
        <f t="shared" ref="G200:G207" si="513">B172</f>
        <v>TPPRCAR</v>
      </c>
      <c r="H200" s="16"/>
      <c r="J200" s="16" t="str">
        <f t="shared" ref="J200:M207" si="514">IF($E200="*","","-")</f>
        <v/>
      </c>
      <c r="L200" s="16" t="str">
        <f t="shared" si="514"/>
        <v/>
      </c>
      <c r="M200" s="16" t="str">
        <f t="shared" si="514"/>
        <v/>
      </c>
      <c r="N200" s="15" t="str">
        <f t="shared" ref="N200:N207" si="515">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245">
        <f>(AT200+AV200)/2</f>
        <v>146.45624086635229</v>
      </c>
      <c r="AV200" s="3" cm="1">
        <f t="array" ref="AV200">IF(AV$199=-1,AW200,IF(AV$199=99,AU200,IF(AV$199=0,INDEX($E186:$M186,0,AV$197),(INDEX($E186:$M186,0,AV$199+1)-INDEX($E186:$M186,0,AV$199))/(INDEX($E$185:$M$185,0,AV$199+1)-INDEX($E$185:$M$185,0,AV$199))+AU200)))</f>
        <v>164.79876687305341</v>
      </c>
      <c r="AW200" s="3" cm="1">
        <f t="array" ref="AW200">IF(AW$199=-1,AX200,IF(AW$199=99,AV200,IF(AW$199=0,INDEX($E186:$M186,0,AW$197),(INDEX($E186:$M186,0,AW$199+1)-INDEX($E186:$M186,0,AW$199))/(INDEX($E$185:$M$185,0,AW$199+1)-INDEX($E$185:$M$185,0,AW$199))+AV200)))</f>
        <v>184.31240491540811</v>
      </c>
      <c r="AX200" s="3" cm="1">
        <f t="array" ref="AX200">IF(AX$199=-1,AY200,IF(AX$199=99,AW200,IF(AX$199=0,INDEX($E186:$M186,0,AX$197),(INDEX($E186:$M186,0,AX$199+1)-INDEX($E186:$M186,0,AX$199))/(INDEX($E$185:$M$185,0,AX$199+1)-INDEX($E$185:$M$185,0,AX$199))+AW200)))</f>
        <v>201.44093923041561</v>
      </c>
      <c r="AY200" s="3"/>
      <c r="BB200" s="3"/>
      <c r="BC200" s="3"/>
      <c r="BM200" s="3"/>
      <c r="BN200" s="92"/>
    </row>
    <row r="201" spans="1:66">
      <c r="E201" t="s">
        <v>16</v>
      </c>
      <c r="F201" s="15" t="str">
        <f t="shared" si="512"/>
        <v/>
      </c>
      <c r="G201" s="43" t="str">
        <f t="shared" si="513"/>
        <v>TPPRSUV</v>
      </c>
      <c r="H201" s="16"/>
      <c r="J201" s="16" t="str">
        <f t="shared" si="514"/>
        <v/>
      </c>
      <c r="L201" s="16" t="str">
        <f t="shared" si="514"/>
        <v/>
      </c>
      <c r="M201" s="16" t="str">
        <f t="shared" si="514"/>
        <v/>
      </c>
      <c r="N201" s="15" t="str">
        <f t="shared" si="515"/>
        <v/>
      </c>
      <c r="O201" s="15"/>
      <c r="P201" s="15"/>
      <c r="Q201" s="3">
        <f t="shared" ref="Q201:Q207" si="516">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245">
        <f t="shared" ref="AU201:AU207" si="517">(AT201+AV201)/2</f>
        <v>31.121951184099871</v>
      </c>
      <c r="AV201" s="3" cm="1">
        <f t="array" ref="AV201">IF(AV$199=-1,AW201,IF(AV$199=99,AU201,IF(AV$199=0,INDEX($E187:$M187,0,AV$197),(INDEX($E187:$M187,0,AV$199+1)-INDEX($E187:$M187,0,AV$199))/(INDEX($E$185:$M$185,0,AV$199+1)-INDEX($E$185:$M$185,0,AV$199))+AU201)))</f>
        <v>35.019737960523855</v>
      </c>
      <c r="AW201" s="3" cm="1">
        <f t="array" ref="AW201">IF(AW$199=-1,AX201,IF(AW$199=99,AV201,IF(AW$199=0,INDEX($E187:$M187,0,AW$197),(INDEX($E187:$M187,0,AW$199+1)-INDEX($E187:$M187,0,AW$199))/(INDEX($E$185:$M$185,0,AW$199+1)-INDEX($E$185:$M$185,0,AW$199))+AV201)))</f>
        <v>39.166386044524231</v>
      </c>
      <c r="AX201" s="3" cm="1">
        <f t="array" ref="AX201">IF(AX$199=-1,AY201,IF(AX$199=99,AW201,IF(AX$199=0,INDEX($E187:$M187,0,AX$197),(INDEX($E187:$M187,0,AX$199+1)-INDEX($E187:$M187,0,AX$199))/(INDEX($E$185:$M$185,0,AX$199+1)-INDEX($E$185:$M$185,0,AX$199))+AW201)))</f>
        <v>42.806199586463322</v>
      </c>
      <c r="AY201" s="3"/>
      <c r="BB201" s="3"/>
      <c r="BC201" s="3"/>
      <c r="BM201" s="3"/>
      <c r="BN201" s="92"/>
    </row>
    <row r="202" spans="1:66">
      <c r="E202" t="s">
        <v>16</v>
      </c>
      <c r="F202" s="15" t="str">
        <f t="shared" si="512"/>
        <v/>
      </c>
      <c r="G202" s="43" t="str">
        <f t="shared" si="513"/>
        <v>TPPRMOT</v>
      </c>
      <c r="H202" s="16"/>
      <c r="J202" s="16" t="str">
        <f t="shared" si="514"/>
        <v/>
      </c>
      <c r="L202" s="16" t="str">
        <f t="shared" si="514"/>
        <v/>
      </c>
      <c r="M202" s="16" t="str">
        <f t="shared" si="514"/>
        <v/>
      </c>
      <c r="N202" s="15" t="str">
        <f t="shared" si="515"/>
        <v/>
      </c>
      <c r="O202" s="15"/>
      <c r="P202" s="15"/>
      <c r="Q202" s="3">
        <f t="shared" si="516"/>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245">
        <f t="shared" si="517"/>
        <v>5.4921090324882123</v>
      </c>
      <c r="AV202" s="3" cm="1">
        <f t="array" ref="AV202">IF(AV$199=-1,AW202,IF(AV$199=99,AU202,IF(AV$199=0,INDEX($E188:$M188,0,AV$197),(INDEX($E188:$M188,0,AV$199+1)-INDEX($E188:$M188,0,AV$199))/(INDEX($E$185:$M$185,0,AV$199+1)-INDEX($E$185:$M$185,0,AV$199))+AU202)))</f>
        <v>6.1799537577395034</v>
      </c>
      <c r="AW202" s="3" cm="1">
        <f t="array" ref="AW202">IF(AW$199=-1,AX202,IF(AW$199=99,AV202,IF(AW$199=0,INDEX($E188:$M188,0,AW$197),(INDEX($E188:$M188,0,AW$199+1)-INDEX($E188:$M188,0,AW$199))/(INDEX($E$185:$M$185,0,AW$199+1)-INDEX($E$185:$M$185,0,AW$199))+AV202)))</f>
        <v>6.9117151843278037</v>
      </c>
      <c r="AX202" s="3" cm="1">
        <f t="array" ref="AX202">IF(AX$199=-1,AY202,IF(AX$199=99,AW202,IF(AX$199=0,INDEX($E188:$M188,0,AX$197),(INDEX($E188:$M188,0,AX$199+1)-INDEX($E188:$M188,0,AX$199))/(INDEX($E$185:$M$185,0,AX$199+1)-INDEX($E$185:$M$185,0,AX$199))+AW202)))</f>
        <v>7.5540352211405857</v>
      </c>
      <c r="AY202" s="3"/>
      <c r="BB202" s="3"/>
      <c r="BC202" s="3"/>
      <c r="BM202" s="3"/>
      <c r="BN202" s="92"/>
    </row>
    <row r="203" spans="1:66">
      <c r="E203" t="s">
        <v>16</v>
      </c>
      <c r="F203" s="15" t="str">
        <f t="shared" si="512"/>
        <v/>
      </c>
      <c r="G203" s="43" t="str">
        <f t="shared" si="513"/>
        <v>TPPUBUS</v>
      </c>
      <c r="H203" s="16"/>
      <c r="J203" s="16" t="str">
        <f t="shared" si="514"/>
        <v/>
      </c>
      <c r="L203" s="16" t="str">
        <f t="shared" si="514"/>
        <v/>
      </c>
      <c r="M203" s="16" t="str">
        <f t="shared" si="514"/>
        <v/>
      </c>
      <c r="N203" s="15" t="str">
        <f t="shared" si="515"/>
        <v/>
      </c>
      <c r="O203" s="15"/>
      <c r="P203" s="15"/>
      <c r="Q203" s="3">
        <f t="shared" si="516"/>
        <v>0.64296697178877804</v>
      </c>
      <c r="R203" s="3" cm="1">
        <f t="array" ref="R203">IF(R$199=-1,S203,IF(R$199=99,Q203,IF(R$199=0,INDEX($E189:$M189,0,R$197),(INDEX($E189:$M189,0,R$199+1)-INDEX($E189:$M189,0,R$199))/(INDEX($E$185:$M$185,0,R$199+1)-INDEX($E$185:$M$185,0,R$199))+Q203)))</f>
        <v>0.64929079481231411</v>
      </c>
      <c r="S203" s="3" cm="1">
        <f t="array" ref="S203">IF(S$199=-1,T203,IF(S$199=99,R203,IF(S$199=0,INDEX($E189:$M189,0,S$197),(INDEX($E189:$M189,0,S$199+1)-INDEX($E189:$M189,0,S$199))/(INDEX($E$185:$M$185,0,S$199+1)-INDEX($E$185:$M$185,0,S$199))+R203)))</f>
        <v>0.65561461783585018</v>
      </c>
      <c r="T203" s="3" cm="1">
        <f t="array" ref="T203">IF(T$199=-1,W203,IF(T$199=99,S203,IF(T$199=0,INDEX($E189:$M189,0,T$197),(INDEX($E189:$M189,0,T$199+1)-INDEX($E189:$M189,0,T$199))/(INDEX($E$185:$M$185,0,T$199+1)-INDEX($E$185:$M$185,0,T$199))+S203)))</f>
        <v>0.6666265611015576</v>
      </c>
      <c r="U203" s="3" cm="1">
        <f t="array" ref="U203">IF(U$199=-1,W203,IF(U$199=99,S203,IF(U$199=0,INDEX($E189:$M189,0,U$197),(INDEX($E189:$M189,0,U$199+1)-INDEX($E189:$M189,0,U$199))/(INDEX($E$185:$M$185,0,U$199+1)-INDEX($E$185:$M$185,0,U$199))+S203)))</f>
        <v>0.6666265611015576</v>
      </c>
      <c r="V203" s="3" cm="1">
        <f t="array" ref="V203">IF(V$199=-1,W203,IF(V$199=99,S203,IF(V$199=0,INDEX($E189:$M189,0,V$197),(INDEX($E189:$M189,0,V$199+1)-INDEX($E189:$M189,0,V$199))/(INDEX($E$185:$M$185,0,V$199+1)-INDEX($E$185:$M$185,0,V$199))+S203)))</f>
        <v>0.6666265611015576</v>
      </c>
      <c r="W203" s="3" cm="1">
        <f t="array" ref="W203">IF(W$199=-1,X203,IF(W$199=99,T203,IF(W$199=0,INDEX($E189:$M189,0,W$197),(INDEX($E189:$M189,0,W$199+1)-INDEX($E189:$M189,0,W$199))/(INDEX($E$185:$M$185,0,W$199+1)-INDEX($E$185:$M$185,0,W$199))+T203)))</f>
        <v>0.67369816503155333</v>
      </c>
      <c r="X203" s="3" cm="1">
        <f t="array" ref="X203">IF(X$199=-1,Y203,IF(X$199=99,W203,IF(X$199=0,INDEX($E189:$M189,0,X$197),(INDEX($E189:$M189,0,X$199+1)-INDEX($E189:$M189,0,X$199))/(INDEX($E$185:$M$185,0,X$199+1)-INDEX($E$185:$M$185,0,X$199))+W203)))</f>
        <v>0.6780468957142175</v>
      </c>
      <c r="Y203" s="3" cm="1">
        <f t="array" ref="Y203">IF(Y$199=-1,Z203,IF(Y$199=99,X203,IF(Y$199=0,INDEX($E189:$M189,0,Y$197),(INDEX($E189:$M189,0,Y$199+1)-INDEX($E189:$M189,0,Y$199))/(INDEX($E$185:$M$185,0,Y$199+1)-INDEX($E$185:$M$185,0,Y$199))+X203)))</f>
        <v>0.68239562639688167</v>
      </c>
      <c r="Z203" s="3" cm="1">
        <f t="array" ref="Z203">IF(Z$199=-1,AA203,IF(Z$199=99,Y203,IF(Z$199=0,INDEX($E189:$M189,0,Z$197),(INDEX($E189:$M189,0,Z$199+1)-INDEX($E189:$M189,0,Z$199))/(INDEX($E$185:$M$185,0,Z$199+1)-INDEX($E$185:$M$185,0,Z$199))+Y203)))</f>
        <v>0.68674435707954584</v>
      </c>
      <c r="AA203" s="3" cm="1">
        <f t="array" ref="AA203">IF(AA$199=-1,AB203,IF(AA$199=99,Z203,IF(AA$199=0,INDEX($E189:$M189,0,AA$197),(INDEX($E189:$M189,0,AA$199+1)-INDEX($E189:$M189,0,AA$199))/(INDEX($E$185:$M$185,0,AA$199+1)-INDEX($E$185:$M$185,0,AA$199))+Z203)))</f>
        <v>0.69109308776221001</v>
      </c>
      <c r="AB203" s="3" cm="1">
        <f t="array" ref="AB203">IF(AB$199=-1,AC203,IF(AB$199=99,AA203,IF(AB$199=0,INDEX($E189:$M189,0,AB$197),(INDEX($E189:$M189,0,AB$199+1)-INDEX($E189:$M189,0,AB$199))/(INDEX($E$185:$M$185,0,AB$199+1)-INDEX($E$185:$M$185,0,AB$199))+AA203)))</f>
        <v>0.69544181844487418</v>
      </c>
      <c r="AC203" s="3" cm="1">
        <f t="array" ref="AC203">IF(AC$199=-1,AD203,IF(AC$199=99,AB203,IF(AC$199=0,INDEX($E189:$M189,0,AC$197),(INDEX($E189:$M189,0,AC$199+1)-INDEX($E189:$M189,0,AC$199))/(INDEX($E$185:$M$185,0,AC$199+1)-INDEX($E$185:$M$185,0,AC$199))+AB203)))</f>
        <v>0.69979054912753835</v>
      </c>
      <c r="AD203" s="3" cm="1">
        <f t="array" ref="AD203">IF(AD$199=-1,AE203,IF(AD$199=99,AC203,IF(AD$199=0,INDEX($E189:$M189,0,AD$197),(INDEX($E189:$M189,0,AD$199+1)-INDEX($E189:$M189,0,AD$199))/(INDEX($E$185:$M$185,0,AD$199+1)-INDEX($E$185:$M$185,0,AD$199))+AC203)))</f>
        <v>0.70413927981020252</v>
      </c>
      <c r="AE203" s="3" cm="1">
        <f t="array" ref="AE203">IF(AE$199=-1,AH203,IF(AE$199=99,AD203,IF(AE$199=0,INDEX($E189:$M189,0,AE$197),(INDEX($E189:$M189,0,AE$199+1)-INDEX($E189:$M189,0,AE$199))/(INDEX($E$185:$M$185,0,AE$199+1)-INDEX($E$185:$M$185,0,AE$199))+AD203)))</f>
        <v>0.70848801049286669</v>
      </c>
      <c r="AF203" s="3" cm="1">
        <f t="array" ref="AF203">IF(AF$199=-1,AH203,IF(AF$199=99,AD203,IF(AF$199=0,INDEX($E189:$M189,0,AF$197),(INDEX($E189:$M189,0,AF$199+1)-INDEX($E189:$M189,0,AF$199))/(INDEX($E$185:$M$185,0,AF$199+1)-INDEX($E$185:$M$185,0,AF$199))+AD203)))</f>
        <v>0.70848801049286669</v>
      </c>
      <c r="AG203" s="3" cm="1">
        <f t="array" ref="AG203">IF(AG$199=-1,AH203,IF(AG$199=99,AD203,IF(AG$199=0,INDEX($E189:$M189,0,AG$197),(INDEX($E189:$M189,0,AG$199+1)-INDEX($E189:$M189,0,AG$199))/(INDEX($E$185:$M$185,0,AG$199+1)-INDEX($E$185:$M$185,0,AG$199))+AD203)))</f>
        <v>0.70848801049286669</v>
      </c>
      <c r="AH203" s="3" cm="1">
        <f t="array" ref="AH203">IF(AH$199=-1,AI203,IF(AH$199=99,AE203,IF(AH$199=0,INDEX($E189:$M189,0,AH$197),(INDEX($E189:$M189,0,AH$199+1)-INDEX($E189:$M189,0,AH$199))/(INDEX($E$185:$M$185,0,AH$199+1)-INDEX($E$185:$M$185,0,AH$199))+AE203)))</f>
        <v>0.71283674117553131</v>
      </c>
      <c r="AI203" s="3" cm="1">
        <f t="array" ref="AI203">IF(AI$199=-1,AJ203,IF(AI$199=99,AH203,IF(AI$199=0,INDEX($E189:$M189,0,AI$197),(INDEX($E189:$M189,0,AI$199+1)-INDEX($E189:$M189,0,AI$199))/(INDEX($E$185:$M$185,0,AI$199+1)-INDEX($E$185:$M$185,0,AI$199))+AH203)))</f>
        <v>0.71384873350646316</v>
      </c>
      <c r="AJ203" s="3" cm="1">
        <f t="array" ref="AJ203">IF(AJ$199=-1,AK203,IF(AJ$199=99,AI203,IF(AJ$199=0,INDEX($E189:$M189,0,AJ$197),(INDEX($E189:$M189,0,AJ$199+1)-INDEX($E189:$M189,0,AJ$199))/(INDEX($E$185:$M$185,0,AJ$199+1)-INDEX($E$185:$M$185,0,AJ$199))+AI203)))</f>
        <v>0.71486072583739502</v>
      </c>
      <c r="AK203" s="3" cm="1">
        <f t="array" ref="AK203">IF(AK$199=-1,AL203,IF(AK$199=99,AJ203,IF(AK$199=0,INDEX($E189:$M189,0,AK$197),(INDEX($E189:$M189,0,AK$199+1)-INDEX($E189:$M189,0,AK$199))/(INDEX($E$185:$M$185,0,AK$199+1)-INDEX($E$185:$M$185,0,AK$199))+AJ203)))</f>
        <v>0.71587271816832687</v>
      </c>
      <c r="AL203" s="3" cm="1">
        <f t="array" ref="AL203">IF(AL$199=-1,AM203,IF(AL$199=99,AK203,IF(AL$199=0,INDEX($E189:$M189,0,AL$197),(INDEX($E189:$M189,0,AL$199+1)-INDEX($E189:$M189,0,AL$199))/(INDEX($E$185:$M$185,0,AL$199+1)-INDEX($E$185:$M$185,0,AL$199))+AK203)))</f>
        <v>0.71688471049925873</v>
      </c>
      <c r="AM203" s="3" cm="1">
        <f t="array" ref="AM203">IF(AM$199=-1,AO203,IF(AM$199=99,AL203,IF(AM$199=0,INDEX($E189:$M189,0,AM$197),(INDEX($E189:$M189,0,AM$199+1)-INDEX($E189:$M189,0,AM$199))/(INDEX($E$185:$M$185,0,AM$199+1)-INDEX($E$185:$M$185,0,AM$199))+AL203)))</f>
        <v>0.71789670283019058</v>
      </c>
      <c r="AN203" s="3" cm="1">
        <f t="array" ref="AN203">IF(AN$199=-1,AP203,IF(AN$199=99,AL203,IF(AN$199=0,INDEX($E189:$M189,0,AN$197),(INDEX($E189:$M189,0,AN$199+1)-INDEX($E189:$M189,0,AN$199))/(INDEX($E$185:$M$185,0,AN$199+1)-INDEX($E$185:$M$185,0,AN$199))+AL203)))</f>
        <v>0.71789670283019058</v>
      </c>
      <c r="AO203" s="3" cm="1">
        <f t="array" ref="AO203">IF(AO$199=-1,AQ203,IF(AO$199=99,AM203,IF(AO$199=0,INDEX($E189:$M189,0,AO$197),(INDEX($E189:$M189,0,AO$199+1)-INDEX($E189:$M189,0,AO$199))/(INDEX($E$185:$M$185,0,AO$199+1)-INDEX($E$185:$M$185,0,AO$199))+AM203)))</f>
        <v>0.71890869516112244</v>
      </c>
      <c r="AP203" s="3" cm="1">
        <f t="array" ref="AP203">IF(AP$199=-1,AR203,IF(AP$199=99,AO203,IF(AP$199=0,INDEX($E189:$M189,0,AP$197),(INDEX($E189:$M189,0,AP$199+1)-INDEX($E189:$M189,0,AP$199))/(INDEX($E$185:$M$185,0,AP$199+1)-INDEX($E$185:$M$185,0,AP$199))+AO203)))</f>
        <v>0.71992068749205429</v>
      </c>
      <c r="AQ203" s="3" cm="1">
        <f t="array" ref="AQ203">IF(AQ$199=-1,AR203,IF(AQ$199=99,AO203,IF(AQ$199=0,INDEX($E189:$M189,0,AQ$197),(INDEX($E189:$M189,0,AQ$199+1)-INDEX($E189:$M189,0,AQ$199))/(INDEX($E$185:$M$185,0,AQ$199+1)-INDEX($E$185:$M$185,0,AQ$199))+AO203)))</f>
        <v>0.71992068749205429</v>
      </c>
      <c r="AR203" s="3" cm="1">
        <f t="array" ref="AR203">IF(AR$199=-1,AS203,IF(AR$199=99,AQ203,IF(AR$199=0,INDEX($E189:$M189,0,AR$197),(INDEX($E189:$M189,0,AR$199+1)-INDEX($E189:$M189,0,AR$199))/(INDEX($E$185:$M$185,0,AR$199+1)-INDEX($E$185:$M$185,0,AR$199))+AQ203)))</f>
        <v>0.72093267982298614</v>
      </c>
      <c r="AS203" s="3" cm="1">
        <f t="array" ref="AS203">IF(AS$199=-1,AT203,IF(AS$199=99,AR203,IF(AS$199=0,INDEX($E189:$M189,0,AS$197),(INDEX($E189:$M189,0,AS$199+1)-INDEX($E189:$M189,0,AS$199))/(INDEX($E$185:$M$185,0,AS$199+1)-INDEX($E$185:$M$185,0,AS$199))+AR203)))</f>
        <v>0.721944672153918</v>
      </c>
      <c r="AT203" s="3" cm="1">
        <f t="array" ref="AT203">IF(AT$199=-1,AU203,IF(AT$199=99,AS203,IF(AT$199=0,INDEX($E189:$M189,0,AT$197),(INDEX($E189:$M189,0,AT$199+1)-INDEX($E189:$M189,0,AT$199))/(INDEX($E$185:$M$185,0,AT$199+1)-INDEX($E$185:$M$185,0,AT$199))+AS203)))</f>
        <v>0.72295666448485008</v>
      </c>
      <c r="AU203" s="245">
        <f t="shared" si="517"/>
        <v>0.71131104283376256</v>
      </c>
      <c r="AV203" s="3" cm="1">
        <f t="array" ref="AV203">IF(AV$199=-1,AW203,IF(AV$199=99,AU203,IF(AV$199=0,INDEX($E189:$M189,0,AV$197),(INDEX($E189:$M189,0,AV$199+1)-INDEX($E189:$M189,0,AV$199))/(INDEX($E$185:$M$185,0,AV$199+1)-INDEX($E$185:$M$185,0,AV$199))+AU203)))</f>
        <v>0.69966542118267516</v>
      </c>
      <c r="AW203" s="3" cm="1">
        <f t="array" ref="AW203">IF(AW$199=-1,AX203,IF(AW$199=99,AV203,IF(AW$199=0,INDEX($E189:$M189,0,AW$197),(INDEX($E189:$M189,0,AW$199+1)-INDEX($E189:$M189,0,AW$199))/(INDEX($E$185:$M$185,0,AW$199+1)-INDEX($E$185:$M$185,0,AW$199))+AV203)))</f>
        <v>0.68531017316263421</v>
      </c>
      <c r="AX203" s="3" cm="1">
        <f t="array" ref="AX203">IF(AX$199=-1,AY203,IF(AX$199=99,AW203,IF(AX$199=0,INDEX($E189:$M189,0,AX$197),(INDEX($E189:$M189,0,AX$199+1)-INDEX($E189:$M189,0,AX$199))/(INDEX($E$185:$M$185,0,AX$199+1)-INDEX($E$185:$M$185,0,AX$199))+AW203)))</f>
        <v>0.65713751702226919</v>
      </c>
      <c r="AY203" s="3"/>
      <c r="BB203" s="3"/>
      <c r="BC203" s="3"/>
      <c r="BM203" s="3"/>
      <c r="BN203" s="92"/>
    </row>
    <row r="204" spans="1:66">
      <c r="E204" t="s">
        <v>16</v>
      </c>
      <c r="F204" s="15" t="str">
        <f t="shared" si="512"/>
        <v/>
      </c>
      <c r="G204" s="43" t="str">
        <f t="shared" si="513"/>
        <v>TPPUMBT</v>
      </c>
      <c r="H204" s="16"/>
      <c r="J204" s="16" t="str">
        <f t="shared" si="514"/>
        <v/>
      </c>
      <c r="L204" s="16" t="str">
        <f t="shared" si="514"/>
        <v/>
      </c>
      <c r="M204" s="16" t="str">
        <f t="shared" si="514"/>
        <v/>
      </c>
      <c r="N204" s="15" t="str">
        <f t="shared" si="515"/>
        <v/>
      </c>
      <c r="O204" s="15"/>
      <c r="P204" s="15"/>
      <c r="Q204" s="3">
        <f t="shared" si="516"/>
        <v>7.2130505455454896</v>
      </c>
      <c r="R204" s="3" cm="1">
        <f t="array" ref="R204">IF(R$199=-1,S204,IF(R$199=99,Q204,IF(R$199=0,INDEX($E190:$M190,0,R$197),(INDEX($E190:$M190,0,R$199+1)-INDEX($E190:$M190,0,R$199))/(INDEX($E$185:$M$185,0,R$199+1)-INDEX($E$185:$M$185,0,R$199))+Q204)))</f>
        <v>7.2845555245765379</v>
      </c>
      <c r="S204" s="3" cm="1">
        <f t="array" ref="S204">IF(S$199=-1,T204,IF(S$199=99,R204,IF(S$199=0,INDEX($E190:$M190,0,S$197),(INDEX($E190:$M190,0,S$199+1)-INDEX($E190:$M190,0,S$199))/(INDEX($E$185:$M$185,0,S$199+1)-INDEX($E$185:$M$185,0,S$199))+R204)))</f>
        <v>7.3560605036075861</v>
      </c>
      <c r="T204" s="3" cm="1">
        <f t="array" ref="T204">IF(T$199=-1,W204,IF(T$199=99,S204,IF(T$199=0,INDEX($E190:$M190,0,T$197),(INDEX($E190:$M190,0,T$199+1)-INDEX($E190:$M190,0,T$199))/(INDEX($E$185:$M$185,0,T$199+1)-INDEX($E$185:$M$185,0,T$199))+S204)))</f>
        <v>7.4796155902715018</v>
      </c>
      <c r="U204" s="3" cm="1">
        <f t="array" ref="U204">IF(U$199=-1,W204,IF(U$199=99,S204,IF(U$199=0,INDEX($E190:$M190,0,U$197),(INDEX($E190:$M190,0,U$199+1)-INDEX($E190:$M190,0,U$199))/(INDEX($E$185:$M$185,0,U$199+1)-INDEX($E$185:$M$185,0,U$199))+S204)))</f>
        <v>7.4796155902715018</v>
      </c>
      <c r="V204" s="3" cm="1">
        <f t="array" ref="V204">IF(V$199=-1,W204,IF(V$199=99,S204,IF(V$199=0,INDEX($E190:$M190,0,V$197),(INDEX($E190:$M190,0,V$199+1)-INDEX($E190:$M190,0,V$199))/(INDEX($E$185:$M$185,0,V$199+1)-INDEX($E$185:$M$185,0,V$199))+S204)))</f>
        <v>7.4796155902715018</v>
      </c>
      <c r="W204" s="3" cm="1">
        <f t="array" ref="W204">IF(W$199=-1,X204,IF(W$199=99,T204,IF(W$199=0,INDEX($E190:$M190,0,W$197),(INDEX($E190:$M190,0,W$199+1)-INDEX($E190:$M190,0,W$199))/(INDEX($E$185:$M$185,0,W$199+1)-INDEX($E$185:$M$185,0,W$199))+T204)))</f>
        <v>7.5589596819854874</v>
      </c>
      <c r="X204" s="3" cm="1">
        <f t="array" ref="X204">IF(X$199=-1,Y204,IF(X$199=99,W204,IF(X$199=0,INDEX($E190:$M190,0,X$197),(INDEX($E190:$M190,0,X$199+1)-INDEX($E190:$M190,0,X$199))/(INDEX($E$185:$M$185,0,X$199+1)-INDEX($E$185:$M$185,0,X$199))+W204)))</f>
        <v>7.6077528680208575</v>
      </c>
      <c r="Y204" s="3" cm="1">
        <f t="array" ref="Y204">IF(Y$199=-1,Z204,IF(Y$199=99,X204,IF(Y$199=0,INDEX($E190:$M190,0,Y$197),(INDEX($E190:$M190,0,Y$199+1)-INDEX($E190:$M190,0,Y$199))/(INDEX($E$185:$M$185,0,Y$199+1)-INDEX($E$185:$M$185,0,Y$199))+X204)))</f>
        <v>7.6565460540562276</v>
      </c>
      <c r="Z204" s="3" cm="1">
        <f t="array" ref="Z204">IF(Z$199=-1,AA204,IF(Z$199=99,Y204,IF(Z$199=0,INDEX($E190:$M190,0,Z$197),(INDEX($E190:$M190,0,Z$199+1)-INDEX($E190:$M190,0,Z$199))/(INDEX($E$185:$M$185,0,Z$199+1)-INDEX($E$185:$M$185,0,Z$199))+Y204)))</f>
        <v>7.7053392400915977</v>
      </c>
      <c r="AA204" s="3" cm="1">
        <f t="array" ref="AA204">IF(AA$199=-1,AB204,IF(AA$199=99,Z204,IF(AA$199=0,INDEX($E190:$M190,0,AA$197),(INDEX($E190:$M190,0,AA$199+1)-INDEX($E190:$M190,0,AA$199))/(INDEX($E$185:$M$185,0,AA$199+1)-INDEX($E$185:$M$185,0,AA$199))+Z204)))</f>
        <v>7.7541324261269677</v>
      </c>
      <c r="AB204" s="3" cm="1">
        <f t="array" ref="AB204">IF(AB$199=-1,AC204,IF(AB$199=99,AA204,IF(AB$199=0,INDEX($E190:$M190,0,AB$197),(INDEX($E190:$M190,0,AB$199+1)-INDEX($E190:$M190,0,AB$199))/(INDEX($E$185:$M$185,0,AB$199+1)-INDEX($E$185:$M$185,0,AB$199))+AA204)))</f>
        <v>7.8029256121623378</v>
      </c>
      <c r="AC204" s="3" cm="1">
        <f t="array" ref="AC204">IF(AC$199=-1,AD204,IF(AC$199=99,AB204,IF(AC$199=0,INDEX($E190:$M190,0,AC$197),(INDEX($E190:$M190,0,AC$199+1)-INDEX($E190:$M190,0,AC$199))/(INDEX($E$185:$M$185,0,AC$199+1)-INDEX($E$185:$M$185,0,AC$199))+AB204)))</f>
        <v>7.8517187981977079</v>
      </c>
      <c r="AD204" s="3" cm="1">
        <f t="array" ref="AD204">IF(AD$199=-1,AE204,IF(AD$199=99,AC204,IF(AD$199=0,INDEX($E190:$M190,0,AD$197),(INDEX($E190:$M190,0,AD$199+1)-INDEX($E190:$M190,0,AD$199))/(INDEX($E$185:$M$185,0,AD$199+1)-INDEX($E$185:$M$185,0,AD$199))+AC204)))</f>
        <v>7.900511984233078</v>
      </c>
      <c r="AE204" s="3" cm="1">
        <f t="array" ref="AE204">IF(AE$199=-1,AH204,IF(AE$199=99,AD204,IF(AE$199=0,INDEX($E190:$M190,0,AE$197),(INDEX($E190:$M190,0,AE$199+1)-INDEX($E190:$M190,0,AE$199))/(INDEX($E$185:$M$185,0,AE$199+1)-INDEX($E$185:$M$185,0,AE$199))+AD204)))</f>
        <v>7.9493051702684481</v>
      </c>
      <c r="AF204" s="3" cm="1">
        <f t="array" ref="AF204">IF(AF$199=-1,AH204,IF(AF$199=99,AD204,IF(AF$199=0,INDEX($E190:$M190,0,AF$197),(INDEX($E190:$M190,0,AF$199+1)-INDEX($E190:$M190,0,AF$199))/(INDEX($E$185:$M$185,0,AF$199+1)-INDEX($E$185:$M$185,0,AF$199))+AD204)))</f>
        <v>7.9493051702684481</v>
      </c>
      <c r="AG204" s="3" cm="1">
        <f t="array" ref="AG204">IF(AG$199=-1,AH204,IF(AG$199=99,AD204,IF(AG$199=0,INDEX($E190:$M190,0,AG$197),(INDEX($E190:$M190,0,AG$199+1)-INDEX($E190:$M190,0,AG$199))/(INDEX($E$185:$M$185,0,AG$199+1)-INDEX($E$185:$M$185,0,AG$199))+AD204)))</f>
        <v>7.9493051702684481</v>
      </c>
      <c r="AH204" s="3" cm="1">
        <f t="array" ref="AH204">IF(AH$199=-1,AI204,IF(AH$199=99,AE204,IF(AH$199=0,INDEX($E190:$M190,0,AH$197),(INDEX($E190:$M190,0,AH$199+1)-INDEX($E190:$M190,0,AH$199))/(INDEX($E$185:$M$185,0,AH$199+1)-INDEX($E$185:$M$185,0,AH$199))+AE204)))</f>
        <v>7.9980983563038182</v>
      </c>
      <c r="AI204" s="3" cm="1">
        <f t="array" ref="AI204">IF(AI$199=-1,AJ204,IF(AI$199=99,AH204,IF(AI$199=0,INDEX($E190:$M190,0,AI$197),(INDEX($E190:$M190,0,AI$199+1)-INDEX($E190:$M190,0,AI$199))/(INDEX($E$185:$M$185,0,AI$199+1)-INDEX($E$185:$M$185,0,AI$199))+AH204)))</f>
        <v>8.0094530098045205</v>
      </c>
      <c r="AJ204" s="3" cm="1">
        <f t="array" ref="AJ204">IF(AJ$199=-1,AK204,IF(AJ$199=99,AI204,IF(AJ$199=0,INDEX($E190:$M190,0,AJ$197),(INDEX($E190:$M190,0,AJ$199+1)-INDEX($E190:$M190,0,AJ$199))/(INDEX($E$185:$M$185,0,AJ$199+1)-INDEX($E$185:$M$185,0,AJ$199))+AI204)))</f>
        <v>8.0208076633052237</v>
      </c>
      <c r="AK204" s="3" cm="1">
        <f t="array" ref="AK204">IF(AK$199=-1,AL204,IF(AK$199=99,AJ204,IF(AK$199=0,INDEX($E190:$M190,0,AK$197),(INDEX($E190:$M190,0,AK$199+1)-INDEX($E190:$M190,0,AK$199))/(INDEX($E$185:$M$185,0,AK$199+1)-INDEX($E$185:$M$185,0,AK$199))+AJ204)))</f>
        <v>8.0321623168059268</v>
      </c>
      <c r="AL204" s="3" cm="1">
        <f t="array" ref="AL204">IF(AL$199=-1,AM204,IF(AL$199=99,AK204,IF(AL$199=0,INDEX($E190:$M190,0,AL$197),(INDEX($E190:$M190,0,AL$199+1)-INDEX($E190:$M190,0,AL$199))/(INDEX($E$185:$M$185,0,AL$199+1)-INDEX($E$185:$M$185,0,AL$199))+AK204)))</f>
        <v>8.04351697030663</v>
      </c>
      <c r="AM204" s="3" cm="1">
        <f t="array" ref="AM204">IF(AM$199=-1,AO204,IF(AM$199=99,AL204,IF(AM$199=0,INDEX($E190:$M190,0,AM$197),(INDEX($E190:$M190,0,AM$199+1)-INDEX($E190:$M190,0,AM$199))/(INDEX($E$185:$M$185,0,AM$199+1)-INDEX($E$185:$M$185,0,AM$199))+AL204)))</f>
        <v>8.0548716238073332</v>
      </c>
      <c r="AN204" s="3" cm="1">
        <f t="array" ref="AN204">IF(AN$199=-1,AP204,IF(AN$199=99,AL204,IF(AN$199=0,INDEX($E190:$M190,0,AN$197),(INDEX($E190:$M190,0,AN$199+1)-INDEX($E190:$M190,0,AN$199))/(INDEX($E$185:$M$185,0,AN$199+1)-INDEX($E$185:$M$185,0,AN$199))+AL204)))</f>
        <v>8.0548716238073332</v>
      </c>
      <c r="AO204" s="3" cm="1">
        <f t="array" ref="AO204">IF(AO$199=-1,AQ204,IF(AO$199=99,AM204,IF(AO$199=0,INDEX($E190:$M190,0,AO$197),(INDEX($E190:$M190,0,AO$199+1)-INDEX($E190:$M190,0,AO$199))/(INDEX($E$185:$M$185,0,AO$199+1)-INDEX($E$185:$M$185,0,AO$199))+AM204)))</f>
        <v>8.0662262773080364</v>
      </c>
      <c r="AP204" s="3" cm="1">
        <f t="array" ref="AP204">IF(AP$199=-1,AR204,IF(AP$199=99,AO204,IF(AP$199=0,INDEX($E190:$M190,0,AP$197),(INDEX($E190:$M190,0,AP$199+1)-INDEX($E190:$M190,0,AP$199))/(INDEX($E$185:$M$185,0,AP$199+1)-INDEX($E$185:$M$185,0,AP$199))+AO204)))</f>
        <v>8.0775809308087396</v>
      </c>
      <c r="AQ204" s="3" cm="1">
        <f t="array" ref="AQ204">IF(AQ$199=-1,AR204,IF(AQ$199=99,AO204,IF(AQ$199=0,INDEX($E190:$M190,0,AQ$197),(INDEX($E190:$M190,0,AQ$199+1)-INDEX($E190:$M190,0,AQ$199))/(INDEX($E$185:$M$185,0,AQ$199+1)-INDEX($E$185:$M$185,0,AQ$199))+AO204)))</f>
        <v>8.0775809308087396</v>
      </c>
      <c r="AR204" s="3" cm="1">
        <f t="array" ref="AR204">IF(AR$199=-1,AS204,IF(AR$199=99,AQ204,IF(AR$199=0,INDEX($E190:$M190,0,AR$197),(INDEX($E190:$M190,0,AR$199+1)-INDEX($E190:$M190,0,AR$199))/(INDEX($E$185:$M$185,0,AR$199+1)-INDEX($E$185:$M$185,0,AR$199))+AQ204)))</f>
        <v>8.0889355843094428</v>
      </c>
      <c r="AS204" s="3" cm="1">
        <f t="array" ref="AS204">IF(AS$199=-1,AT204,IF(AS$199=99,AR204,IF(AS$199=0,INDEX($E190:$M190,0,AS$197),(INDEX($E190:$M190,0,AS$199+1)-INDEX($E190:$M190,0,AS$199))/(INDEX($E$185:$M$185,0,AS$199+1)-INDEX($E$185:$M$185,0,AS$199))+AR204)))</f>
        <v>8.100290237810146</v>
      </c>
      <c r="AT204" s="3" cm="1">
        <f t="array" ref="AT204">IF(AT$199=-1,AU204,IF(AT$199=99,AS204,IF(AT$199=0,INDEX($E190:$M190,0,AT$197),(INDEX($E190:$M190,0,AT$199+1)-INDEX($E190:$M190,0,AT$199))/(INDEX($E$185:$M$185,0,AT$199+1)-INDEX($E$185:$M$185,0,AT$199))+AS204)))</f>
        <v>8.1116448913108439</v>
      </c>
      <c r="AU204" s="245">
        <f t="shared" si="517"/>
        <v>7.9809798708292981</v>
      </c>
      <c r="AV204" s="3" cm="1">
        <f t="array" ref="AV204">IF(AV$199=-1,AW204,IF(AV$199=99,AU204,IF(AV$199=0,INDEX($E190:$M190,0,AV$197),(INDEX($E190:$M190,0,AV$199+1)-INDEX($E190:$M190,0,AV$199))/(INDEX($E$185:$M$185,0,AV$199+1)-INDEX($E$185:$M$185,0,AV$199))+AU204)))</f>
        <v>7.8503148503477531</v>
      </c>
      <c r="AW204" s="3" cm="1">
        <f t="array" ref="AW204">IF(AW$199=-1,AX204,IF(AW$199=99,AV204,IF(AW$199=0,INDEX($E190:$M190,0,AW$197),(INDEX($E190:$M190,0,AW$199+1)-INDEX($E190:$M190,0,AW$199))/(INDEX($E$185:$M$185,0,AW$199+1)-INDEX($E$185:$M$185,0,AW$199))+AV204)))</f>
        <v>7.6892475554660615</v>
      </c>
      <c r="AX204" s="3" cm="1">
        <f t="array" ref="AX204">IF(AX$199=-1,AY204,IF(AX$199=99,AW204,IF(AX$199=0,INDEX($E190:$M190,0,AX$197),(INDEX($E190:$M190,0,AX$199+1)-INDEX($E190:$M190,0,AX$199))/(INDEX($E$185:$M$185,0,AX$199+1)-INDEX($E$185:$M$185,0,AX$199))+AW204)))</f>
        <v>7.37314758228373</v>
      </c>
      <c r="AY204" s="3"/>
      <c r="BB204" s="3"/>
      <c r="BC204" s="3"/>
      <c r="BM204" s="3"/>
      <c r="BN204" s="92"/>
    </row>
    <row r="205" spans="1:66">
      <c r="E205" t="s">
        <v>16</v>
      </c>
      <c r="F205" s="15" t="str">
        <f t="shared" si="512"/>
        <v/>
      </c>
      <c r="G205" s="43" t="str">
        <f t="shared" si="513"/>
        <v>TPPUBRT</v>
      </c>
      <c r="H205" s="16"/>
      <c r="J205" s="16" t="str">
        <f t="shared" si="514"/>
        <v/>
      </c>
      <c r="L205" s="16" t="str">
        <f t="shared" si="514"/>
        <v/>
      </c>
      <c r="M205" s="16" t="str">
        <f t="shared" si="514"/>
        <v/>
      </c>
      <c r="N205" s="15" t="str">
        <f t="shared" si="515"/>
        <v/>
      </c>
      <c r="O205" s="15"/>
      <c r="P205" s="15"/>
      <c r="Q205" s="3">
        <f t="shared" si="516"/>
        <v>7.2799982901224303E-2</v>
      </c>
      <c r="R205" s="3" cm="1">
        <f t="array" ref="R205">IF(R$199=-1,S205,IF(R$199=99,Q205,IF(R$199=0,INDEX($E191:$M191,0,R$197),(INDEX($E191:$M191,0,R$199+1)-INDEX($E191:$M191,0,R$199))/(INDEX($E$185:$M$185,0,R$199+1)-INDEX($E$185:$M$185,0,R$199))+Q205)))</f>
        <v>9.2054765383727061E-2</v>
      </c>
      <c r="S205" s="3" cm="1">
        <f t="array" ref="S205">IF(S$199=-1,T205,IF(S$199=99,R205,IF(S$199=0,INDEX($E191:$M191,0,S$197),(INDEX($E191:$M191,0,S$199+1)-INDEX($E191:$M191,0,S$199))/(INDEX($E$185:$M$185,0,S$199+1)-INDEX($E$185:$M$185,0,S$199))+R205)))</f>
        <v>0.1113095478662298</v>
      </c>
      <c r="T205" s="3" cm="1">
        <f t="array" ref="T205">IF(T$199=-1,W205,IF(T$199=99,S205,IF(T$199=0,INDEX($E191:$M191,0,T$197),(INDEX($E191:$M191,0,T$199+1)-INDEX($E191:$M191,0,T$199))/(INDEX($E$185:$M$185,0,T$199+1)-INDEX($E$185:$M$185,0,T$199))+S205)))</f>
        <v>0.11091277099762989</v>
      </c>
      <c r="U205" s="3" cm="1">
        <f t="array" ref="U205">IF(U$199=-1,W205,IF(U$199=99,S205,IF(U$199=0,INDEX($E191:$M191,0,U$197),(INDEX($E191:$M191,0,U$199+1)-INDEX($E191:$M191,0,U$199))/(INDEX($E$185:$M$185,0,U$199+1)-INDEX($E$185:$M$185,0,U$199))+S205)))</f>
        <v>0.11091277099762989</v>
      </c>
      <c r="V205" s="3" cm="1">
        <f t="array" ref="V205">IF(V$199=-1,W205,IF(V$199=99,S205,IF(V$199=0,INDEX($E191:$M191,0,V$197),(INDEX($E191:$M191,0,V$199+1)-INDEX($E191:$M191,0,V$199))/(INDEX($E$185:$M$185,0,V$199+1)-INDEX($E$185:$M$185,0,V$199))+S205)))</f>
        <v>0.11091277099762989</v>
      </c>
      <c r="W205" s="3" cm="1">
        <f t="array" ref="W205">IF(W$199=-1,X205,IF(W$199=99,T205,IF(W$199=0,INDEX($E191:$M191,0,W$197),(INDEX($E191:$M191,0,W$199+1)-INDEX($E191:$M191,0,W$199))/(INDEX($E$185:$M$185,0,W$199+1)-INDEX($E$185:$M$185,0,W$199))+T205)))</f>
        <v>0.11324882528963676</v>
      </c>
      <c r="X205" s="3" cm="1">
        <f t="array" ref="X205">IF(X$199=-1,Y205,IF(X$199=99,W205,IF(X$199=0,INDEX($E191:$M191,0,X$197),(INDEX($E191:$M191,0,X$199+1)-INDEX($E191:$M191,0,X$199))/(INDEX($E$185:$M$185,0,X$199+1)-INDEX($E$185:$M$185,0,X$199))+W205)))</f>
        <v>0.11437101807575958</v>
      </c>
      <c r="Y205" s="3" cm="1">
        <f t="array" ref="Y205">IF(Y$199=-1,Z205,IF(Y$199=99,X205,IF(Y$199=0,INDEX($E191:$M191,0,Y$197),(INDEX($E191:$M191,0,Y$199+1)-INDEX($E191:$M191,0,Y$199))/(INDEX($E$185:$M$185,0,Y$199+1)-INDEX($E$185:$M$185,0,Y$199))+X205)))</f>
        <v>0.11549321086188241</v>
      </c>
      <c r="Z205" s="3" cm="1">
        <f t="array" ref="Z205">IF(Z$199=-1,AA205,IF(Z$199=99,Y205,IF(Z$199=0,INDEX($E191:$M191,0,Z$197),(INDEX($E191:$M191,0,Z$199+1)-INDEX($E191:$M191,0,Z$199))/(INDEX($E$185:$M$185,0,Z$199+1)-INDEX($E$185:$M$185,0,Z$199))+Y205)))</f>
        <v>0.11661540364800524</v>
      </c>
      <c r="AA205" s="3" cm="1">
        <f t="array" ref="AA205">IF(AA$199=-1,AB205,IF(AA$199=99,Z205,IF(AA$199=0,INDEX($E191:$M191,0,AA$197),(INDEX($E191:$M191,0,AA$199+1)-INDEX($E191:$M191,0,AA$199))/(INDEX($E$185:$M$185,0,AA$199+1)-INDEX($E$185:$M$185,0,AA$199))+Z205)))</f>
        <v>0.11773759643412807</v>
      </c>
      <c r="AB205" s="3" cm="1">
        <f t="array" ref="AB205">IF(AB$199=-1,AC205,IF(AB$199=99,AA205,IF(AB$199=0,INDEX($E191:$M191,0,AB$197),(INDEX($E191:$M191,0,AB$199+1)-INDEX($E191:$M191,0,AB$199))/(INDEX($E$185:$M$185,0,AB$199+1)-INDEX($E$185:$M$185,0,AB$199))+AA205)))</f>
        <v>0.11885978922025089</v>
      </c>
      <c r="AC205" s="3" cm="1">
        <f t="array" ref="AC205">IF(AC$199=-1,AD205,IF(AC$199=99,AB205,IF(AC$199=0,INDEX($E191:$M191,0,AC$197),(INDEX($E191:$M191,0,AC$199+1)-INDEX($E191:$M191,0,AC$199))/(INDEX($E$185:$M$185,0,AC$199+1)-INDEX($E$185:$M$185,0,AC$199))+AB205)))</f>
        <v>0.11998198200637372</v>
      </c>
      <c r="AD205" s="3" cm="1">
        <f t="array" ref="AD205">IF(AD$199=-1,AE205,IF(AD$199=99,AC205,IF(AD$199=0,INDEX($E191:$M191,0,AD$197),(INDEX($E191:$M191,0,AD$199+1)-INDEX($E191:$M191,0,AD$199))/(INDEX($E$185:$M$185,0,AD$199+1)-INDEX($E$185:$M$185,0,AD$199))+AC205)))</f>
        <v>0.12110417479249655</v>
      </c>
      <c r="AE205" s="3" cm="1">
        <f t="array" ref="AE205">IF(AE$199=-1,AH205,IF(AE$199=99,AD205,IF(AE$199=0,INDEX($E191:$M191,0,AE$197),(INDEX($E191:$M191,0,AE$199+1)-INDEX($E191:$M191,0,AE$199))/(INDEX($E$185:$M$185,0,AE$199+1)-INDEX($E$185:$M$185,0,AE$199))+AD205)))</f>
        <v>0.12222636757861938</v>
      </c>
      <c r="AF205" s="3" cm="1">
        <f t="array" ref="AF205">IF(AF$199=-1,AH205,IF(AF$199=99,AD205,IF(AF$199=0,INDEX($E191:$M191,0,AF$197),(INDEX($E191:$M191,0,AF$199+1)-INDEX($E191:$M191,0,AF$199))/(INDEX($E$185:$M$185,0,AF$199+1)-INDEX($E$185:$M$185,0,AF$199))+AD205)))</f>
        <v>0.12222636757861938</v>
      </c>
      <c r="AG205" s="3" cm="1">
        <f t="array" ref="AG205">IF(AG$199=-1,AH205,IF(AG$199=99,AD205,IF(AG$199=0,INDEX($E191:$M191,0,AG$197),(INDEX($E191:$M191,0,AG$199+1)-INDEX($E191:$M191,0,AG$199))/(INDEX($E$185:$M$185,0,AG$199+1)-INDEX($E$185:$M$185,0,AG$199))+AD205)))</f>
        <v>0.12222636757861938</v>
      </c>
      <c r="AH205" s="3" cm="1">
        <f t="array" ref="AH205">IF(AH$199=-1,AI205,IF(AH$199=99,AE205,IF(AH$199=0,INDEX($E191:$M191,0,AH$197),(INDEX($E191:$M191,0,AH$199+1)-INDEX($E191:$M191,0,AH$199))/(INDEX($E$185:$M$185,0,AH$199+1)-INDEX($E$185:$M$185,0,AH$199))+AE205)))</f>
        <v>0.12334856036474222</v>
      </c>
      <c r="AI205" s="3" cm="1">
        <f t="array" ref="AI205">IF(AI$199=-1,AJ205,IF(AI$199=99,AH205,IF(AI$199=0,INDEX($E191:$M191,0,AI$197),(INDEX($E191:$M191,0,AI$199+1)-INDEX($E191:$M191,0,AI$199))/(INDEX($E$185:$M$185,0,AI$199+1)-INDEX($E$185:$M$185,0,AI$199))+AH205)))</f>
        <v>0.12432199216161278</v>
      </c>
      <c r="AJ205" s="3" cm="1">
        <f t="array" ref="AJ205">IF(AJ$199=-1,AK205,IF(AJ$199=99,AI205,IF(AJ$199=0,INDEX($E191:$M191,0,AJ$197),(INDEX($E191:$M191,0,AJ$199+1)-INDEX($E191:$M191,0,AJ$199))/(INDEX($E$185:$M$185,0,AJ$199+1)-INDEX($E$185:$M$185,0,AJ$199))+AI205)))</f>
        <v>0.12529542395848337</v>
      </c>
      <c r="AK205" s="3" cm="1">
        <f t="array" ref="AK205">IF(AK$199=-1,AL205,IF(AK$199=99,AJ205,IF(AK$199=0,INDEX($E191:$M191,0,AK$197),(INDEX($E191:$M191,0,AK$199+1)-INDEX($E191:$M191,0,AK$199))/(INDEX($E$185:$M$185,0,AK$199+1)-INDEX($E$185:$M$185,0,AK$199))+AJ205)))</f>
        <v>0.12626885575535393</v>
      </c>
      <c r="AL205" s="3" cm="1">
        <f t="array" ref="AL205">IF(AL$199=-1,AM205,IF(AL$199=99,AK205,IF(AL$199=0,INDEX($E191:$M191,0,AL$197),(INDEX($E191:$M191,0,AL$199+1)-INDEX($E191:$M191,0,AL$199))/(INDEX($E$185:$M$185,0,AL$199+1)-INDEX($E$185:$M$185,0,AL$199))+AK205)))</f>
        <v>0.1272422875522245</v>
      </c>
      <c r="AM205" s="3" cm="1">
        <f t="array" ref="AM205">IF(AM$199=-1,AO205,IF(AM$199=99,AL205,IF(AM$199=0,INDEX($E191:$M191,0,AM$197),(INDEX($E191:$M191,0,AM$199+1)-INDEX($E191:$M191,0,AM$199))/(INDEX($E$185:$M$185,0,AM$199+1)-INDEX($E$185:$M$185,0,AM$199))+AL205)))</f>
        <v>0.12821571934909506</v>
      </c>
      <c r="AN205" s="3" cm="1">
        <f t="array" ref="AN205">IF(AN$199=-1,AP205,IF(AN$199=99,AL205,IF(AN$199=0,INDEX($E191:$M191,0,AN$197),(INDEX($E191:$M191,0,AN$199+1)-INDEX($E191:$M191,0,AN$199))/(INDEX($E$185:$M$185,0,AN$199+1)-INDEX($E$185:$M$185,0,AN$199))+AL205)))</f>
        <v>0.12821571934909506</v>
      </c>
      <c r="AO205" s="3" cm="1">
        <f t="array" ref="AO205">IF(AO$199=-1,AQ205,IF(AO$199=99,AM205,IF(AO$199=0,INDEX($E191:$M191,0,AO$197),(INDEX($E191:$M191,0,AO$199+1)-INDEX($E191:$M191,0,AO$199))/(INDEX($E$185:$M$185,0,AO$199+1)-INDEX($E$185:$M$185,0,AO$199))+AM205)))</f>
        <v>0.12918915114596563</v>
      </c>
      <c r="AP205" s="3" cm="1">
        <f t="array" ref="AP205">IF(AP$199=-1,AR205,IF(AP$199=99,AO205,IF(AP$199=0,INDEX($E191:$M191,0,AP$197),(INDEX($E191:$M191,0,AP$199+1)-INDEX($E191:$M191,0,AP$199))/(INDEX($E$185:$M$185,0,AP$199+1)-INDEX($E$185:$M$185,0,AP$199))+AO205)))</f>
        <v>0.1301625829428362</v>
      </c>
      <c r="AQ205" s="3" cm="1">
        <f t="array" ref="AQ205">IF(AQ$199=-1,AR205,IF(AQ$199=99,AO205,IF(AQ$199=0,INDEX($E191:$M191,0,AQ$197),(INDEX($E191:$M191,0,AQ$199+1)-INDEX($E191:$M191,0,AQ$199))/(INDEX($E$185:$M$185,0,AQ$199+1)-INDEX($E$185:$M$185,0,AQ$199))+AO205)))</f>
        <v>0.1301625829428362</v>
      </c>
      <c r="AR205" s="3" cm="1">
        <f t="array" ref="AR205">IF(AR$199=-1,AS205,IF(AR$199=99,AQ205,IF(AR$199=0,INDEX($E191:$M191,0,AR$197),(INDEX($E191:$M191,0,AR$199+1)-INDEX($E191:$M191,0,AR$199))/(INDEX($E$185:$M$185,0,AR$199+1)-INDEX($E$185:$M$185,0,AR$199))+AQ205)))</f>
        <v>0.13113601473970676</v>
      </c>
      <c r="AS205" s="3" cm="1">
        <f t="array" ref="AS205">IF(AS$199=-1,AT205,IF(AS$199=99,AR205,IF(AS$199=0,INDEX($E191:$M191,0,AS$197),(INDEX($E191:$M191,0,AS$199+1)-INDEX($E191:$M191,0,AS$199))/(INDEX($E$185:$M$185,0,AS$199+1)-INDEX($E$185:$M$185,0,AS$199))+AR205)))</f>
        <v>0.13210944653657733</v>
      </c>
      <c r="AT205" s="3" cm="1">
        <f t="array" ref="AT205">IF(AT$199=-1,AU205,IF(AT$199=99,AS205,IF(AT$199=0,INDEX($E191:$M191,0,AT$197),(INDEX($E191:$M191,0,AT$199+1)-INDEX($E191:$M191,0,AT$199))/(INDEX($E$185:$M$185,0,AT$199+1)-INDEX($E$185:$M$185,0,AT$199))+AS205)))</f>
        <v>0.13308287833344792</v>
      </c>
      <c r="AU205" s="245">
        <f t="shared" si="517"/>
        <v>0.13677353949796572</v>
      </c>
      <c r="AV205" s="3" cm="1">
        <f t="array" ref="AV205">IF(AV$199=-1,AW205,IF(AV$199=99,AU205,IF(AV$199=0,INDEX($E191:$M191,0,AV$197),(INDEX($E191:$M191,0,AV$199+1)-INDEX($E191:$M191,0,AV$199))/(INDEX($E$185:$M$185,0,AV$199+1)-INDEX($E$185:$M$185,0,AV$199))+AU205)))</f>
        <v>0.14046420066248355</v>
      </c>
      <c r="AW205" s="3" cm="1">
        <f t="array" ref="AW205">IF(AW$199=-1,AX205,IF(AW$199=99,AV205,IF(AW$199=0,INDEX($E191:$M191,0,AW$197),(INDEX($E191:$M191,0,AW$199+1)-INDEX($E191:$M191,0,AW$199))/(INDEX($E$185:$M$185,0,AW$199+1)-INDEX($E$185:$M$185,0,AW$199))+AV205)))</f>
        <v>0.14463708863242258</v>
      </c>
      <c r="AX205" s="3" cm="1">
        <f t="array" ref="AX205">IF(AX$199=-1,AY205,IF(AX$199=99,AW205,IF(AX$199=0,INDEX($E191:$M191,0,AX$197),(INDEX($E191:$M191,0,AX$199+1)-INDEX($E191:$M191,0,AX$199))/(INDEX($E$185:$M$185,0,AX$199+1)-INDEX($E$185:$M$185,0,AX$199))+AW205)))</f>
        <v>0.14633958167928779</v>
      </c>
      <c r="AY205" s="3"/>
      <c r="BB205" s="3"/>
      <c r="BC205" s="3"/>
      <c r="BM205" s="3"/>
      <c r="BN205" s="92"/>
    </row>
    <row r="206" spans="1:66">
      <c r="E206" t="s">
        <v>16</v>
      </c>
      <c r="F206" s="15" t="str">
        <f t="shared" si="512"/>
        <v/>
      </c>
      <c r="G206" s="43" t="str">
        <f t="shared" si="513"/>
        <v>TPPUMER</v>
      </c>
      <c r="H206" s="16"/>
      <c r="J206" s="16" t="str">
        <f t="shared" si="514"/>
        <v/>
      </c>
      <c r="L206" s="16" t="str">
        <f t="shared" si="514"/>
        <v/>
      </c>
      <c r="M206" s="16" t="str">
        <f t="shared" si="514"/>
        <v/>
      </c>
      <c r="N206" s="15" t="str">
        <f t="shared" si="515"/>
        <v/>
      </c>
      <c r="O206" s="15"/>
      <c r="P206" s="15"/>
      <c r="Q206" s="3">
        <f t="shared" si="516"/>
        <v>8.7048317578401608</v>
      </c>
      <c r="R206" s="3" cm="1">
        <f t="array" ref="R206">IF(R$199=-1,S206,IF(R$199=99,Q206,IF(R$199=0,INDEX($E192:$M192,0,R$197),(INDEX($E192:$M192,0,R$199+1)-INDEX($E192:$M192,0,R$199))/(INDEX($E$185:$M$185,0,R$199+1)-INDEX($E$185:$M$185,0,R$199))+Q206)))</f>
        <v>8.7898700606728966</v>
      </c>
      <c r="S206" s="3" cm="1">
        <f t="array" ref="S206">IF(S$199=-1,T206,IF(S$199=99,R206,IF(S$199=0,INDEX($E192:$M192,0,S$197),(INDEX($E192:$M192,0,S$199+1)-INDEX($E192:$M192,0,S$199))/(INDEX($E$185:$M$185,0,S$199+1)-INDEX($E$185:$M$185,0,S$199))+R206)))</f>
        <v>8.8749083635056305</v>
      </c>
      <c r="T206" s="3" cm="1">
        <f t="array" ref="T206">IF(T$199=-1,W206,IF(T$199=99,S206,IF(T$199=0,INDEX($E192:$M192,0,T$197),(INDEX($E192:$M192,0,T$199+1)-INDEX($E192:$M192,0,T$199))/(INDEX($E$185:$M$185,0,T$199+1)-INDEX($E$185:$M$185,0,T$199))+S206)))</f>
        <v>9.0239745751619225</v>
      </c>
      <c r="U206" s="3" cm="1">
        <f t="array" ref="U206">IF(U$199=-1,W206,IF(U$199=99,S206,IF(U$199=0,INDEX($E192:$M192,0,U$197),(INDEX($E192:$M192,0,U$199+1)-INDEX($E192:$M192,0,U$199))/(INDEX($E$185:$M$185,0,U$199+1)-INDEX($E$185:$M$185,0,U$199))+S206)))</f>
        <v>9.0239745751619225</v>
      </c>
      <c r="V206" s="3" cm="1">
        <f t="array" ref="V206">IF(V$199=-1,W206,IF(V$199=99,S206,IF(V$199=0,INDEX($E192:$M192,0,V$197),(INDEX($E192:$M192,0,V$199+1)-INDEX($E192:$M192,0,V$199))/(INDEX($E$185:$M$185,0,V$199+1)-INDEX($E$185:$M$185,0,V$199))+S206)))</f>
        <v>9.0239745751619225</v>
      </c>
      <c r="W206" s="3" cm="1">
        <f t="array" ref="W206">IF(W$199=-1,X206,IF(W$199=99,T206,IF(W$199=0,INDEX($E192:$M192,0,W$197),(INDEX($E192:$M192,0,W$199+1)-INDEX($E192:$M192,0,W$199))/(INDEX($E$185:$M$185,0,W$199+1)-INDEX($E$185:$M$185,0,W$199))+T206)))</f>
        <v>9.1197012950280598</v>
      </c>
      <c r="X206" s="3" cm="1">
        <f t="array" ref="X206">IF(X$199=-1,Y206,IF(X$199=99,W206,IF(X$199=0,INDEX($E192:$M192,0,X$197),(INDEX($E192:$M192,0,X$199+1)-INDEX($E192:$M192,0,X$199))/(INDEX($E$185:$M$185,0,X$199+1)-INDEX($E$185:$M$185,0,X$199))+W206)))</f>
        <v>9.178569089089164</v>
      </c>
      <c r="Y206" s="3" cm="1">
        <f t="array" ref="Y206">IF(Y$199=-1,Z206,IF(Y$199=99,X206,IF(Y$199=0,INDEX($E192:$M192,0,Y$197),(INDEX($E192:$M192,0,Y$199+1)-INDEX($E192:$M192,0,Y$199))/(INDEX($E$185:$M$185,0,Y$199+1)-INDEX($E$185:$M$185,0,Y$199))+X206)))</f>
        <v>9.2374368831502682</v>
      </c>
      <c r="Z206" s="3" cm="1">
        <f t="array" ref="Z206">IF(Z$199=-1,AA206,IF(Z$199=99,Y206,IF(Z$199=0,INDEX($E192:$M192,0,Z$197),(INDEX($E192:$M192,0,Z$199+1)-INDEX($E192:$M192,0,Z$199))/(INDEX($E$185:$M$185,0,Z$199+1)-INDEX($E$185:$M$185,0,Z$199))+Y206)))</f>
        <v>9.2963046772113724</v>
      </c>
      <c r="AA206" s="3" cm="1">
        <f t="array" ref="AA206">IF(AA$199=-1,AB206,IF(AA$199=99,Z206,IF(AA$199=0,INDEX($E192:$M192,0,AA$197),(INDEX($E192:$M192,0,AA$199+1)-INDEX($E192:$M192,0,AA$199))/(INDEX($E$185:$M$185,0,AA$199+1)-INDEX($E$185:$M$185,0,AA$199))+Z206)))</f>
        <v>9.3551724712724766</v>
      </c>
      <c r="AB206" s="3" cm="1">
        <f t="array" ref="AB206">IF(AB$199=-1,AC206,IF(AB$199=99,AA206,IF(AB$199=0,INDEX($E192:$M192,0,AB$197),(INDEX($E192:$M192,0,AB$199+1)-INDEX($E192:$M192,0,AB$199))/(INDEX($E$185:$M$185,0,AB$199+1)-INDEX($E$185:$M$185,0,AB$199))+AA206)))</f>
        <v>9.4140402653335808</v>
      </c>
      <c r="AC206" s="3" cm="1">
        <f t="array" ref="AC206">IF(AC$199=-1,AD206,IF(AC$199=99,AB206,IF(AC$199=0,INDEX($E192:$M192,0,AC$197),(INDEX($E192:$M192,0,AC$199+1)-INDEX($E192:$M192,0,AC$199))/(INDEX($E$185:$M$185,0,AC$199+1)-INDEX($E$185:$M$185,0,AC$199))+AB206)))</f>
        <v>9.4729080593946851</v>
      </c>
      <c r="AD206" s="3" cm="1">
        <f t="array" ref="AD206">IF(AD$199=-1,AE206,IF(AD$199=99,AC206,IF(AD$199=0,INDEX($E192:$M192,0,AD$197),(INDEX($E192:$M192,0,AD$199+1)-INDEX($E192:$M192,0,AD$199))/(INDEX($E$185:$M$185,0,AD$199+1)-INDEX($E$185:$M$185,0,AD$199))+AC206)))</f>
        <v>9.5317758534557893</v>
      </c>
      <c r="AE206" s="3" cm="1">
        <f t="array" ref="AE206">IF(AE$199=-1,AH206,IF(AE$199=99,AD206,IF(AE$199=0,INDEX($E192:$M192,0,AE$197),(INDEX($E192:$M192,0,AE$199+1)-INDEX($E192:$M192,0,AE$199))/(INDEX($E$185:$M$185,0,AE$199+1)-INDEX($E$185:$M$185,0,AE$199))+AD206)))</f>
        <v>9.5906436475168935</v>
      </c>
      <c r="AF206" s="3" cm="1">
        <f t="array" ref="AF206">IF(AF$199=-1,AH206,IF(AF$199=99,AD206,IF(AF$199=0,INDEX($E192:$M192,0,AF$197),(INDEX($E192:$M192,0,AF$199+1)-INDEX($E192:$M192,0,AF$199))/(INDEX($E$185:$M$185,0,AF$199+1)-INDEX($E$185:$M$185,0,AF$199))+AD206)))</f>
        <v>9.5906436475168935</v>
      </c>
      <c r="AG206" s="3" cm="1">
        <f t="array" ref="AG206">IF(AG$199=-1,AH206,IF(AG$199=99,AD206,IF(AG$199=0,INDEX($E192:$M192,0,AG$197),(INDEX($E192:$M192,0,AG$199+1)-INDEX($E192:$M192,0,AG$199))/(INDEX($E$185:$M$185,0,AG$199+1)-INDEX($E$185:$M$185,0,AG$199))+AD206)))</f>
        <v>9.5906436475168935</v>
      </c>
      <c r="AH206" s="3" cm="1">
        <f t="array" ref="AH206">IF(AH$199=-1,AI206,IF(AH$199=99,AE206,IF(AH$199=0,INDEX($E192:$M192,0,AH$197),(INDEX($E192:$M192,0,AH$199+1)-INDEX($E192:$M192,0,AH$199))/(INDEX($E$185:$M$185,0,AH$199+1)-INDEX($E$185:$M$185,0,AH$199))+AE206)))</f>
        <v>9.6495114415779959</v>
      </c>
      <c r="AI206" s="3" cm="1">
        <f t="array" ref="AI206">IF(AI$199=-1,AJ206,IF(AI$199=99,AH206,IF(AI$199=0,INDEX($E192:$M192,0,AI$197),(INDEX($E192:$M192,0,AI$199+1)-INDEX($E192:$M192,0,AI$199))/(INDEX($E$185:$M$185,0,AI$199+1)-INDEX($E$185:$M$185,0,AI$199))+AH206)))</f>
        <v>9.6632105552909238</v>
      </c>
      <c r="AJ206" s="3" cm="1">
        <f t="array" ref="AJ206">IF(AJ$199=-1,AK206,IF(AJ$199=99,AI206,IF(AJ$199=0,INDEX($E192:$M192,0,AJ$197),(INDEX($E192:$M192,0,AJ$199+1)-INDEX($E192:$M192,0,AJ$199))/(INDEX($E$185:$M$185,0,AJ$199+1)-INDEX($E$185:$M$185,0,AJ$199))+AI206)))</f>
        <v>9.6769096690038516</v>
      </c>
      <c r="AK206" s="3" cm="1">
        <f t="array" ref="AK206">IF(AK$199=-1,AL206,IF(AK$199=99,AJ206,IF(AK$199=0,INDEX($E192:$M192,0,AK$197),(INDEX($E192:$M192,0,AK$199+1)-INDEX($E192:$M192,0,AK$199))/(INDEX($E$185:$M$185,0,AK$199+1)-INDEX($E$185:$M$185,0,AK$199))+AJ206)))</f>
        <v>9.6906087827167795</v>
      </c>
      <c r="AL206" s="3" cm="1">
        <f t="array" ref="AL206">IF(AL$199=-1,AM206,IF(AL$199=99,AK206,IF(AL$199=0,INDEX($E192:$M192,0,AL$197),(INDEX($E192:$M192,0,AL$199+1)-INDEX($E192:$M192,0,AL$199))/(INDEX($E$185:$M$185,0,AL$199+1)-INDEX($E$185:$M$185,0,AL$199))+AK206)))</f>
        <v>9.7043078964297074</v>
      </c>
      <c r="AM206" s="3" cm="1">
        <f t="array" ref="AM206">IF(AM$199=-1,AO206,IF(AM$199=99,AL206,IF(AM$199=0,INDEX($E192:$M192,0,AM$197),(INDEX($E192:$M192,0,AM$199+1)-INDEX($E192:$M192,0,AM$199))/(INDEX($E$185:$M$185,0,AM$199+1)-INDEX($E$185:$M$185,0,AM$199))+AL206)))</f>
        <v>9.7180070101426352</v>
      </c>
      <c r="AN206" s="3" cm="1">
        <f t="array" ref="AN206">IF(AN$199=-1,AP206,IF(AN$199=99,AL206,IF(AN$199=0,INDEX($E192:$M192,0,AN$197),(INDEX($E192:$M192,0,AN$199+1)-INDEX($E192:$M192,0,AN$199))/(INDEX($E$185:$M$185,0,AN$199+1)-INDEX($E$185:$M$185,0,AN$199))+AL206)))</f>
        <v>9.7180070101426352</v>
      </c>
      <c r="AO206" s="3" cm="1">
        <f t="array" ref="AO206">IF(AO$199=-1,AQ206,IF(AO$199=99,AM206,IF(AO$199=0,INDEX($E192:$M192,0,AO$197),(INDEX($E192:$M192,0,AO$199+1)-INDEX($E192:$M192,0,AO$199))/(INDEX($E$185:$M$185,0,AO$199+1)-INDEX($E$185:$M$185,0,AO$199))+AM206)))</f>
        <v>9.7317061238555631</v>
      </c>
      <c r="AP206" s="3" cm="1">
        <f t="array" ref="AP206">IF(AP$199=-1,AR206,IF(AP$199=99,AO206,IF(AP$199=0,INDEX($E192:$M192,0,AP$197),(INDEX($E192:$M192,0,AP$199+1)-INDEX($E192:$M192,0,AP$199))/(INDEX($E$185:$M$185,0,AP$199+1)-INDEX($E$185:$M$185,0,AP$199))+AO206)))</f>
        <v>9.745405237568491</v>
      </c>
      <c r="AQ206" s="3" cm="1">
        <f t="array" ref="AQ206">IF(AQ$199=-1,AR206,IF(AQ$199=99,AO206,IF(AQ$199=0,INDEX($E192:$M192,0,AQ$197),(INDEX($E192:$M192,0,AQ$199+1)-INDEX($E192:$M192,0,AQ$199))/(INDEX($E$185:$M$185,0,AQ$199+1)-INDEX($E$185:$M$185,0,AQ$199))+AO206)))</f>
        <v>9.745405237568491</v>
      </c>
      <c r="AR206" s="3" cm="1">
        <f t="array" ref="AR206">IF(AR$199=-1,AS206,IF(AR$199=99,AQ206,IF(AR$199=0,INDEX($E192:$M192,0,AR$197),(INDEX($E192:$M192,0,AR$199+1)-INDEX($E192:$M192,0,AR$199))/(INDEX($E$185:$M$185,0,AR$199+1)-INDEX($E$185:$M$185,0,AR$199))+AQ206)))</f>
        <v>9.7591043512814188</v>
      </c>
      <c r="AS206" s="3" cm="1">
        <f t="array" ref="AS206">IF(AS$199=-1,AT206,IF(AS$199=99,AR206,IF(AS$199=0,INDEX($E192:$M192,0,AS$197),(INDEX($E192:$M192,0,AS$199+1)-INDEX($E192:$M192,0,AS$199))/(INDEX($E$185:$M$185,0,AS$199+1)-INDEX($E$185:$M$185,0,AS$199))+AR206)))</f>
        <v>9.7728034649943467</v>
      </c>
      <c r="AT206" s="3" cm="1">
        <f t="array" ref="AT206">IF(AT$199=-1,AU206,IF(AT$199=99,AS206,IF(AT$199=0,INDEX($E192:$M192,0,AT$197),(INDEX($E192:$M192,0,AT$199+1)-INDEX($E192:$M192,0,AT$199))/(INDEX($E$185:$M$185,0,AT$199+1)-INDEX($E$185:$M$185,0,AT$199))+AS206)))</f>
        <v>9.7865025787072693</v>
      </c>
      <c r="AU206" s="245">
        <f t="shared" si="517"/>
        <v>9.6288584045571817</v>
      </c>
      <c r="AV206" s="3" cm="1">
        <f t="array" ref="AV206">IF(AV$199=-1,AW206,IF(AV$199=99,AU206,IF(AV$199=0,INDEX($E192:$M192,0,AV$197),(INDEX($E192:$M192,0,AV$199+1)-INDEX($E192:$M192,0,AV$199))/(INDEX($E$185:$M$185,0,AV$199+1)-INDEX($E$185:$M$185,0,AV$199))+AU206)))</f>
        <v>9.4712142304070923</v>
      </c>
      <c r="AW206" s="3" cm="1">
        <f t="array" ref="AW206">IF(AW$199=-1,AX206,IF(AW$199=99,AV206,IF(AW$199=0,INDEX($E192:$M192,0,AW$197),(INDEX($E192:$M192,0,AW$199+1)-INDEX($E192:$M192,0,AW$199))/(INDEX($E$185:$M$185,0,AW$199+1)-INDEX($E$185:$M$185,0,AW$199))+AV206)))</f>
        <v>9.2768904504800904</v>
      </c>
      <c r="AX206" s="3" cm="1">
        <f t="array" ref="AX206">IF(AX$199=-1,AY206,IF(AX$199=99,AW206,IF(AX$199=0,INDEX($E192:$M192,0,AX$197),(INDEX($E192:$M192,0,AX$199+1)-INDEX($E192:$M192,0,AX$199))/(INDEX($E$185:$M$185,0,AX$199+1)-INDEX($E$185:$M$185,0,AX$199))+AW206)))</f>
        <v>8.8955235089868872</v>
      </c>
      <c r="AY206" s="3"/>
      <c r="BB206" s="3"/>
      <c r="BC206" s="3"/>
      <c r="BM206" s="3"/>
      <c r="BN206" s="92"/>
    </row>
    <row r="207" spans="1:66">
      <c r="E207" t="s">
        <v>16</v>
      </c>
      <c r="F207" s="15" t="str">
        <f t="shared" si="512"/>
        <v/>
      </c>
      <c r="G207" s="43" t="str">
        <f t="shared" si="513"/>
        <v>TPPUGAT</v>
      </c>
      <c r="H207" s="16"/>
      <c r="J207" s="16" t="str">
        <f t="shared" si="514"/>
        <v/>
      </c>
      <c r="L207" s="16" t="str">
        <f t="shared" si="514"/>
        <v/>
      </c>
      <c r="M207" s="16" t="str">
        <f t="shared" si="514"/>
        <v/>
      </c>
      <c r="N207" s="15" t="str">
        <f t="shared" si="515"/>
        <v/>
      </c>
      <c r="O207" s="15"/>
      <c r="P207" s="15"/>
      <c r="Q207" s="17">
        <f t="shared" si="516"/>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245">
        <f t="shared" si="517"/>
        <v>1.0856702354091614</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594</v>
      </c>
      <c r="K209" s="10" t="s">
        <v>623</v>
      </c>
      <c r="L209" s="10" t="s">
        <v>624</v>
      </c>
      <c r="M209" s="11" t="s">
        <v>25</v>
      </c>
      <c r="N209" s="3"/>
      <c r="R209" s="198"/>
    </row>
    <row r="210" spans="1:63">
      <c r="E210" s="97" t="s">
        <v>16</v>
      </c>
      <c r="F210" s="98">
        <v>1</v>
      </c>
      <c r="G210" s="98">
        <v>2017</v>
      </c>
      <c r="H210" s="98">
        <v>2019</v>
      </c>
      <c r="I210" s="98">
        <v>2020</v>
      </c>
      <c r="J210" s="98">
        <v>2021</v>
      </c>
      <c r="K210" s="98">
        <v>2030</v>
      </c>
      <c r="L210" s="98">
        <v>2040</v>
      </c>
      <c r="M210" s="103">
        <v>2050</v>
      </c>
      <c r="N210" s="3">
        <v>2060</v>
      </c>
      <c r="O210">
        <v>2070</v>
      </c>
      <c r="R210" s="198"/>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8"/>
    </row>
    <row r="212" spans="1:63">
      <c r="E212" s="31" t="s">
        <v>16</v>
      </c>
      <c r="F212">
        <v>-1</v>
      </c>
      <c r="G212">
        <v>0</v>
      </c>
      <c r="H212">
        <v>1</v>
      </c>
      <c r="I212">
        <v>2</v>
      </c>
      <c r="J212">
        <v>3</v>
      </c>
      <c r="K212">
        <v>4</v>
      </c>
      <c r="L212">
        <v>5</v>
      </c>
      <c r="M212">
        <v>6</v>
      </c>
      <c r="N212">
        <v>7</v>
      </c>
      <c r="O212">
        <v>8</v>
      </c>
      <c r="R212" s="198"/>
    </row>
    <row r="213" spans="1:63">
      <c r="E213" s="99" t="s">
        <v>16</v>
      </c>
      <c r="F213" s="100"/>
      <c r="G213" s="100"/>
      <c r="H213" s="100"/>
      <c r="I213" s="100"/>
      <c r="J213" s="100"/>
      <c r="K213" s="100"/>
      <c r="L213" s="100"/>
      <c r="M213" s="100"/>
    </row>
    <row r="214" spans="1:63">
      <c r="E214" s="99" t="s">
        <v>16</v>
      </c>
      <c r="J214"/>
      <c r="N214" s="12">
        <v>2017</v>
      </c>
      <c r="O214" s="12">
        <f t="shared" ref="O214:AP214" si="518">1+N214</f>
        <v>2018</v>
      </c>
      <c r="P214" s="12">
        <f t="shared" si="518"/>
        <v>2019</v>
      </c>
      <c r="Q214" s="12">
        <f t="shared" si="518"/>
        <v>2020</v>
      </c>
      <c r="R214" s="12">
        <f t="shared" si="518"/>
        <v>2021</v>
      </c>
      <c r="S214" s="12">
        <f t="shared" si="518"/>
        <v>2022</v>
      </c>
      <c r="T214" s="12">
        <f t="shared" si="518"/>
        <v>2023</v>
      </c>
      <c r="U214" s="12">
        <f>1+S214</f>
        <v>2023</v>
      </c>
      <c r="V214" s="12">
        <f>1+S214</f>
        <v>2023</v>
      </c>
      <c r="W214" s="12">
        <f>1+T214</f>
        <v>2024</v>
      </c>
      <c r="X214" s="12">
        <f t="shared" si="518"/>
        <v>2025</v>
      </c>
      <c r="Y214" s="12">
        <f t="shared" si="518"/>
        <v>2026</v>
      </c>
      <c r="Z214" s="12">
        <f t="shared" si="518"/>
        <v>2027</v>
      </c>
      <c r="AA214" s="12">
        <f t="shared" si="518"/>
        <v>2028</v>
      </c>
      <c r="AB214" s="12">
        <f t="shared" si="518"/>
        <v>2029</v>
      </c>
      <c r="AC214" s="12">
        <f t="shared" si="518"/>
        <v>2030</v>
      </c>
      <c r="AD214" s="12">
        <f t="shared" si="518"/>
        <v>2031</v>
      </c>
      <c r="AE214" s="12">
        <f t="shared" si="518"/>
        <v>2032</v>
      </c>
      <c r="AF214" s="12">
        <f>1+AD214</f>
        <v>2032</v>
      </c>
      <c r="AG214" s="12">
        <f>1+AD214</f>
        <v>2032</v>
      </c>
      <c r="AH214" s="12">
        <f>1+AE214</f>
        <v>2033</v>
      </c>
      <c r="AI214" s="12">
        <f t="shared" si="518"/>
        <v>2034</v>
      </c>
      <c r="AJ214" s="12">
        <f t="shared" si="518"/>
        <v>2035</v>
      </c>
      <c r="AK214" s="12">
        <f t="shared" si="518"/>
        <v>2036</v>
      </c>
      <c r="AL214" s="12">
        <f t="shared" si="518"/>
        <v>2037</v>
      </c>
      <c r="AM214" s="12">
        <f t="shared" si="518"/>
        <v>2038</v>
      </c>
      <c r="AN214" s="12">
        <f>1+AL214</f>
        <v>2038</v>
      </c>
      <c r="AO214" s="12">
        <f>1+AM214</f>
        <v>2039</v>
      </c>
      <c r="AP214" s="12">
        <f t="shared" si="518"/>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1"/>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6">
        <f t="shared" ref="N218:AU218" si="522">IF(ISNA(N215),-1,IF(ISNA(N217),99,IF(ISNA(N216),N215,0)))</f>
        <v>0</v>
      </c>
      <c r="O218" s="66">
        <f t="shared" si="522"/>
        <v>1</v>
      </c>
      <c r="P218" s="66">
        <f t="shared" si="522"/>
        <v>0</v>
      </c>
      <c r="Q218" s="66">
        <f t="shared" si="522"/>
        <v>0</v>
      </c>
      <c r="R218" s="66">
        <f t="shared" si="522"/>
        <v>0</v>
      </c>
      <c r="S218" s="66">
        <f t="shared" si="522"/>
        <v>4</v>
      </c>
      <c r="T218" s="66">
        <f t="shared" si="522"/>
        <v>4</v>
      </c>
      <c r="U218" s="66">
        <f t="shared" ref="U218:V218" si="523">IF(ISNA(U215),-1,IF(ISNA(U217),99,IF(ISNA(U216),U215,0)))</f>
        <v>4</v>
      </c>
      <c r="V218" s="66">
        <f t="shared" si="523"/>
        <v>4</v>
      </c>
      <c r="W218" s="66">
        <f t="shared" si="522"/>
        <v>4</v>
      </c>
      <c r="X218" s="66">
        <f t="shared" si="522"/>
        <v>4</v>
      </c>
      <c r="Y218" s="66">
        <f t="shared" si="522"/>
        <v>4</v>
      </c>
      <c r="Z218" s="66">
        <f t="shared" si="522"/>
        <v>4</v>
      </c>
      <c r="AA218" s="66">
        <f t="shared" si="522"/>
        <v>4</v>
      </c>
      <c r="AB218" s="66">
        <f t="shared" si="522"/>
        <v>4</v>
      </c>
      <c r="AC218" s="66">
        <f t="shared" si="522"/>
        <v>0</v>
      </c>
      <c r="AD218" s="66">
        <f t="shared" si="522"/>
        <v>5</v>
      </c>
      <c r="AE218" s="66">
        <f t="shared" si="522"/>
        <v>5</v>
      </c>
      <c r="AF218" s="66">
        <f t="shared" ref="AF218:AG218" si="524">IF(ISNA(AF215),-1,IF(ISNA(AF217),99,IF(ISNA(AF216),AF215,0)))</f>
        <v>5</v>
      </c>
      <c r="AG218" s="66">
        <f t="shared" si="524"/>
        <v>5</v>
      </c>
      <c r="AH218" s="66">
        <f t="shared" si="522"/>
        <v>5</v>
      </c>
      <c r="AI218" s="66">
        <f t="shared" si="522"/>
        <v>5</v>
      </c>
      <c r="AJ218" s="66">
        <f t="shared" si="522"/>
        <v>5</v>
      </c>
      <c r="AK218" s="66">
        <f t="shared" si="522"/>
        <v>5</v>
      </c>
      <c r="AL218" s="66">
        <f t="shared" si="522"/>
        <v>5</v>
      </c>
      <c r="AM218" s="66">
        <f t="shared" si="522"/>
        <v>5</v>
      </c>
      <c r="AN218" s="66">
        <f t="shared" ref="AN218" si="525">IF(ISNA(AN215),-1,IF(ISNA(AN217),99,IF(ISNA(AN216),AN215,0)))</f>
        <v>5</v>
      </c>
      <c r="AO218" s="66">
        <f t="shared" si="522"/>
        <v>5</v>
      </c>
      <c r="AP218" s="66">
        <f t="shared" ref="AP218" si="526">IF(ISNA(AP215),-1,IF(ISNA(AP217),99,IF(ISNA(AP216),AP215,0)))</f>
        <v>0</v>
      </c>
      <c r="AQ218" s="66">
        <f t="shared" si="522"/>
        <v>0</v>
      </c>
      <c r="AR218" s="66">
        <f t="shared" si="522"/>
        <v>6</v>
      </c>
      <c r="AS218" s="66">
        <f t="shared" si="522"/>
        <v>0</v>
      </c>
      <c r="AT218" s="66">
        <f t="shared" si="522"/>
        <v>0</v>
      </c>
      <c r="AU218" s="66">
        <f t="shared" si="522"/>
        <v>0</v>
      </c>
      <c r="AV218" s="66"/>
      <c r="AY218" s="66"/>
      <c r="AZ218" s="66"/>
      <c r="BJ218" s="66"/>
      <c r="BK218" s="66"/>
    </row>
    <row r="219" spans="1:63">
      <c r="F219" s="15" t="str">
        <f t="shared" ref="F219:F226" si="527">IF(E219="*","","COM_PROJ")</f>
        <v>COM_PROJ</v>
      </c>
      <c r="G219" s="16" t="str">
        <f t="shared" ref="G219:G226" si="528">IF($E219="*","","-")</f>
        <v>-</v>
      </c>
      <c r="H219" s="43" t="str">
        <f t="shared" ref="H219:H226" si="529">B186</f>
        <v>TPPRCAR</v>
      </c>
      <c r="I219" s="16" t="str">
        <f t="shared" ref="I219:L226" si="530">IF($E219="*","","-")</f>
        <v>-</v>
      </c>
      <c r="J219" s="16" t="str">
        <f t="shared" si="530"/>
        <v>-</v>
      </c>
      <c r="K219" s="16" t="str">
        <f t="shared" si="530"/>
        <v>-</v>
      </c>
      <c r="L219" s="16" t="str">
        <f t="shared" si="530"/>
        <v>-</v>
      </c>
      <c r="M219" s="15">
        <f t="shared" ref="M219:M226" si="531">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5">
        <f>(AQ219+AS219)/2</f>
        <v>146.45624086635229</v>
      </c>
      <c r="AS219" s="3" cm="1">
        <f t="array" ref="AS219">IF(AS$218=-1,AT219,IF(AS$218=99,AR219,IF(AS$218=0,INDEX($E186:$M186,0,AS$216),(INDEX($E186:$M186,0,AS$218+1)-INDEX($E186:$M186,0,AS$218))/(INDEX($E$185:$M$185,0,AS$218+1)-INDEX($E$185:$M$185,0,AS$218))+AR219)))</f>
        <v>164.79876687305341</v>
      </c>
      <c r="AT219" s="3" cm="1">
        <f t="array" ref="AT219">IF(AT$218=-1,AU219,IF(AT$218=99,AS219,IF(AT$218=0,INDEX($E186:$M186,0,AT$216),(INDEX($E186:$M186,0,AT$218+1)-INDEX($E186:$M186,0,AT$218))/(INDEX($E$185:$M$185,0,AT$218+1)-INDEX($E$185:$M$185,0,AT$218))+AS219)))</f>
        <v>184.31240491540811</v>
      </c>
      <c r="AU219" s="3" cm="1">
        <f t="array" ref="AU219">IF(AU$218=-1,AV219,IF(AU$218=99,AT219,IF(AU$218=0,INDEX($E186:$M186,0,AU$216),(INDEX($E186:$M186,0,AU$218+1)-INDEX($E186:$M186,0,AU$218))/(INDEX($E$185:$M$185,0,AU$218+1)-INDEX($E$185:$M$185,0,AU$218))+AT219)))</f>
        <v>201.44093923041561</v>
      </c>
      <c r="AV219" s="3"/>
      <c r="AY219" s="3"/>
      <c r="AZ219" s="3"/>
      <c r="BJ219" s="3"/>
      <c r="BK219" s="92"/>
    </row>
    <row r="220" spans="1:63">
      <c r="F220" s="15" t="str">
        <f t="shared" si="527"/>
        <v>COM_PROJ</v>
      </c>
      <c r="G220" s="16" t="str">
        <f t="shared" si="528"/>
        <v>-</v>
      </c>
      <c r="H220" s="43" t="str">
        <f t="shared" si="529"/>
        <v>TPPRSUV</v>
      </c>
      <c r="I220" s="16" t="str">
        <f t="shared" si="530"/>
        <v>-</v>
      </c>
      <c r="J220" s="16" t="str">
        <f t="shared" si="530"/>
        <v>-</v>
      </c>
      <c r="K220" s="16" t="str">
        <f t="shared" si="530"/>
        <v>-</v>
      </c>
      <c r="L220" s="16" t="str">
        <f t="shared" si="530"/>
        <v>-</v>
      </c>
      <c r="M220" s="15">
        <f t="shared" si="531"/>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5">
        <f t="shared" ref="AR220:AR226" si="532">(AQ220+AS220)/2</f>
        <v>31.121951184099871</v>
      </c>
      <c r="AS220" s="3" cm="1">
        <f t="array" ref="AS220">IF(AS$218=-1,AT220,IF(AS$218=99,AR220,IF(AS$218=0,INDEX($E187:$M187,0,AS$216),(INDEX($E187:$M187,0,AS$218+1)-INDEX($E187:$M187,0,AS$218))/(INDEX($E$185:$M$185,0,AS$218+1)-INDEX($E$185:$M$185,0,AS$218))+AR220)))</f>
        <v>35.019737960523855</v>
      </c>
      <c r="AT220" s="3" cm="1">
        <f t="array" ref="AT220">IF(AT$218=-1,AU220,IF(AT$218=99,AS220,IF(AT$218=0,INDEX($E187:$M187,0,AT$216),(INDEX($E187:$M187,0,AT$218+1)-INDEX($E187:$M187,0,AT$218))/(INDEX($E$185:$M$185,0,AT$218+1)-INDEX($E$185:$M$185,0,AT$218))+AS220)))</f>
        <v>39.166386044524231</v>
      </c>
      <c r="AU220" s="3" cm="1">
        <f t="array" ref="AU220">IF(AU$218=-1,#REF!,IF(AU$218=99,AT220,IF(AU$218=0,INDEX($E187:$M187,0,AU$216),(INDEX($E187:$M187,0,AU$218+1)-INDEX($E187:$M187,0,AU$218))/(INDEX($E$185:$M$185,0,AU$218+1)-INDEX($E$185:$M$185,0,AU$218))+AT220)))</f>
        <v>42.806199586463322</v>
      </c>
      <c r="AV220" s="3"/>
      <c r="AY220" s="3"/>
      <c r="AZ220" s="3"/>
      <c r="BJ220" s="3"/>
      <c r="BK220" s="92"/>
    </row>
    <row r="221" spans="1:63">
      <c r="F221" s="15" t="str">
        <f t="shared" si="527"/>
        <v>COM_PROJ</v>
      </c>
      <c r="G221" s="16" t="str">
        <f t="shared" si="528"/>
        <v>-</v>
      </c>
      <c r="H221" s="43" t="str">
        <f t="shared" si="529"/>
        <v>TPPRMOT</v>
      </c>
      <c r="I221" s="16" t="str">
        <f t="shared" si="530"/>
        <v>-</v>
      </c>
      <c r="J221" s="16" t="str">
        <f t="shared" si="530"/>
        <v>-</v>
      </c>
      <c r="K221" s="16" t="str">
        <f t="shared" si="530"/>
        <v>-</v>
      </c>
      <c r="L221" s="16" t="str">
        <f t="shared" si="530"/>
        <v>-</v>
      </c>
      <c r="M221" s="15">
        <f t="shared" si="531"/>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5">
        <f t="shared" si="532"/>
        <v>5.4921090324882123</v>
      </c>
      <c r="AS221" s="3" cm="1">
        <f t="array" ref="AS221">IF(AS$218=-1,AT221,IF(AS$218=99,AR221,IF(AS$218=0,INDEX($E188:$M188,0,AS$216),(INDEX($E188:$M188,0,AS$218+1)-INDEX($E188:$M188,0,AS$218))/(INDEX($E$185:$M$185,0,AS$218+1)-INDEX($E$185:$M$185,0,AS$218))+AR221)))</f>
        <v>6.1799537577395034</v>
      </c>
      <c r="AT221" s="3" cm="1">
        <f t="array" ref="AT221">IF(AT$218=-1,AU221,IF(AT$218=99,AS221,IF(AT$218=0,INDEX($E188:$M188,0,AT$216),(INDEX($E188:$M188,0,AT$218+1)-INDEX($E188:$M188,0,AT$218))/(INDEX($E$185:$M$185,0,AT$218+1)-INDEX($E$185:$M$185,0,AT$218))+AS221)))</f>
        <v>6.9117151843278037</v>
      </c>
      <c r="AU221" s="3" cm="1">
        <f t="array" ref="AU221">IF(AU$218=-1,#REF!,IF(AU$218=99,AT221,IF(AU$218=0,INDEX($E188:$M188,0,AU$216),(INDEX($E188:$M188,0,AU$218+1)-INDEX($E188:$M188,0,AU$218))/(INDEX($E$185:$M$185,0,AU$218+1)-INDEX($E$185:$M$185,0,AU$218))+AT221)))</f>
        <v>7.5540352211405857</v>
      </c>
      <c r="AV221" s="3"/>
      <c r="AY221" s="3"/>
      <c r="AZ221" s="3"/>
      <c r="BJ221" s="3"/>
      <c r="BK221" s="92"/>
    </row>
    <row r="222" spans="1:63">
      <c r="F222" s="15" t="str">
        <f t="shared" si="527"/>
        <v>COM_PROJ</v>
      </c>
      <c r="G222" s="16" t="str">
        <f t="shared" si="528"/>
        <v>-</v>
      </c>
      <c r="H222" s="43" t="str">
        <f t="shared" si="529"/>
        <v>TPPUBUS</v>
      </c>
      <c r="I222" s="16" t="str">
        <f t="shared" si="530"/>
        <v>-</v>
      </c>
      <c r="J222" s="16" t="str">
        <f t="shared" si="530"/>
        <v>-</v>
      </c>
      <c r="K222" s="16" t="str">
        <f t="shared" si="530"/>
        <v>-</v>
      </c>
      <c r="L222" s="16" t="str">
        <f t="shared" si="530"/>
        <v>-</v>
      </c>
      <c r="M222" s="15">
        <f t="shared" si="531"/>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0.64929079481231411</v>
      </c>
      <c r="P222" s="3" cm="1">
        <f t="array" ref="P222">IF(P$218=-1,Q222,IF(P$218=99,O222,IF(P$218=0,INDEX($E189:$M189,0,P$216),(INDEX($E189:$M189,0,P$218+1)-INDEX($E189:$M189,0,P$218))/(INDEX($E$185:$M$185,0,P$218+1)-INDEX($E$185:$M$185,0,P$218))+O222)))</f>
        <v>0.65561461783585018</v>
      </c>
      <c r="Q222" s="3" cm="1">
        <f t="array" ref="Q222">IF(Q$218=-1,R222,IF(Q$218=99,P222,IF(Q$218=0,INDEX($E189:$M189,0,Q$216),(INDEX($E189:$M189,0,Q$218+1)-INDEX($E189:$M189,0,Q$218))/(INDEX($E$185:$M$185,0,Q$218+1)-INDEX($E$185:$M$185,0,Q$218))+P222)))</f>
        <v>0.6666265611015576</v>
      </c>
      <c r="R222" s="3" cm="1">
        <f t="array" ref="R222">IF(R$218=-1,S222,IF(R$218=99,Q222,IF(R$218=0,INDEX($E189:$M189,0,R$216),(INDEX($E189:$M189,0,R$218+1)-INDEX($E189:$M189,0,R$218))/(INDEX($E$185:$M$185,0,R$218+1)-INDEX($E$185:$M$185,0,R$218))+Q222)))</f>
        <v>0.67369816503155333</v>
      </c>
      <c r="S222" s="3" cm="1">
        <f t="array" ref="S222">IF(S$218=-1,T222,IF(S$218=99,R222,IF(S$218=0,INDEX($E189:$M189,0,S$216),(INDEX($E189:$M189,0,S$218+1)-INDEX($E189:$M189,0,S$218))/(INDEX($E$185:$M$185,0,S$218+1)-INDEX($E$185:$M$185,0,S$218))+R222)))</f>
        <v>0.6780468957142175</v>
      </c>
      <c r="T222" s="3" cm="1">
        <f t="array" ref="T222">IF(T$218=-1,W222,IF(T$218=99,S222,IF(T$218=0,INDEX($E189:$M189,0,T$216),(INDEX($E189:$M189,0,T$218+1)-INDEX($E189:$M189,0,T$218))/(INDEX($E$185:$M$185,0,T$218+1)-INDEX($E$185:$M$185,0,T$218))+S222)))</f>
        <v>0.68239562639688167</v>
      </c>
      <c r="U222" s="3" cm="1">
        <f t="array" ref="U222">IF(U$218=-1,W222,IF(U$218=99,S222,IF(U$218=0,INDEX($E189:$M189,0,U$216),(INDEX($E189:$M189,0,U$218+1)-INDEX($E189:$M189,0,U$218))/(INDEX($E$185:$M$185,0,U$218+1)-INDEX($E$185:$M$185,0,U$218))+S222)))</f>
        <v>0.68239562639688167</v>
      </c>
      <c r="V222" s="3" cm="1">
        <f t="array" ref="V222">IF(V$218=-1,W222,IF(V$218=99,S222,IF(V$218=0,INDEX($E189:$M189,0,V$216),(INDEX($E189:$M189,0,V$218+1)-INDEX($E189:$M189,0,V$218))/(INDEX($E$185:$M$185,0,V$218+1)-INDEX($E$185:$M$185,0,V$218))+S222)))</f>
        <v>0.68239562639688167</v>
      </c>
      <c r="W222" s="3" cm="1">
        <f t="array" ref="W222">IF(W$218=-1,X222,IF(W$218=99,T222,IF(W$218=0,INDEX($E189:$M189,0,W$216),(INDEX($E189:$M189,0,W$218+1)-INDEX($E189:$M189,0,W$218))/(INDEX($E$185:$M$185,0,W$218+1)-INDEX($E$185:$M$185,0,W$218))+T222)))</f>
        <v>0.68674435707954584</v>
      </c>
      <c r="X222" s="3" cm="1">
        <f t="array" ref="X222">IF(X$218=-1,Y222,IF(X$218=99,W222,IF(X$218=0,INDEX($E189:$M189,0,X$216),(INDEX($E189:$M189,0,X$218+1)-INDEX($E189:$M189,0,X$218))/(INDEX($E$185:$M$185,0,X$218+1)-INDEX($E$185:$M$185,0,X$218))+W222)))</f>
        <v>0.69109308776221001</v>
      </c>
      <c r="Y222" s="3" cm="1">
        <f t="array" ref="Y222">IF(Y$218=-1,Z222,IF(Y$218=99,X222,IF(Y$218=0,INDEX($E189:$M189,0,Y$216),(INDEX($E189:$M189,0,Y$218+1)-INDEX($E189:$M189,0,Y$218))/(INDEX($E$185:$M$185,0,Y$218+1)-INDEX($E$185:$M$185,0,Y$218))+X222)))</f>
        <v>0.69544181844487418</v>
      </c>
      <c r="Z222" s="3" cm="1">
        <f t="array" ref="Z222">IF(Z$218=-1,AA222,IF(Z$218=99,Y222,IF(Z$218=0,INDEX($E189:$M189,0,Z$216),(INDEX($E189:$M189,0,Z$218+1)-INDEX($E189:$M189,0,Z$218))/(INDEX($E$185:$M$185,0,Z$218+1)-INDEX($E$185:$M$185,0,Z$218))+Y222)))</f>
        <v>0.69979054912753835</v>
      </c>
      <c r="AA222" s="3" cm="1">
        <f t="array" ref="AA222">IF(AA$218=-1,AB222,IF(AA$218=99,Z222,IF(AA$218=0,INDEX($E189:$M189,0,AA$216),(INDEX($E189:$M189,0,AA$218+1)-INDEX($E189:$M189,0,AA$218))/(INDEX($E$185:$M$185,0,AA$218+1)-INDEX($E$185:$M$185,0,AA$218))+Z222)))</f>
        <v>0.70413927981020252</v>
      </c>
      <c r="AB222" s="3" cm="1">
        <f t="array" ref="AB222">IF(AB$218=-1,AC222,IF(AB$218=99,AA222,IF(AB$218=0,INDEX($E189:$M189,0,AB$216),(INDEX($E189:$M189,0,AB$218+1)-INDEX($E189:$M189,0,AB$218))/(INDEX($E$185:$M$185,0,AB$218+1)-INDEX($E$185:$M$185,0,AB$218))+AA222)))</f>
        <v>0.70848801049286669</v>
      </c>
      <c r="AC222" s="3" cm="1">
        <f t="array" ref="AC222">IF(AC$218=-1,AD222,IF(AC$218=99,AB222,IF(AC$218=0,INDEX($E189:$M189,0,AC$216),(INDEX($E189:$M189,0,AC$218+1)-INDEX($E189:$M189,0,AC$218))/(INDEX($E$185:$M$185,0,AC$218+1)-INDEX($E$185:$M$185,0,AC$218))+AB222)))</f>
        <v>0.71283674117553131</v>
      </c>
      <c r="AD222" s="3" cm="1">
        <f t="array" ref="AD222">IF(AD$218=-1,AE222,IF(AD$218=99,AC222,IF(AD$218=0,INDEX($E189:$M189,0,AD$216),(INDEX($E189:$M189,0,AD$218+1)-INDEX($E189:$M189,0,AD$218))/(INDEX($E$185:$M$185,0,AD$218+1)-INDEX($E$185:$M$185,0,AD$218))+AC222)))</f>
        <v>0.71384873350646316</v>
      </c>
      <c r="AE222" s="3" cm="1">
        <f t="array" ref="AE222">IF(AE$218=-1,AH222,IF(AE$218=99,AD222,IF(AE$218=0,INDEX($E189:$M189,0,AE$216),(INDEX($E189:$M189,0,AE$218+1)-INDEX($E189:$M189,0,AE$218))/(INDEX($E$185:$M$185,0,AE$218+1)-INDEX($E$185:$M$185,0,AE$218))+AD222)))</f>
        <v>0.71486072583739502</v>
      </c>
      <c r="AF222" s="3" cm="1">
        <f t="array" ref="AF222">IF(AF$218=-1,AH222,IF(AF$218=99,AD222,IF(AF$218=0,INDEX($E189:$M189,0,AF$216),(INDEX($E189:$M189,0,AF$218+1)-INDEX($E189:$M189,0,AF$218))/(INDEX($E$185:$M$185,0,AF$218+1)-INDEX($E$185:$M$185,0,AF$218))+AD222)))</f>
        <v>0.71486072583739502</v>
      </c>
      <c r="AG222" s="3" cm="1">
        <f t="array" ref="AG222">IF(AG$218=-1,AH222,IF(AG$218=99,AD222,IF(AG$218=0,INDEX($E189:$M189,0,AG$216),(INDEX($E189:$M189,0,AG$218+1)-INDEX($E189:$M189,0,AG$218))/(INDEX($E$185:$M$185,0,AG$218+1)-INDEX($E$185:$M$185,0,AG$218))+AD222)))</f>
        <v>0.71486072583739502</v>
      </c>
      <c r="AH222" s="3" cm="1">
        <f t="array" ref="AH222">IF(AH$218=-1,AI222,IF(AH$218=99,AE222,IF(AH$218=0,INDEX($E189:$M189,0,AH$216),(INDEX($E189:$M189,0,AH$218+1)-INDEX($E189:$M189,0,AH$218))/(INDEX($E$185:$M$185,0,AH$218+1)-INDEX($E$185:$M$185,0,AH$218))+AE222)))</f>
        <v>0.71587271816832687</v>
      </c>
      <c r="AI222" s="3" cm="1">
        <f t="array" ref="AI222">IF(AI$218=-1,AJ222,IF(AI$218=99,AH222,IF(AI$218=0,INDEX($E189:$M189,0,AI$216),(INDEX($E189:$M189,0,AI$218+1)-INDEX($E189:$M189,0,AI$218))/(INDEX($E$185:$M$185,0,AI$218+1)-INDEX($E$185:$M$185,0,AI$218))+AH222)))</f>
        <v>0.71688471049925873</v>
      </c>
      <c r="AJ222" s="3" cm="1">
        <f t="array" ref="AJ222">IF(AJ$218=-1,AK222,IF(AJ$218=99,AI222,IF(AJ$218=0,INDEX($E189:$M189,0,AJ$216),(INDEX($E189:$M189,0,AJ$218+1)-INDEX($E189:$M189,0,AJ$218))/(INDEX($E$185:$M$185,0,AJ$218+1)-INDEX($E$185:$M$185,0,AJ$218))+AI222)))</f>
        <v>0.71789670283019058</v>
      </c>
      <c r="AK222" s="3" cm="1">
        <f t="array" ref="AK222">IF(AK$218=-1,AL222,IF(AK$218=99,AJ222,IF(AK$218=0,INDEX($E189:$M189,0,AK$216),(INDEX($E189:$M189,0,AK$218+1)-INDEX($E189:$M189,0,AK$218))/(INDEX($E$185:$M$185,0,AK$218+1)-INDEX($E$185:$M$185,0,AK$218))+AJ222)))</f>
        <v>0.71890869516112244</v>
      </c>
      <c r="AL222" s="3" cm="1">
        <f t="array" ref="AL222">IF(AL$218=-1,AM222,IF(AL$218=99,AK222,IF(AL$218=0,INDEX($E189:$M189,0,AL$216),(INDEX($E189:$M189,0,AL$218+1)-INDEX($E189:$M189,0,AL$218))/(INDEX($E$185:$M$185,0,AL$218+1)-INDEX($E$185:$M$185,0,AL$218))+AK222)))</f>
        <v>0.71992068749205429</v>
      </c>
      <c r="AM222" s="3" cm="1">
        <f t="array" ref="AM222">IF(AM$218=-1,AO222,IF(AM$218=99,AL222,IF(AM$218=0,INDEX($E189:$M189,0,AM$216),(INDEX($E189:$M189,0,AM$218+1)-INDEX($E189:$M189,0,AM$218))/(INDEX($E$185:$M$185,0,AM$218+1)-INDEX($E$185:$M$185,0,AM$218))+AL222)))</f>
        <v>0.72093267982298614</v>
      </c>
      <c r="AN222" s="3" cm="1">
        <f t="array" ref="AN222">IF(AN$218=-1,AP222,IF(AN$218=99,AL222,IF(AN$218=0,INDEX($E189:$M189,0,AN$216),(INDEX($E189:$M189,0,AN$218+1)-INDEX($E189:$M189,0,AN$218))/(INDEX($E$185:$M$185,0,AN$218+1)-INDEX($E$185:$M$185,0,AN$218))+AL222)))</f>
        <v>0.72093267982298614</v>
      </c>
      <c r="AO222" s="3" cm="1">
        <f t="array" ref="AO222">IF(AO$218=-1,AQ222,IF(AO$218=99,AM222,IF(AO$218=0,INDEX($E189:$M189,0,AO$216),(INDEX($E189:$M189,0,AO$218+1)-INDEX($E189:$M189,0,AO$218))/(INDEX($E$185:$M$185,0,AO$218+1)-INDEX($E$185:$M$185,0,AO$218))+AM222)))</f>
        <v>0.721944672153918</v>
      </c>
      <c r="AP222" s="3" cm="1">
        <f t="array" ref="AP222">IF(AP$218=-1,AR222,IF(AP$218=99,AO222,IF(AP$218=0,INDEX($E189:$M189,0,AP$216),(INDEX($E189:$M189,0,AP$218+1)-INDEX($E189:$M189,0,AP$218))/(INDEX($E$185:$M$185,0,AP$218+1)-INDEX($E$185:$M$185,0,AP$218))+AO222)))</f>
        <v>0.72295666448485008</v>
      </c>
      <c r="AQ222" s="3" cm="1">
        <f t="array" ref="AQ222">IF(AQ$218=-1,AR222,IF(AQ$218=99,AO222,IF(AQ$218=0,INDEX($E189:$M189,0,AQ$216),(INDEX($E189:$M189,0,AQ$218+1)-INDEX($E189:$M189,0,AQ$218))/(INDEX($E$185:$M$185,0,AQ$218+1)-INDEX($E$185:$M$185,0,AQ$218))+AO222)))</f>
        <v>0.72295666448485008</v>
      </c>
      <c r="AR222" s="245">
        <f t="shared" si="532"/>
        <v>0.71131104283376256</v>
      </c>
      <c r="AS222" s="3" cm="1">
        <f t="array" ref="AS222">IF(AS$218=-1,AT222,IF(AS$218=99,AR222,IF(AS$218=0,INDEX($E189:$M189,0,AS$216),(INDEX($E189:$M189,0,AS$218+1)-INDEX($E189:$M189,0,AS$218))/(INDEX($E$185:$M$185,0,AS$218+1)-INDEX($E$185:$M$185,0,AS$218))+AR222)))</f>
        <v>0.69966542118267516</v>
      </c>
      <c r="AT222" s="3" cm="1">
        <f t="array" ref="AT222">IF(AT$218=-1,AU222,IF(AT$218=99,AS222,IF(AT$218=0,INDEX($E189:$M189,0,AT$216),(INDEX($E189:$M189,0,AT$218+1)-INDEX($E189:$M189,0,AT$218))/(INDEX($E$185:$M$185,0,AT$218+1)-INDEX($E$185:$M$185,0,AT$218))+AS222)))</f>
        <v>0.68531017316263421</v>
      </c>
      <c r="AU222" s="3" cm="1">
        <f t="array" ref="AU222">IF(AU$218=-1,#REF!,IF(AU$218=99,AT222,IF(AU$218=0,INDEX($E189:$M189,0,AU$216),(INDEX($E189:$M189,0,AU$218+1)-INDEX($E189:$M189,0,AU$218))/(INDEX($E$185:$M$185,0,AU$218+1)-INDEX($E$185:$M$185,0,AU$218))+AT222)))</f>
        <v>0.65713751702226919</v>
      </c>
      <c r="AV222" s="3"/>
      <c r="AY222" s="3"/>
      <c r="AZ222" s="3"/>
      <c r="BJ222" s="3"/>
      <c r="BK222" s="92"/>
    </row>
    <row r="223" spans="1:63">
      <c r="F223" s="15" t="str">
        <f t="shared" si="527"/>
        <v>COM_PROJ</v>
      </c>
      <c r="G223" s="16" t="str">
        <f t="shared" si="528"/>
        <v>-</v>
      </c>
      <c r="H223" s="43" t="str">
        <f t="shared" si="529"/>
        <v>TPPUMBT</v>
      </c>
      <c r="I223" s="16" t="str">
        <f t="shared" si="530"/>
        <v>-</v>
      </c>
      <c r="J223" s="16" t="str">
        <f t="shared" si="530"/>
        <v>-</v>
      </c>
      <c r="K223" s="16" t="str">
        <f t="shared" si="530"/>
        <v>-</v>
      </c>
      <c r="L223" s="16" t="str">
        <f t="shared" si="530"/>
        <v>-</v>
      </c>
      <c r="M223" s="15">
        <f t="shared" si="531"/>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7.2845555245765379</v>
      </c>
      <c r="P223" s="3" cm="1">
        <f t="array" ref="P223">IF(P$218=-1,Q223,IF(P$218=99,O223,IF(P$218=0,INDEX($E190:$M190,0,P$216),(INDEX($E190:$M190,0,P$218+1)-INDEX($E190:$M190,0,P$218))/(INDEX($E$185:$M$185,0,P$218+1)-INDEX($E$185:$M$185,0,P$218))+O223)))</f>
        <v>7.3560605036075861</v>
      </c>
      <c r="Q223" s="3" cm="1">
        <f t="array" ref="Q223">IF(Q$218=-1,R223,IF(Q$218=99,P223,IF(Q$218=0,INDEX($E190:$M190,0,Q$216),(INDEX($E190:$M190,0,Q$218+1)-INDEX($E190:$M190,0,Q$218))/(INDEX($E$185:$M$185,0,Q$218+1)-INDEX($E$185:$M$185,0,Q$218))+P223)))</f>
        <v>7.4796155902715018</v>
      </c>
      <c r="R223" s="3" cm="1">
        <f t="array" ref="R223">IF(R$218=-1,S223,IF(R$218=99,Q223,IF(R$218=0,INDEX($E190:$M190,0,R$216),(INDEX($E190:$M190,0,R$218+1)-INDEX($E190:$M190,0,R$218))/(INDEX($E$185:$M$185,0,R$218+1)-INDEX($E$185:$M$185,0,R$218))+Q223)))</f>
        <v>7.5589596819854874</v>
      </c>
      <c r="S223" s="3" cm="1">
        <f t="array" ref="S223">IF(S$218=-1,T223,IF(S$218=99,R223,IF(S$218=0,INDEX($E190:$M190,0,S$216),(INDEX($E190:$M190,0,S$218+1)-INDEX($E190:$M190,0,S$218))/(INDEX($E$185:$M$185,0,S$218+1)-INDEX($E$185:$M$185,0,S$218))+R223)))</f>
        <v>7.6077528680208575</v>
      </c>
      <c r="T223" s="3" cm="1">
        <f t="array" ref="T223">IF(T$218=-1,W223,IF(T$218=99,S223,IF(T$218=0,INDEX($E190:$M190,0,T$216),(INDEX($E190:$M190,0,T$218+1)-INDEX($E190:$M190,0,T$218))/(INDEX($E$185:$M$185,0,T$218+1)-INDEX($E$185:$M$185,0,T$218))+S223)))</f>
        <v>7.6565460540562276</v>
      </c>
      <c r="U223" s="3" cm="1">
        <f t="array" ref="U223">IF(U$218=-1,W223,IF(U$218=99,S223,IF(U$218=0,INDEX($E190:$M190,0,U$216),(INDEX($E190:$M190,0,U$218+1)-INDEX($E190:$M190,0,U$218))/(INDEX($E$185:$M$185,0,U$218+1)-INDEX($E$185:$M$185,0,U$218))+S223)))</f>
        <v>7.6565460540562276</v>
      </c>
      <c r="V223" s="3" cm="1">
        <f t="array" ref="V223">IF(V$218=-1,W223,IF(V$218=99,S223,IF(V$218=0,INDEX($E190:$M190,0,V$216),(INDEX($E190:$M190,0,V$218+1)-INDEX($E190:$M190,0,V$218))/(INDEX($E$185:$M$185,0,V$218+1)-INDEX($E$185:$M$185,0,V$218))+S223)))</f>
        <v>7.6565460540562276</v>
      </c>
      <c r="W223" s="3" cm="1">
        <f t="array" ref="W223">IF(W$218=-1,X223,IF(W$218=99,T223,IF(W$218=0,INDEX($E190:$M190,0,W$216),(INDEX($E190:$M190,0,W$218+1)-INDEX($E190:$M190,0,W$218))/(INDEX($E$185:$M$185,0,W$218+1)-INDEX($E$185:$M$185,0,W$218))+T223)))</f>
        <v>7.7053392400915977</v>
      </c>
      <c r="X223" s="3" cm="1">
        <f t="array" ref="X223">IF(X$218=-1,Y223,IF(X$218=99,W223,IF(X$218=0,INDEX($E190:$M190,0,X$216),(INDEX($E190:$M190,0,X$218+1)-INDEX($E190:$M190,0,X$218))/(INDEX($E$185:$M$185,0,X$218+1)-INDEX($E$185:$M$185,0,X$218))+W223)))</f>
        <v>7.7541324261269677</v>
      </c>
      <c r="Y223" s="3" cm="1">
        <f t="array" ref="Y223">IF(Y$218=-1,Z223,IF(Y$218=99,X223,IF(Y$218=0,INDEX($E190:$M190,0,Y$216),(INDEX($E190:$M190,0,Y$218+1)-INDEX($E190:$M190,0,Y$218))/(INDEX($E$185:$M$185,0,Y$218+1)-INDEX($E$185:$M$185,0,Y$218))+X223)))</f>
        <v>7.8029256121623378</v>
      </c>
      <c r="Z223" s="3" cm="1">
        <f t="array" ref="Z223">IF(Z$218=-1,AA223,IF(Z$218=99,Y223,IF(Z$218=0,INDEX($E190:$M190,0,Z$216),(INDEX($E190:$M190,0,Z$218+1)-INDEX($E190:$M190,0,Z$218))/(INDEX($E$185:$M$185,0,Z$218+1)-INDEX($E$185:$M$185,0,Z$218))+Y223)))</f>
        <v>7.8517187981977079</v>
      </c>
      <c r="AA223" s="3" cm="1">
        <f t="array" ref="AA223">IF(AA$218=-1,AB223,IF(AA$218=99,Z223,IF(AA$218=0,INDEX($E190:$M190,0,AA$216),(INDEX($E190:$M190,0,AA$218+1)-INDEX($E190:$M190,0,AA$218))/(INDEX($E$185:$M$185,0,AA$218+1)-INDEX($E$185:$M$185,0,AA$218))+Z223)))</f>
        <v>7.900511984233078</v>
      </c>
      <c r="AB223" s="3" cm="1">
        <f t="array" ref="AB223">IF(AB$218=-1,AC223,IF(AB$218=99,AA223,IF(AB$218=0,INDEX($E190:$M190,0,AB$216),(INDEX($E190:$M190,0,AB$218+1)-INDEX($E190:$M190,0,AB$218))/(INDEX($E$185:$M$185,0,AB$218+1)-INDEX($E$185:$M$185,0,AB$218))+AA223)))</f>
        <v>7.9493051702684481</v>
      </c>
      <c r="AC223" s="3" cm="1">
        <f t="array" ref="AC223">IF(AC$218=-1,AD223,IF(AC$218=99,AB223,IF(AC$218=0,INDEX($E190:$M190,0,AC$216),(INDEX($E190:$M190,0,AC$218+1)-INDEX($E190:$M190,0,AC$218))/(INDEX($E$185:$M$185,0,AC$218+1)-INDEX($E$185:$M$185,0,AC$218))+AB223)))</f>
        <v>7.9980983563038182</v>
      </c>
      <c r="AD223" s="3" cm="1">
        <f t="array" ref="AD223">IF(AD$218=-1,AE223,IF(AD$218=99,AC223,IF(AD$218=0,INDEX($E190:$M190,0,AD$216),(INDEX($E190:$M190,0,AD$218+1)-INDEX($E190:$M190,0,AD$218))/(INDEX($E$185:$M$185,0,AD$218+1)-INDEX($E$185:$M$185,0,AD$218))+AC223)))</f>
        <v>8.0094530098045205</v>
      </c>
      <c r="AE223" s="3" cm="1">
        <f t="array" ref="AE223">IF(AE$218=-1,AH223,IF(AE$218=99,AD223,IF(AE$218=0,INDEX($E190:$M190,0,AE$216),(INDEX($E190:$M190,0,AE$218+1)-INDEX($E190:$M190,0,AE$218))/(INDEX($E$185:$M$185,0,AE$218+1)-INDEX($E$185:$M$185,0,AE$218))+AD223)))</f>
        <v>8.0208076633052237</v>
      </c>
      <c r="AF223" s="3" cm="1">
        <f t="array" ref="AF223">IF(AF$218=-1,AH223,IF(AF$218=99,AD223,IF(AF$218=0,INDEX($E190:$M190,0,AF$216),(INDEX($E190:$M190,0,AF$218+1)-INDEX($E190:$M190,0,AF$218))/(INDEX($E$185:$M$185,0,AF$218+1)-INDEX($E$185:$M$185,0,AF$218))+AD223)))</f>
        <v>8.0208076633052237</v>
      </c>
      <c r="AG223" s="3" cm="1">
        <f t="array" ref="AG223">IF(AG$218=-1,AH223,IF(AG$218=99,AD223,IF(AG$218=0,INDEX($E190:$M190,0,AG$216),(INDEX($E190:$M190,0,AG$218+1)-INDEX($E190:$M190,0,AG$218))/(INDEX($E$185:$M$185,0,AG$218+1)-INDEX($E$185:$M$185,0,AG$218))+AD223)))</f>
        <v>8.0208076633052237</v>
      </c>
      <c r="AH223" s="3" cm="1">
        <f t="array" ref="AH223">IF(AH$218=-1,AI223,IF(AH$218=99,AE223,IF(AH$218=0,INDEX($E190:$M190,0,AH$216),(INDEX($E190:$M190,0,AH$218+1)-INDEX($E190:$M190,0,AH$218))/(INDEX($E$185:$M$185,0,AH$218+1)-INDEX($E$185:$M$185,0,AH$218))+AE223)))</f>
        <v>8.0321623168059268</v>
      </c>
      <c r="AI223" s="3" cm="1">
        <f t="array" ref="AI223">IF(AI$218=-1,AJ223,IF(AI$218=99,AH223,IF(AI$218=0,INDEX($E190:$M190,0,AI$216),(INDEX($E190:$M190,0,AI$218+1)-INDEX($E190:$M190,0,AI$218))/(INDEX($E$185:$M$185,0,AI$218+1)-INDEX($E$185:$M$185,0,AI$218))+AH223)))</f>
        <v>8.04351697030663</v>
      </c>
      <c r="AJ223" s="3" cm="1">
        <f t="array" ref="AJ223">IF(AJ$218=-1,AK223,IF(AJ$218=99,AI223,IF(AJ$218=0,INDEX($E190:$M190,0,AJ$216),(INDEX($E190:$M190,0,AJ$218+1)-INDEX($E190:$M190,0,AJ$218))/(INDEX($E$185:$M$185,0,AJ$218+1)-INDEX($E$185:$M$185,0,AJ$218))+AI223)))</f>
        <v>8.0548716238073332</v>
      </c>
      <c r="AK223" s="3" cm="1">
        <f t="array" ref="AK223">IF(AK$218=-1,AL223,IF(AK$218=99,AJ223,IF(AK$218=0,INDEX($E190:$M190,0,AK$216),(INDEX($E190:$M190,0,AK$218+1)-INDEX($E190:$M190,0,AK$218))/(INDEX($E$185:$M$185,0,AK$218+1)-INDEX($E$185:$M$185,0,AK$218))+AJ223)))</f>
        <v>8.0662262773080364</v>
      </c>
      <c r="AL223" s="3" cm="1">
        <f t="array" ref="AL223">IF(AL$218=-1,AM223,IF(AL$218=99,AK223,IF(AL$218=0,INDEX($E190:$M190,0,AL$216),(INDEX($E190:$M190,0,AL$218+1)-INDEX($E190:$M190,0,AL$218))/(INDEX($E$185:$M$185,0,AL$218+1)-INDEX($E$185:$M$185,0,AL$218))+AK223)))</f>
        <v>8.0775809308087396</v>
      </c>
      <c r="AM223" s="3" cm="1">
        <f t="array" ref="AM223">IF(AM$218=-1,AO223,IF(AM$218=99,AL223,IF(AM$218=0,INDEX($E190:$M190,0,AM$216),(INDEX($E190:$M190,0,AM$218+1)-INDEX($E190:$M190,0,AM$218))/(INDEX($E$185:$M$185,0,AM$218+1)-INDEX($E$185:$M$185,0,AM$218))+AL223)))</f>
        <v>8.0889355843094428</v>
      </c>
      <c r="AN223" s="3" cm="1">
        <f t="array" ref="AN223">IF(AN$218=-1,AP223,IF(AN$218=99,AL223,IF(AN$218=0,INDEX($E190:$M190,0,AN$216),(INDEX($E190:$M190,0,AN$218+1)-INDEX($E190:$M190,0,AN$218))/(INDEX($E$185:$M$185,0,AN$218+1)-INDEX($E$185:$M$185,0,AN$218))+AL223)))</f>
        <v>8.0889355843094428</v>
      </c>
      <c r="AO223" s="3" cm="1">
        <f t="array" ref="AO223">IF(AO$218=-1,AQ223,IF(AO$218=99,AM223,IF(AO$218=0,INDEX($E190:$M190,0,AO$216),(INDEX($E190:$M190,0,AO$218+1)-INDEX($E190:$M190,0,AO$218))/(INDEX($E$185:$M$185,0,AO$218+1)-INDEX($E$185:$M$185,0,AO$218))+AM223)))</f>
        <v>8.100290237810146</v>
      </c>
      <c r="AP223" s="3" cm="1">
        <f t="array" ref="AP223">IF(AP$218=-1,AR223,IF(AP$218=99,AO223,IF(AP$218=0,INDEX($E190:$M190,0,AP$216),(INDEX($E190:$M190,0,AP$218+1)-INDEX($E190:$M190,0,AP$218))/(INDEX($E$185:$M$185,0,AP$218+1)-INDEX($E$185:$M$185,0,AP$218))+AO223)))</f>
        <v>8.1116448913108439</v>
      </c>
      <c r="AQ223" s="3" cm="1">
        <f t="array" ref="AQ223">IF(AQ$218=-1,AR223,IF(AQ$218=99,AO223,IF(AQ$218=0,INDEX($E190:$M190,0,AQ$216),(INDEX($E190:$M190,0,AQ$218+1)-INDEX($E190:$M190,0,AQ$218))/(INDEX($E$185:$M$185,0,AQ$218+1)-INDEX($E$185:$M$185,0,AQ$218))+AO223)))</f>
        <v>8.1116448913108439</v>
      </c>
      <c r="AR223" s="245">
        <f t="shared" si="532"/>
        <v>7.9809798708292981</v>
      </c>
      <c r="AS223" s="3" cm="1">
        <f t="array" ref="AS223">IF(AS$218=-1,AT223,IF(AS$218=99,AR223,IF(AS$218=0,INDEX($E190:$M190,0,AS$216),(INDEX($E190:$M190,0,AS$218+1)-INDEX($E190:$M190,0,AS$218))/(INDEX($E$185:$M$185,0,AS$218+1)-INDEX($E$185:$M$185,0,AS$218))+AR223)))</f>
        <v>7.8503148503477531</v>
      </c>
      <c r="AT223" s="3" cm="1">
        <f t="array" ref="AT223">IF(AT$218=-1,AU223,IF(AT$218=99,AS223,IF(AT$218=0,INDEX($E190:$M190,0,AT$216),(INDEX($E190:$M190,0,AT$218+1)-INDEX($E190:$M190,0,AT$218))/(INDEX($E$185:$M$185,0,AT$218+1)-INDEX($E$185:$M$185,0,AT$218))+AS223)))</f>
        <v>7.6892475554660615</v>
      </c>
      <c r="AU223" s="3" cm="1">
        <f t="array" ref="AU223">IF(AU$218=-1,#REF!,IF(AU$218=99,AT223,IF(AU$218=0,INDEX($E190:$M190,0,AU$216),(INDEX($E190:$M190,0,AU$218+1)-INDEX($E190:$M190,0,AU$218))/(INDEX($E$185:$M$185,0,AU$218+1)-INDEX($E$185:$M$185,0,AU$218))+AT223)))</f>
        <v>7.37314758228373</v>
      </c>
      <c r="AV223" s="3"/>
      <c r="AY223" s="3"/>
      <c r="AZ223" s="3"/>
      <c r="BJ223" s="3"/>
      <c r="BK223" s="92"/>
    </row>
    <row r="224" spans="1:63">
      <c r="F224" s="15" t="str">
        <f t="shared" si="527"/>
        <v>COM_PROJ</v>
      </c>
      <c r="G224" s="16" t="str">
        <f t="shared" si="528"/>
        <v>-</v>
      </c>
      <c r="H224" s="43" t="str">
        <f t="shared" si="529"/>
        <v>TPPUBRT</v>
      </c>
      <c r="I224" s="16" t="str">
        <f t="shared" si="530"/>
        <v>-</v>
      </c>
      <c r="J224" s="16" t="str">
        <f t="shared" si="530"/>
        <v>-</v>
      </c>
      <c r="K224" s="16" t="str">
        <f t="shared" si="530"/>
        <v>-</v>
      </c>
      <c r="L224" s="16" t="str">
        <f t="shared" si="530"/>
        <v>-</v>
      </c>
      <c r="M224" s="15">
        <f t="shared" si="531"/>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9.2054765383727061E-2</v>
      </c>
      <c r="P224" s="3" cm="1">
        <f t="array" ref="P224">IF(P$218=-1,Q224,IF(P$218=99,O224,IF(P$218=0,INDEX($E191:$M191,0,P$216),(INDEX($E191:$M191,0,P$218+1)-INDEX($E191:$M191,0,P$218))/(INDEX($E$185:$M$185,0,P$218+1)-INDEX($E$185:$M$185,0,P$218))+O224)))</f>
        <v>0.1113095478662298</v>
      </c>
      <c r="Q224" s="3" cm="1">
        <f t="array" ref="Q224">IF(Q$218=-1,R224,IF(Q$218=99,P224,IF(Q$218=0,INDEX($E191:$M191,0,Q$216),(INDEX($E191:$M191,0,Q$218+1)-INDEX($E191:$M191,0,Q$218))/(INDEX($E$185:$M$185,0,Q$218+1)-INDEX($E$185:$M$185,0,Q$218))+P224)))</f>
        <v>0.11091277099762989</v>
      </c>
      <c r="R224" s="3" cm="1">
        <f t="array" ref="R224">IF(R$218=-1,S224,IF(R$218=99,Q224,IF(R$218=0,INDEX($E191:$M191,0,R$216),(INDEX($E191:$M191,0,R$218+1)-INDEX($E191:$M191,0,R$218))/(INDEX($E$185:$M$185,0,R$218+1)-INDEX($E$185:$M$185,0,R$218))+Q224)))</f>
        <v>0.11324882528963676</v>
      </c>
      <c r="S224" s="3" cm="1">
        <f t="array" ref="S224">IF(S$218=-1,T224,IF(S$218=99,R224,IF(S$218=0,INDEX($E191:$M191,0,S$216),(INDEX($E191:$M191,0,S$218+1)-INDEX($E191:$M191,0,S$218))/(INDEX($E$185:$M$185,0,S$218+1)-INDEX($E$185:$M$185,0,S$218))+R224)))</f>
        <v>0.11437101807575958</v>
      </c>
      <c r="T224" s="3" cm="1">
        <f t="array" ref="T224">IF(T$218=-1,W224,IF(T$218=99,S224,IF(T$218=0,INDEX($E191:$M191,0,T$216),(INDEX($E191:$M191,0,T$218+1)-INDEX($E191:$M191,0,T$218))/(INDEX($E$185:$M$185,0,T$218+1)-INDEX($E$185:$M$185,0,T$218))+S224)))</f>
        <v>0.11549321086188241</v>
      </c>
      <c r="U224" s="3" cm="1">
        <f t="array" ref="U224">IF(U$218=-1,W224,IF(U$218=99,S224,IF(U$218=0,INDEX($E191:$M191,0,U$216),(INDEX($E191:$M191,0,U$218+1)-INDEX($E191:$M191,0,U$218))/(INDEX($E$185:$M$185,0,U$218+1)-INDEX($E$185:$M$185,0,U$218))+S224)))</f>
        <v>0.11549321086188241</v>
      </c>
      <c r="V224" s="3" cm="1">
        <f t="array" ref="V224">IF(V$218=-1,W224,IF(V$218=99,S224,IF(V$218=0,INDEX($E191:$M191,0,V$216),(INDEX($E191:$M191,0,V$218+1)-INDEX($E191:$M191,0,V$218))/(INDEX($E$185:$M$185,0,V$218+1)-INDEX($E$185:$M$185,0,V$218))+S224)))</f>
        <v>0.11549321086188241</v>
      </c>
      <c r="W224" s="3" cm="1">
        <f t="array" ref="W224">IF(W$218=-1,X224,IF(W$218=99,T224,IF(W$218=0,INDEX($E191:$M191,0,W$216),(INDEX($E191:$M191,0,W$218+1)-INDEX($E191:$M191,0,W$218))/(INDEX($E$185:$M$185,0,W$218+1)-INDEX($E$185:$M$185,0,W$218))+T224)))</f>
        <v>0.11661540364800524</v>
      </c>
      <c r="X224" s="3" cm="1">
        <f t="array" ref="X224">IF(X$218=-1,Y224,IF(X$218=99,W224,IF(X$218=0,INDEX($E191:$M191,0,X$216),(INDEX($E191:$M191,0,X$218+1)-INDEX($E191:$M191,0,X$218))/(INDEX($E$185:$M$185,0,X$218+1)-INDEX($E$185:$M$185,0,X$218))+W224)))</f>
        <v>0.11773759643412807</v>
      </c>
      <c r="Y224" s="3" cm="1">
        <f t="array" ref="Y224">IF(Y$218=-1,Z224,IF(Y$218=99,X224,IF(Y$218=0,INDEX($E191:$M191,0,Y$216),(INDEX($E191:$M191,0,Y$218+1)-INDEX($E191:$M191,0,Y$218))/(INDEX($E$185:$M$185,0,Y$218+1)-INDEX($E$185:$M$185,0,Y$218))+X224)))</f>
        <v>0.11885978922025089</v>
      </c>
      <c r="Z224" s="3" cm="1">
        <f t="array" ref="Z224">IF(Z$218=-1,AA224,IF(Z$218=99,Y224,IF(Z$218=0,INDEX($E191:$M191,0,Z$216),(INDEX($E191:$M191,0,Z$218+1)-INDEX($E191:$M191,0,Z$218))/(INDEX($E$185:$M$185,0,Z$218+1)-INDEX($E$185:$M$185,0,Z$218))+Y224)))</f>
        <v>0.11998198200637372</v>
      </c>
      <c r="AA224" s="3" cm="1">
        <f t="array" ref="AA224">IF(AA$218=-1,AB224,IF(AA$218=99,Z224,IF(AA$218=0,INDEX($E191:$M191,0,AA$216),(INDEX($E191:$M191,0,AA$218+1)-INDEX($E191:$M191,0,AA$218))/(INDEX($E$185:$M$185,0,AA$218+1)-INDEX($E$185:$M$185,0,AA$218))+Z224)))</f>
        <v>0.12110417479249655</v>
      </c>
      <c r="AB224" s="3" cm="1">
        <f t="array" ref="AB224">IF(AB$218=-1,AC224,IF(AB$218=99,AA224,IF(AB$218=0,INDEX($E191:$M191,0,AB$216),(INDEX($E191:$M191,0,AB$218+1)-INDEX($E191:$M191,0,AB$218))/(INDEX($E$185:$M$185,0,AB$218+1)-INDEX($E$185:$M$185,0,AB$218))+AA224)))</f>
        <v>0.12222636757861938</v>
      </c>
      <c r="AC224" s="3" cm="1">
        <f t="array" ref="AC224">IF(AC$218=-1,AD224,IF(AC$218=99,AB224,IF(AC$218=0,INDEX($E191:$M191,0,AC$216),(INDEX($E191:$M191,0,AC$218+1)-INDEX($E191:$M191,0,AC$218))/(INDEX($E$185:$M$185,0,AC$218+1)-INDEX($E$185:$M$185,0,AC$218))+AB224)))</f>
        <v>0.12334856036474222</v>
      </c>
      <c r="AD224" s="3" cm="1">
        <f t="array" ref="AD224">IF(AD$218=-1,AE224,IF(AD$218=99,AC224,IF(AD$218=0,INDEX($E191:$M191,0,AD$216),(INDEX($E191:$M191,0,AD$218+1)-INDEX($E191:$M191,0,AD$218))/(INDEX($E$185:$M$185,0,AD$218+1)-INDEX($E$185:$M$185,0,AD$218))+AC224)))</f>
        <v>0.12432199216161278</v>
      </c>
      <c r="AE224" s="3" cm="1">
        <f t="array" ref="AE224">IF(AE$218=-1,AH224,IF(AE$218=99,AD224,IF(AE$218=0,INDEX($E191:$M191,0,AE$216),(INDEX($E191:$M191,0,AE$218+1)-INDEX($E191:$M191,0,AE$218))/(INDEX($E$185:$M$185,0,AE$218+1)-INDEX($E$185:$M$185,0,AE$218))+AD224)))</f>
        <v>0.12529542395848337</v>
      </c>
      <c r="AF224" s="3" cm="1">
        <f t="array" ref="AF224">IF(AF$218=-1,AH224,IF(AF$218=99,AD224,IF(AF$218=0,INDEX($E191:$M191,0,AF$216),(INDEX($E191:$M191,0,AF$218+1)-INDEX($E191:$M191,0,AF$218))/(INDEX($E$185:$M$185,0,AF$218+1)-INDEX($E$185:$M$185,0,AF$218))+AD224)))</f>
        <v>0.12529542395848337</v>
      </c>
      <c r="AG224" s="3" cm="1">
        <f t="array" ref="AG224">IF(AG$218=-1,AH224,IF(AG$218=99,AD224,IF(AG$218=0,INDEX($E191:$M191,0,AG$216),(INDEX($E191:$M191,0,AG$218+1)-INDEX($E191:$M191,0,AG$218))/(INDEX($E$185:$M$185,0,AG$218+1)-INDEX($E$185:$M$185,0,AG$218))+AD224)))</f>
        <v>0.12529542395848337</v>
      </c>
      <c r="AH224" s="3" cm="1">
        <f t="array" ref="AH224">IF(AH$218=-1,AI224,IF(AH$218=99,AE224,IF(AH$218=0,INDEX($E191:$M191,0,AH$216),(INDEX($E191:$M191,0,AH$218+1)-INDEX($E191:$M191,0,AH$218))/(INDEX($E$185:$M$185,0,AH$218+1)-INDEX($E$185:$M$185,0,AH$218))+AE224)))</f>
        <v>0.12626885575535393</v>
      </c>
      <c r="AI224" s="3" cm="1">
        <f t="array" ref="AI224">IF(AI$218=-1,AJ224,IF(AI$218=99,AH224,IF(AI$218=0,INDEX($E191:$M191,0,AI$216),(INDEX($E191:$M191,0,AI$218+1)-INDEX($E191:$M191,0,AI$218))/(INDEX($E$185:$M$185,0,AI$218+1)-INDEX($E$185:$M$185,0,AI$218))+AH224)))</f>
        <v>0.1272422875522245</v>
      </c>
      <c r="AJ224" s="3" cm="1">
        <f t="array" ref="AJ224">IF(AJ$218=-1,AK224,IF(AJ$218=99,AI224,IF(AJ$218=0,INDEX($E191:$M191,0,AJ$216),(INDEX($E191:$M191,0,AJ$218+1)-INDEX($E191:$M191,0,AJ$218))/(INDEX($E$185:$M$185,0,AJ$218+1)-INDEX($E$185:$M$185,0,AJ$218))+AI224)))</f>
        <v>0.12821571934909506</v>
      </c>
      <c r="AK224" s="3" cm="1">
        <f t="array" ref="AK224">IF(AK$218=-1,AL224,IF(AK$218=99,AJ224,IF(AK$218=0,INDEX($E191:$M191,0,AK$216),(INDEX($E191:$M191,0,AK$218+1)-INDEX($E191:$M191,0,AK$218))/(INDEX($E$185:$M$185,0,AK$218+1)-INDEX($E$185:$M$185,0,AK$218))+AJ224)))</f>
        <v>0.12918915114596563</v>
      </c>
      <c r="AL224" s="3" cm="1">
        <f t="array" ref="AL224">IF(AL$218=-1,AM224,IF(AL$218=99,AK224,IF(AL$218=0,INDEX($E191:$M191,0,AL$216),(INDEX($E191:$M191,0,AL$218+1)-INDEX($E191:$M191,0,AL$218))/(INDEX($E$185:$M$185,0,AL$218+1)-INDEX($E$185:$M$185,0,AL$218))+AK224)))</f>
        <v>0.1301625829428362</v>
      </c>
      <c r="AM224" s="3" cm="1">
        <f t="array" ref="AM224">IF(AM$218=-1,AO224,IF(AM$218=99,AL224,IF(AM$218=0,INDEX($E191:$M191,0,AM$216),(INDEX($E191:$M191,0,AM$218+1)-INDEX($E191:$M191,0,AM$218))/(INDEX($E$185:$M$185,0,AM$218+1)-INDEX($E$185:$M$185,0,AM$218))+AL224)))</f>
        <v>0.13113601473970676</v>
      </c>
      <c r="AN224" s="3" cm="1">
        <f t="array" ref="AN224">IF(AN$218=-1,AP224,IF(AN$218=99,AL224,IF(AN$218=0,INDEX($E191:$M191,0,AN$216),(INDEX($E191:$M191,0,AN$218+1)-INDEX($E191:$M191,0,AN$218))/(INDEX($E$185:$M$185,0,AN$218+1)-INDEX($E$185:$M$185,0,AN$218))+AL224)))</f>
        <v>0.13113601473970676</v>
      </c>
      <c r="AO224" s="3" cm="1">
        <f t="array" ref="AO224">IF(AO$218=-1,AQ224,IF(AO$218=99,AM224,IF(AO$218=0,INDEX($E191:$M191,0,AO$216),(INDEX($E191:$M191,0,AO$218+1)-INDEX($E191:$M191,0,AO$218))/(INDEX($E$185:$M$185,0,AO$218+1)-INDEX($E$185:$M$185,0,AO$218))+AM224)))</f>
        <v>0.13210944653657733</v>
      </c>
      <c r="AP224" s="3" cm="1">
        <f t="array" ref="AP224">IF(AP$218=-1,AR224,IF(AP$218=99,AO224,IF(AP$218=0,INDEX($E191:$M191,0,AP$216),(INDEX($E191:$M191,0,AP$218+1)-INDEX($E191:$M191,0,AP$218))/(INDEX($E$185:$M$185,0,AP$218+1)-INDEX($E$185:$M$185,0,AP$218))+AO224)))</f>
        <v>0.13308287833344792</v>
      </c>
      <c r="AQ224" s="3" cm="1">
        <f t="array" ref="AQ224">IF(AQ$218=-1,AR224,IF(AQ$218=99,AO224,IF(AQ$218=0,INDEX($E191:$M191,0,AQ$216),(INDEX($E191:$M191,0,AQ$218+1)-INDEX($E191:$M191,0,AQ$218))/(INDEX($E$185:$M$185,0,AQ$218+1)-INDEX($E$185:$M$185,0,AQ$218))+AO224)))</f>
        <v>0.13308287833344792</v>
      </c>
      <c r="AR224" s="245">
        <f t="shared" si="532"/>
        <v>0.13677353949796572</v>
      </c>
      <c r="AS224" s="3" cm="1">
        <f t="array" ref="AS224">IF(AS$218=-1,AT224,IF(AS$218=99,AR224,IF(AS$218=0,INDEX($E191:$M191,0,AS$216),(INDEX($E191:$M191,0,AS$218+1)-INDEX($E191:$M191,0,AS$218))/(INDEX($E$185:$M$185,0,AS$218+1)-INDEX($E$185:$M$185,0,AS$218))+AR224)))</f>
        <v>0.14046420066248355</v>
      </c>
      <c r="AT224" s="3" cm="1">
        <f t="array" ref="AT224">IF(AT$218=-1,AU224,IF(AT$218=99,AS224,IF(AT$218=0,INDEX($E191:$M191,0,AT$216),(INDEX($E191:$M191,0,AT$218+1)-INDEX($E191:$M191,0,AT$218))/(INDEX($E$185:$M$185,0,AT$218+1)-INDEX($E$185:$M$185,0,AT$218))+AS224)))</f>
        <v>0.14463708863242258</v>
      </c>
      <c r="AU224" s="3" cm="1">
        <f t="array" ref="AU224">IF(AU$218=-1,#REF!,IF(AU$218=99,AT224,IF(AU$218=0,INDEX($E191:$M191,0,AU$216),(INDEX($E191:$M191,0,AU$218+1)-INDEX($E191:$M191,0,AU$218))/(INDEX($E$185:$M$185,0,AU$218+1)-INDEX($E$185:$M$185,0,AU$218))+AT224)))</f>
        <v>0.14633958167928779</v>
      </c>
      <c r="AV224" s="3"/>
      <c r="AY224" s="3"/>
      <c r="AZ224" s="3"/>
      <c r="BJ224" s="3"/>
      <c r="BK224" s="92"/>
    </row>
    <row r="225" spans="5:70">
      <c r="F225" s="15" t="str">
        <f t="shared" si="527"/>
        <v>COM_PROJ</v>
      </c>
      <c r="G225" s="16" t="str">
        <f t="shared" si="528"/>
        <v>-</v>
      </c>
      <c r="H225" s="43" t="str">
        <f t="shared" si="529"/>
        <v>TPPUMER</v>
      </c>
      <c r="I225" s="16" t="str">
        <f t="shared" si="530"/>
        <v>-</v>
      </c>
      <c r="J225" s="16" t="str">
        <f t="shared" si="530"/>
        <v>-</v>
      </c>
      <c r="K225" s="16" t="str">
        <f t="shared" si="530"/>
        <v>-</v>
      </c>
      <c r="L225" s="16" t="str">
        <f t="shared" si="530"/>
        <v>-</v>
      </c>
      <c r="M225" s="15">
        <f t="shared" si="531"/>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8.7898700606728966</v>
      </c>
      <c r="P225" s="3" cm="1">
        <f t="array" ref="P225">IF(P$218=-1,Q225,IF(P$218=99,O225,IF(P$218=0,INDEX($E192:$M192,0,P$216),(INDEX($E192:$M192,0,P$218+1)-INDEX($E192:$M192,0,P$218))/(INDEX($E$185:$M$185,0,P$218+1)-INDEX($E$185:$M$185,0,P$218))+O225)))</f>
        <v>8.8749083635056305</v>
      </c>
      <c r="Q225" s="3" cm="1">
        <f t="array" ref="Q225">IF(Q$218=-1,R225,IF(Q$218=99,P225,IF(Q$218=0,INDEX($E192:$M192,0,Q$216),(INDEX($E192:$M192,0,Q$218+1)-INDEX($E192:$M192,0,Q$218))/(INDEX($E$185:$M$185,0,Q$218+1)-INDEX($E$185:$M$185,0,Q$218))+P225)))</f>
        <v>9.0239745751619225</v>
      </c>
      <c r="R225" s="3" cm="1">
        <f t="array" ref="R225">IF(R$218=-1,S225,IF(R$218=99,Q225,IF(R$218=0,INDEX($E192:$M192,0,R$216),(INDEX($E192:$M192,0,R$218+1)-INDEX($E192:$M192,0,R$218))/(INDEX($E$185:$M$185,0,R$218+1)-INDEX($E$185:$M$185,0,R$218))+Q225)))</f>
        <v>9.1197012950280598</v>
      </c>
      <c r="S225" s="3" cm="1">
        <f t="array" ref="S225">IF(S$218=-1,T225,IF(S$218=99,R225,IF(S$218=0,INDEX($E192:$M192,0,S$216),(INDEX($E192:$M192,0,S$218+1)-INDEX($E192:$M192,0,S$218))/(INDEX($E$185:$M$185,0,S$218+1)-INDEX($E$185:$M$185,0,S$218))+R225)))</f>
        <v>9.178569089089164</v>
      </c>
      <c r="T225" s="3" cm="1">
        <f t="array" ref="T225">IF(T$218=-1,W225,IF(T$218=99,S225,IF(T$218=0,INDEX($E192:$M192,0,T$216),(INDEX($E192:$M192,0,T$218+1)-INDEX($E192:$M192,0,T$218))/(INDEX($E$185:$M$185,0,T$218+1)-INDEX($E$185:$M$185,0,T$218))+S225)))</f>
        <v>9.2374368831502682</v>
      </c>
      <c r="U225" s="3" cm="1">
        <f t="array" ref="U225">IF(U$218=-1,W225,IF(U$218=99,S225,IF(U$218=0,INDEX($E192:$M192,0,U$216),(INDEX($E192:$M192,0,U$218+1)-INDEX($E192:$M192,0,U$218))/(INDEX($E$185:$M$185,0,U$218+1)-INDEX($E$185:$M$185,0,U$218))+S225)))</f>
        <v>9.2374368831502682</v>
      </c>
      <c r="V225" s="3" cm="1">
        <f t="array" ref="V225">IF(V$218=-1,W225,IF(V$218=99,S225,IF(V$218=0,INDEX($E192:$M192,0,V$216),(INDEX($E192:$M192,0,V$218+1)-INDEX($E192:$M192,0,V$218))/(INDEX($E$185:$M$185,0,V$218+1)-INDEX($E$185:$M$185,0,V$218))+S225)))</f>
        <v>9.2374368831502682</v>
      </c>
      <c r="W225" s="3" cm="1">
        <f t="array" ref="W225">IF(W$218=-1,X225,IF(W$218=99,T225,IF(W$218=0,INDEX($E192:$M192,0,W$216),(INDEX($E192:$M192,0,W$218+1)-INDEX($E192:$M192,0,W$218))/(INDEX($E$185:$M$185,0,W$218+1)-INDEX($E$185:$M$185,0,W$218))+T225)))</f>
        <v>9.2963046772113724</v>
      </c>
      <c r="X225" s="3" cm="1">
        <f t="array" ref="X225">IF(X$218=-1,Y225,IF(X$218=99,W225,IF(X$218=0,INDEX($E192:$M192,0,X$216),(INDEX($E192:$M192,0,X$218+1)-INDEX($E192:$M192,0,X$218))/(INDEX($E$185:$M$185,0,X$218+1)-INDEX($E$185:$M$185,0,X$218))+W225)))</f>
        <v>9.3551724712724766</v>
      </c>
      <c r="Y225" s="3" cm="1">
        <f t="array" ref="Y225">IF(Y$218=-1,Z225,IF(Y$218=99,X225,IF(Y$218=0,INDEX($E192:$M192,0,Y$216),(INDEX($E192:$M192,0,Y$218+1)-INDEX($E192:$M192,0,Y$218))/(INDEX($E$185:$M$185,0,Y$218+1)-INDEX($E$185:$M$185,0,Y$218))+X225)))</f>
        <v>9.4140402653335808</v>
      </c>
      <c r="Z225" s="3" cm="1">
        <f t="array" ref="Z225">IF(Z$218=-1,AA225,IF(Z$218=99,Y225,IF(Z$218=0,INDEX($E192:$M192,0,Z$216),(INDEX($E192:$M192,0,Z$218+1)-INDEX($E192:$M192,0,Z$218))/(INDEX($E$185:$M$185,0,Z$218+1)-INDEX($E$185:$M$185,0,Z$218))+Y225)))</f>
        <v>9.4729080593946851</v>
      </c>
      <c r="AA225" s="3" cm="1">
        <f t="array" ref="AA225">IF(AA$218=-1,AB225,IF(AA$218=99,Z225,IF(AA$218=0,INDEX($E192:$M192,0,AA$216),(INDEX($E192:$M192,0,AA$218+1)-INDEX($E192:$M192,0,AA$218))/(INDEX($E$185:$M$185,0,AA$218+1)-INDEX($E$185:$M$185,0,AA$218))+Z225)))</f>
        <v>9.5317758534557893</v>
      </c>
      <c r="AB225" s="3" cm="1">
        <f t="array" ref="AB225">IF(AB$218=-1,AC225,IF(AB$218=99,AA225,IF(AB$218=0,INDEX($E192:$M192,0,AB$216),(INDEX($E192:$M192,0,AB$218+1)-INDEX($E192:$M192,0,AB$218))/(INDEX($E$185:$M$185,0,AB$218+1)-INDEX($E$185:$M$185,0,AB$218))+AA225)))</f>
        <v>9.5906436475168935</v>
      </c>
      <c r="AC225" s="3" cm="1">
        <f t="array" ref="AC225">IF(AC$218=-1,AD225,IF(AC$218=99,AB225,IF(AC$218=0,INDEX($E192:$M192,0,AC$216),(INDEX($E192:$M192,0,AC$218+1)-INDEX($E192:$M192,0,AC$218))/(INDEX($E$185:$M$185,0,AC$218+1)-INDEX($E$185:$M$185,0,AC$218))+AB225)))</f>
        <v>9.6495114415779959</v>
      </c>
      <c r="AD225" s="3" cm="1">
        <f t="array" ref="AD225">IF(AD$218=-1,AE225,IF(AD$218=99,AC225,IF(AD$218=0,INDEX($E192:$M192,0,AD$216),(INDEX($E192:$M192,0,AD$218+1)-INDEX($E192:$M192,0,AD$218))/(INDEX($E$185:$M$185,0,AD$218+1)-INDEX($E$185:$M$185,0,AD$218))+AC225)))</f>
        <v>9.6632105552909238</v>
      </c>
      <c r="AE225" s="3" cm="1">
        <f t="array" ref="AE225">IF(AE$218=-1,AH225,IF(AE$218=99,AD225,IF(AE$218=0,INDEX($E192:$M192,0,AE$216),(INDEX($E192:$M192,0,AE$218+1)-INDEX($E192:$M192,0,AE$218))/(INDEX($E$185:$M$185,0,AE$218+1)-INDEX($E$185:$M$185,0,AE$218))+AD225)))</f>
        <v>9.6769096690038516</v>
      </c>
      <c r="AF225" s="3" cm="1">
        <f t="array" ref="AF225">IF(AF$218=-1,AH225,IF(AF$218=99,AD225,IF(AF$218=0,INDEX($E192:$M192,0,AF$216),(INDEX($E192:$M192,0,AF$218+1)-INDEX($E192:$M192,0,AF$218))/(INDEX($E$185:$M$185,0,AF$218+1)-INDEX($E$185:$M$185,0,AF$218))+AD225)))</f>
        <v>9.6769096690038516</v>
      </c>
      <c r="AG225" s="3" cm="1">
        <f t="array" ref="AG225">IF(AG$218=-1,AH225,IF(AG$218=99,AD225,IF(AG$218=0,INDEX($E192:$M192,0,AG$216),(INDEX($E192:$M192,0,AG$218+1)-INDEX($E192:$M192,0,AG$218))/(INDEX($E$185:$M$185,0,AG$218+1)-INDEX($E$185:$M$185,0,AG$218))+AD225)))</f>
        <v>9.6769096690038516</v>
      </c>
      <c r="AH225" s="3" cm="1">
        <f t="array" ref="AH225">IF(AH$218=-1,AI225,IF(AH$218=99,AE225,IF(AH$218=0,INDEX($E192:$M192,0,AH$216),(INDEX($E192:$M192,0,AH$218+1)-INDEX($E192:$M192,0,AH$218))/(INDEX($E$185:$M$185,0,AH$218+1)-INDEX($E$185:$M$185,0,AH$218))+AE225)))</f>
        <v>9.6906087827167795</v>
      </c>
      <c r="AI225" s="3" cm="1">
        <f t="array" ref="AI225">IF(AI$218=-1,AJ225,IF(AI$218=99,AH225,IF(AI$218=0,INDEX($E192:$M192,0,AI$216),(INDEX($E192:$M192,0,AI$218+1)-INDEX($E192:$M192,0,AI$218))/(INDEX($E$185:$M$185,0,AI$218+1)-INDEX($E$185:$M$185,0,AI$218))+AH225)))</f>
        <v>9.7043078964297074</v>
      </c>
      <c r="AJ225" s="3" cm="1">
        <f t="array" ref="AJ225">IF(AJ$218=-1,AK225,IF(AJ$218=99,AI225,IF(AJ$218=0,INDEX($E192:$M192,0,AJ$216),(INDEX($E192:$M192,0,AJ$218+1)-INDEX($E192:$M192,0,AJ$218))/(INDEX($E$185:$M$185,0,AJ$218+1)-INDEX($E$185:$M$185,0,AJ$218))+AI225)))</f>
        <v>9.7180070101426352</v>
      </c>
      <c r="AK225" s="3" cm="1">
        <f t="array" ref="AK225">IF(AK$218=-1,AL225,IF(AK$218=99,AJ225,IF(AK$218=0,INDEX($E192:$M192,0,AK$216),(INDEX($E192:$M192,0,AK$218+1)-INDEX($E192:$M192,0,AK$218))/(INDEX($E$185:$M$185,0,AK$218+1)-INDEX($E$185:$M$185,0,AK$218))+AJ225)))</f>
        <v>9.7317061238555631</v>
      </c>
      <c r="AL225" s="3" cm="1">
        <f t="array" ref="AL225">IF(AL$218=-1,AM225,IF(AL$218=99,AK225,IF(AL$218=0,INDEX($E192:$M192,0,AL$216),(INDEX($E192:$M192,0,AL$218+1)-INDEX($E192:$M192,0,AL$218))/(INDEX($E$185:$M$185,0,AL$218+1)-INDEX($E$185:$M$185,0,AL$218))+AK225)))</f>
        <v>9.745405237568491</v>
      </c>
      <c r="AM225" s="3" cm="1">
        <f t="array" ref="AM225">IF(AM$218=-1,AO225,IF(AM$218=99,AL225,IF(AM$218=0,INDEX($E192:$M192,0,AM$216),(INDEX($E192:$M192,0,AM$218+1)-INDEX($E192:$M192,0,AM$218))/(INDEX($E$185:$M$185,0,AM$218+1)-INDEX($E$185:$M$185,0,AM$218))+AL225)))</f>
        <v>9.7591043512814188</v>
      </c>
      <c r="AN225" s="3" cm="1">
        <f t="array" ref="AN225">IF(AN$218=-1,AP225,IF(AN$218=99,AL225,IF(AN$218=0,INDEX($E192:$M192,0,AN$216),(INDEX($E192:$M192,0,AN$218+1)-INDEX($E192:$M192,0,AN$218))/(INDEX($E$185:$M$185,0,AN$218+1)-INDEX($E$185:$M$185,0,AN$218))+AL225)))</f>
        <v>9.7591043512814188</v>
      </c>
      <c r="AO225" s="3" cm="1">
        <f t="array" ref="AO225">IF(AO$218=-1,AQ225,IF(AO$218=99,AM225,IF(AO$218=0,INDEX($E192:$M192,0,AO$216),(INDEX($E192:$M192,0,AO$218+1)-INDEX($E192:$M192,0,AO$218))/(INDEX($E$185:$M$185,0,AO$218+1)-INDEX($E$185:$M$185,0,AO$218))+AM225)))</f>
        <v>9.7728034649943467</v>
      </c>
      <c r="AP225" s="3" cm="1">
        <f t="array" ref="AP225">IF(AP$218=-1,AR225,IF(AP$218=99,AO225,IF(AP$218=0,INDEX($E192:$M192,0,AP$216),(INDEX($E192:$M192,0,AP$218+1)-INDEX($E192:$M192,0,AP$218))/(INDEX($E$185:$M$185,0,AP$218+1)-INDEX($E$185:$M$185,0,AP$218))+AO225)))</f>
        <v>9.7865025787072693</v>
      </c>
      <c r="AQ225" s="3" cm="1">
        <f t="array" ref="AQ225">IF(AQ$218=-1,AR225,IF(AQ$218=99,AO225,IF(AQ$218=0,INDEX($E192:$M192,0,AQ$216),(INDEX($E192:$M192,0,AQ$218+1)-INDEX($E192:$M192,0,AQ$218))/(INDEX($E$185:$M$185,0,AQ$218+1)-INDEX($E$185:$M$185,0,AQ$218))+AO225)))</f>
        <v>9.7865025787072693</v>
      </c>
      <c r="AR225" s="245">
        <f t="shared" si="532"/>
        <v>9.6288584045571817</v>
      </c>
      <c r="AS225" s="3" cm="1">
        <f t="array" ref="AS225">IF(AS$218=-1,AT225,IF(AS$218=99,AR225,IF(AS$218=0,INDEX($E192:$M192,0,AS$216),(INDEX($E192:$M192,0,AS$218+1)-INDEX($E192:$M192,0,AS$218))/(INDEX($E$185:$M$185,0,AS$218+1)-INDEX($E$185:$M$185,0,AS$218))+AR225)))</f>
        <v>9.4712142304070923</v>
      </c>
      <c r="AT225" s="3" cm="1">
        <f t="array" ref="AT225">IF(AT$218=-1,AU225,IF(AT$218=99,AS225,IF(AT$218=0,INDEX($E192:$M192,0,AT$216),(INDEX($E192:$M192,0,AT$218+1)-INDEX($E192:$M192,0,AT$218))/(INDEX($E$185:$M$185,0,AT$218+1)-INDEX($E$185:$M$185,0,AT$218))+AS225)))</f>
        <v>9.2768904504800904</v>
      </c>
      <c r="AU225" s="3" cm="1">
        <f t="array" ref="AU225">IF(AU$218=-1,#REF!,IF(AU$218=99,AT225,IF(AU$218=0,INDEX($E192:$M192,0,AU$216),(INDEX($E192:$M192,0,AU$218+1)-INDEX($E192:$M192,0,AU$218))/(INDEX($E$185:$M$185,0,AU$218+1)-INDEX($E$185:$M$185,0,AU$218))+AT225)))</f>
        <v>8.8955235089868872</v>
      </c>
      <c r="AV225" s="3"/>
      <c r="AY225" s="3"/>
      <c r="AZ225" s="3"/>
      <c r="BJ225" s="3"/>
      <c r="BK225" s="92"/>
    </row>
    <row r="226" spans="5:70">
      <c r="F226" s="15" t="str">
        <f t="shared" si="527"/>
        <v>COM_PROJ</v>
      </c>
      <c r="G226" s="16" t="str">
        <f t="shared" si="528"/>
        <v>-</v>
      </c>
      <c r="H226" s="43" t="str">
        <f t="shared" si="529"/>
        <v>TPPUGAT</v>
      </c>
      <c r="I226" s="16" t="str">
        <f t="shared" si="530"/>
        <v>-</v>
      </c>
      <c r="J226" s="16" t="str">
        <f t="shared" si="530"/>
        <v>-</v>
      </c>
      <c r="K226" s="16" t="str">
        <f t="shared" si="530"/>
        <v>-</v>
      </c>
      <c r="L226" s="16" t="str">
        <f t="shared" si="530"/>
        <v>-</v>
      </c>
      <c r="M226" s="15">
        <f t="shared" si="531"/>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5">
        <f t="shared" si="532"/>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1"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1"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6"/>
      <c r="P231" s="66"/>
      <c r="Q231" s="66"/>
      <c r="R231" s="66"/>
      <c r="S231" s="66"/>
      <c r="T231" s="66"/>
      <c r="U231" s="66">
        <f t="shared" ref="U231:BK231" si="536">IF(ISNA(U228),-1,IF(ISNA(U230),99,IF(ISNA(U229),U228,0)))</f>
        <v>-1</v>
      </c>
      <c r="V231" s="66">
        <f t="shared" si="536"/>
        <v>0</v>
      </c>
      <c r="W231" s="66">
        <f t="shared" si="536"/>
        <v>3</v>
      </c>
      <c r="X231" s="66">
        <f t="shared" si="536"/>
        <v>3</v>
      </c>
      <c r="Y231" s="66">
        <f t="shared" si="536"/>
        <v>0</v>
      </c>
      <c r="Z231" s="66">
        <f t="shared" si="536"/>
        <v>4</v>
      </c>
      <c r="AA231" s="66">
        <f t="shared" si="536"/>
        <v>4</v>
      </c>
      <c r="AB231" s="66">
        <f t="shared" ref="AB231:AC231" si="537">IF(ISNA(AB228),-1,IF(ISNA(AB230),99,IF(ISNA(AB229),AB228,0)))</f>
        <v>4</v>
      </c>
      <c r="AC231" s="66">
        <f t="shared" si="537"/>
        <v>4</v>
      </c>
      <c r="AD231" s="66">
        <f t="shared" si="536"/>
        <v>4</v>
      </c>
      <c r="AE231" s="66">
        <f t="shared" si="536"/>
        <v>4</v>
      </c>
      <c r="AF231" s="66">
        <f t="shared" si="536"/>
        <v>4</v>
      </c>
      <c r="AG231" s="66">
        <f t="shared" si="536"/>
        <v>4</v>
      </c>
      <c r="AH231" s="66">
        <f t="shared" si="536"/>
        <v>4</v>
      </c>
      <c r="AI231" s="66">
        <f t="shared" si="536"/>
        <v>4</v>
      </c>
      <c r="AJ231" s="66">
        <f t="shared" si="536"/>
        <v>4</v>
      </c>
      <c r="AK231" s="66">
        <f t="shared" si="536"/>
        <v>0</v>
      </c>
      <c r="AL231" s="66">
        <f t="shared" si="536"/>
        <v>99</v>
      </c>
      <c r="AM231" s="66">
        <f t="shared" ref="AM231:AN231" si="538">IF(ISNA(AM228),-1,IF(ISNA(AM230),99,IF(ISNA(AM229),AM228,0)))</f>
        <v>99</v>
      </c>
      <c r="AN231" s="66">
        <f t="shared" si="538"/>
        <v>99</v>
      </c>
      <c r="AO231" s="66">
        <f t="shared" si="536"/>
        <v>99</v>
      </c>
      <c r="AP231" s="66">
        <f t="shared" si="536"/>
        <v>99</v>
      </c>
      <c r="AQ231" s="66">
        <f t="shared" si="536"/>
        <v>99</v>
      </c>
      <c r="AR231" s="66">
        <f t="shared" si="536"/>
        <v>99</v>
      </c>
      <c r="AS231" s="66">
        <f t="shared" si="536"/>
        <v>99</v>
      </c>
      <c r="AT231" s="66">
        <f t="shared" si="536"/>
        <v>99</v>
      </c>
      <c r="AU231" s="66">
        <f t="shared" ref="AU231" si="539">IF(ISNA(AU228),-1,IF(ISNA(AU230),99,IF(ISNA(AU229),AU228,0)))</f>
        <v>99</v>
      </c>
      <c r="AV231" s="66">
        <f t="shared" si="536"/>
        <v>99</v>
      </c>
      <c r="AW231" s="66">
        <f t="shared" ref="AW231" si="540">IF(ISNA(AW228),-1,IF(ISNA(AW230),99,IF(ISNA(AW229),AW228,0)))</f>
        <v>99</v>
      </c>
      <c r="AX231" s="66">
        <f t="shared" si="536"/>
        <v>99</v>
      </c>
      <c r="AY231" s="66">
        <f t="shared" si="536"/>
        <v>99</v>
      </c>
      <c r="AZ231" s="66">
        <f t="shared" si="536"/>
        <v>99</v>
      </c>
      <c r="BA231" s="66">
        <f t="shared" si="536"/>
        <v>99</v>
      </c>
      <c r="BB231" s="66">
        <f t="shared" si="536"/>
        <v>99</v>
      </c>
      <c r="BC231" s="66">
        <f t="shared" si="536"/>
        <v>99</v>
      </c>
      <c r="BD231" s="66">
        <f t="shared" si="536"/>
        <v>99</v>
      </c>
      <c r="BE231" s="66">
        <f t="shared" si="536"/>
        <v>99</v>
      </c>
      <c r="BF231" s="66">
        <f t="shared" si="536"/>
        <v>99</v>
      </c>
      <c r="BG231" s="66">
        <f t="shared" si="536"/>
        <v>99</v>
      </c>
      <c r="BH231" s="66">
        <f t="shared" si="536"/>
        <v>99</v>
      </c>
      <c r="BI231" s="66">
        <f t="shared" si="536"/>
        <v>99</v>
      </c>
      <c r="BJ231" s="66">
        <f t="shared" si="536"/>
        <v>99</v>
      </c>
      <c r="BK231" s="66">
        <f t="shared" si="536"/>
        <v>99</v>
      </c>
      <c r="BM231" s="66"/>
      <c r="BN231" s="66"/>
      <c r="BO231" s="66"/>
      <c r="BP231" s="66"/>
      <c r="BQ231" s="66"/>
      <c r="BR231" s="66"/>
    </row>
    <row r="232" spans="5:70">
      <c r="E232" t="s">
        <v>16</v>
      </c>
      <c r="G232" s="10"/>
      <c r="H232" s="10"/>
      <c r="I232" s="10"/>
      <c r="J232" s="10"/>
      <c r="K232" s="10"/>
      <c r="L232" s="10" t="s">
        <v>418</v>
      </c>
      <c r="M232" s="10"/>
      <c r="N232" s="12"/>
      <c r="O232" s="12"/>
      <c r="P232" s="12"/>
      <c r="Q232" s="12"/>
      <c r="R232" s="12"/>
      <c r="S232" s="12"/>
      <c r="T232" s="12"/>
      <c r="U232" s="12">
        <v>2017</v>
      </c>
      <c r="V232" s="12">
        <f t="shared" ref="V232:BH232" si="541">1+U232</f>
        <v>2018</v>
      </c>
      <c r="W232" s="12">
        <f t="shared" si="541"/>
        <v>2019</v>
      </c>
      <c r="X232" s="12">
        <f t="shared" si="541"/>
        <v>2020</v>
      </c>
      <c r="Y232" s="12">
        <f t="shared" si="541"/>
        <v>2021</v>
      </c>
      <c r="Z232" s="12">
        <f t="shared" si="541"/>
        <v>2022</v>
      </c>
      <c r="AA232" s="12">
        <f t="shared" si="541"/>
        <v>2023</v>
      </c>
      <c r="AB232" s="12">
        <f>1+Z232</f>
        <v>2023</v>
      </c>
      <c r="AC232" s="12">
        <f>1+Z232</f>
        <v>2023</v>
      </c>
      <c r="AD232" s="12">
        <f>1+AA232</f>
        <v>2024</v>
      </c>
      <c r="AE232" s="12">
        <f t="shared" si="541"/>
        <v>2025</v>
      </c>
      <c r="AF232" s="12">
        <f t="shared" si="541"/>
        <v>2026</v>
      </c>
      <c r="AG232" s="12">
        <f t="shared" si="541"/>
        <v>2027</v>
      </c>
      <c r="AH232" s="12">
        <f t="shared" si="541"/>
        <v>2028</v>
      </c>
      <c r="AI232" s="12">
        <f t="shared" si="541"/>
        <v>2029</v>
      </c>
      <c r="AJ232" s="12">
        <f t="shared" si="541"/>
        <v>2030</v>
      </c>
      <c r="AK232" s="12">
        <f t="shared" si="541"/>
        <v>2031</v>
      </c>
      <c r="AL232" s="12">
        <f t="shared" si="541"/>
        <v>2032</v>
      </c>
      <c r="AM232" s="12">
        <f>1+AK232</f>
        <v>2032</v>
      </c>
      <c r="AN232" s="12">
        <f>1+AK232</f>
        <v>2032</v>
      </c>
      <c r="AO232" s="12">
        <f>1+AL232</f>
        <v>2033</v>
      </c>
      <c r="AP232" s="12">
        <f t="shared" si="541"/>
        <v>2034</v>
      </c>
      <c r="AQ232" s="12">
        <f t="shared" si="541"/>
        <v>2035</v>
      </c>
      <c r="AR232" s="12">
        <f t="shared" si="541"/>
        <v>2036</v>
      </c>
      <c r="AS232" s="12">
        <f t="shared" si="541"/>
        <v>2037</v>
      </c>
      <c r="AT232" s="12">
        <f t="shared" si="541"/>
        <v>2038</v>
      </c>
      <c r="AU232" s="12">
        <f>1+AS232</f>
        <v>2038</v>
      </c>
      <c r="AV232" s="12">
        <f>1+AT232</f>
        <v>2039</v>
      </c>
      <c r="AW232" s="12">
        <f t="shared" si="541"/>
        <v>2040</v>
      </c>
      <c r="AX232" s="12">
        <f>1+AV232</f>
        <v>2040</v>
      </c>
      <c r="AY232" s="12">
        <f t="shared" si="541"/>
        <v>2041</v>
      </c>
      <c r="AZ232" s="12">
        <f t="shared" si="541"/>
        <v>2042</v>
      </c>
      <c r="BA232" s="12">
        <f t="shared" si="541"/>
        <v>2043</v>
      </c>
      <c r="BB232" s="12">
        <f t="shared" si="541"/>
        <v>2044</v>
      </c>
      <c r="BC232" s="12">
        <f t="shared" si="541"/>
        <v>2045</v>
      </c>
      <c r="BD232" s="12">
        <f t="shared" si="541"/>
        <v>2046</v>
      </c>
      <c r="BE232" s="12">
        <f t="shared" si="541"/>
        <v>2047</v>
      </c>
      <c r="BF232" s="12">
        <f t="shared" si="541"/>
        <v>2048</v>
      </c>
      <c r="BG232" s="12">
        <f t="shared" si="541"/>
        <v>2049</v>
      </c>
      <c r="BH232" s="12">
        <f t="shared" si="541"/>
        <v>2050</v>
      </c>
      <c r="BI232" s="12">
        <v>2060</v>
      </c>
      <c r="BJ232" s="12">
        <v>2070</v>
      </c>
      <c r="BL232" s="12"/>
      <c r="BM232" s="12"/>
      <c r="BN232" s="12"/>
      <c r="BO232" s="12"/>
      <c r="BP232" s="12"/>
      <c r="BQ232" s="12"/>
    </row>
    <row r="233" spans="5:70">
      <c r="E233" t="s">
        <v>16</v>
      </c>
      <c r="F233" s="15" t="str">
        <f t="shared" ref="F233:F238" si="542">IF(E233="*","","COM_PROJ")</f>
        <v/>
      </c>
      <c r="G233" s="16" t="str">
        <f t="shared" ref="G233:G238" si="543">IF($E233="*","","-")</f>
        <v/>
      </c>
      <c r="I233" s="16" t="str">
        <f t="shared" ref="I233:L238" si="544">IF($E233="*","","-")</f>
        <v/>
      </c>
      <c r="J233" s="16"/>
      <c r="K233" s="16" t="str">
        <f t="shared" si="544"/>
        <v/>
      </c>
      <c r="L233" s="16" t="str">
        <f t="shared" si="544"/>
        <v/>
      </c>
      <c r="M233" s="43" t="str">
        <f t="shared" ref="M233:M240" si="545">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42"/>
        <v/>
      </c>
      <c r="G234" s="16" t="str">
        <f t="shared" si="543"/>
        <v/>
      </c>
      <c r="I234" s="16" t="str">
        <f t="shared" si="544"/>
        <v/>
      </c>
      <c r="J234" s="16"/>
      <c r="K234" s="16" t="str">
        <f t="shared" si="544"/>
        <v/>
      </c>
      <c r="L234" s="16" t="str">
        <f t="shared" si="544"/>
        <v/>
      </c>
      <c r="M234" s="43" t="str">
        <f t="shared" si="545"/>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42"/>
        <v/>
      </c>
      <c r="G235" s="16" t="str">
        <f t="shared" si="543"/>
        <v/>
      </c>
      <c r="I235" s="16" t="str">
        <f t="shared" si="544"/>
        <v/>
      </c>
      <c r="J235" s="16"/>
      <c r="K235" s="16" t="str">
        <f t="shared" si="544"/>
        <v/>
      </c>
      <c r="L235" s="16" t="str">
        <f t="shared" si="544"/>
        <v/>
      </c>
      <c r="M235" s="43" t="str">
        <f t="shared" si="545"/>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42"/>
        <v/>
      </c>
      <c r="G236" s="16" t="str">
        <f t="shared" si="543"/>
        <v/>
      </c>
      <c r="I236" s="16" t="str">
        <f t="shared" si="544"/>
        <v/>
      </c>
      <c r="J236" s="16"/>
      <c r="K236" s="16" t="str">
        <f t="shared" si="544"/>
        <v/>
      </c>
      <c r="L236" s="16" t="str">
        <f t="shared" si="544"/>
        <v/>
      </c>
      <c r="M236" s="43" t="str">
        <f t="shared" si="545"/>
        <v>TPPUBUS</v>
      </c>
      <c r="N236" s="3"/>
      <c r="O236" s="3"/>
      <c r="P236" s="3"/>
      <c r="Q236" s="3"/>
      <c r="R236" s="3"/>
      <c r="S236" s="3"/>
      <c r="T236" s="3"/>
      <c r="U236" s="3" cm="1">
        <f t="array" ref="U236">IF(V$231=-1,V236,IF(V$231=99,T236,IF(V$231=0,INDEX($E164:$M164,0,V$229),(INDEX($E164:$M164,0,V$231+1)-INDEX($E164:$M164,0,V$231))/(INDEX($E$160:$M$160,0,V$231+1)-INDEX($E$160:$M$160,0,V$231))+T236)))</f>
        <v>16.665664027538941</v>
      </c>
      <c r="V236" s="3" cm="1">
        <f t="array" ref="V236">IF(W$231=-1,W236,IF(W$231=99,U236,IF(W$231=0,INDEX($E164:$M164,0,W$229),(INDEX($E164:$M164,0,W$231+1)-INDEX($E164:$M164,0,W$231))/(INDEX($E$160:$M$160,0,W$231+1)-INDEX($E$160:$M$160,0,W$231))+U236)))</f>
        <v>16.842454125788834</v>
      </c>
      <c r="W236" s="3" cm="1">
        <f t="array" ref="W236">IF(X$231=-1,X236,IF(X$231=99,V236,IF(X$231=0,INDEX($E164:$M164,0,X$229),(INDEX($E164:$M164,0,X$231+1)-INDEX($E164:$M164,0,X$231))/(INDEX($E$160:$M$160,0,X$231+1)-INDEX($E$160:$M$160,0,X$231))+V236)))</f>
        <v>17.019244224038726</v>
      </c>
      <c r="X236" s="3" cm="1">
        <f t="array" ref="X236">IF(Y$231=-1,Y236,IF(Y$231=99,W236,IF(Y$231=0,INDEX($E164:$M164,0,Y$229),(INDEX($E164:$M164,0,Y$231+1)-INDEX($E164:$M164,0,Y$231))/(INDEX($E$160:$M$160,0,Y$231+1)-INDEX($E$160:$M$160,0,Y$231))+W236)))</f>
        <v>16.842454125788834</v>
      </c>
      <c r="Y236" s="3" cm="1">
        <f t="array" ref="Y236">IF(Z$231=-1,Z236,IF(Z$231=99,X236,IF(Z$231=0,INDEX($E164:$M164,0,Z$229),(INDEX($E164:$M164,0,Z$231+1)-INDEX($E164:$M164,0,Z$231))/(INDEX($E$160:$M$160,0,Z$231+1)-INDEX($E$160:$M$160,0,Z$231))+X236)))</f>
        <v>16.95117239285544</v>
      </c>
      <c r="Z236" s="3" cm="1">
        <f t="array" ref="Z236">IF(AA$231=-1,AA236,IF(AA$231=99,Y236,IF(AA$231=0,INDEX($E164:$M164,0,AA$229),(INDEX($E164:$M164,0,AA$231+1)-INDEX($E164:$M164,0,AA$231))/(INDEX($E$160:$M$160,0,AA$231+1)-INDEX($E$160:$M$160,0,AA$231))+Y236)))</f>
        <v>17.059890659922047</v>
      </c>
      <c r="AA236" s="3" cm="1">
        <f t="array" ref="AA236">IF(AD$231=-1,AD236,IF(AD$231=99,Z236,IF(AD$231=0,INDEX($E164:$M164,0,AD$229),(INDEX($E164:$M164,0,AD$231+1)-INDEX($E164:$M164,0,AD$231))/(INDEX($E$160:$M$160,0,AD$231+1)-INDEX($E$160:$M$160,0,AD$231))+Z236)))</f>
        <v>17.168608926988654</v>
      </c>
      <c r="AB236" s="3" cm="1">
        <f t="array" ref="AB236">IF(AD$231=-1,AD236,IF(AD$231=99,Z236,IF(AD$231=0,INDEX($E164:$M164,0,AD$229),(INDEX($E164:$M164,0,AD$231+1)-INDEX($E164:$M164,0,AD$231))/(INDEX($E$160:$M$160,0,AD$231+1)-INDEX($E$160:$M$160,0,AD$231))+Z236)))</f>
        <v>17.168608926988654</v>
      </c>
      <c r="AC236" s="3" cm="1">
        <f t="array" ref="AC236">IF(AD$231=-1,AD236,IF(AD$231=99,Z236,IF(AD$231=0,INDEX($E164:$M164,0,AD$229),(INDEX($E164:$M164,0,AD$231+1)-INDEX($E164:$M164,0,AD$231))/(INDEX($E$160:$M$160,0,AD$231+1)-INDEX($E$160:$M$160,0,AD$231))+Z236)))</f>
        <v>17.168608926988654</v>
      </c>
      <c r="AD236" s="3" cm="1">
        <f t="array" ref="AD236">IF(AE$231=-1,AE236,IF(AE$231=99,AA236,IF(AE$231=0,INDEX($E164:$M164,0,AE$229),(INDEX($E164:$M164,0,AE$231+1)-INDEX($E164:$M164,0,AE$231))/(INDEX($E$160:$M$160,0,AE$231+1)-INDEX($E$160:$M$160,0,AE$231))+AA236)))</f>
        <v>17.27732719405526</v>
      </c>
      <c r="AE236" s="3" cm="1">
        <f t="array" ref="AE236">IF(AF$231=-1,AF236,IF(AF$231=99,AD236,IF(AF$231=0,INDEX($E164:$M164,0,AF$229),(INDEX($E164:$M164,0,AF$231+1)-INDEX($E164:$M164,0,AF$231))/(INDEX($E$160:$M$160,0,AF$231+1)-INDEX($E$160:$M$160,0,AF$231))+AD236)))</f>
        <v>17.386045461121867</v>
      </c>
      <c r="AF236" s="3" cm="1">
        <f t="array" ref="AF236">IF(AG$231=-1,AG236,IF(AG$231=99,AE236,IF(AG$231=0,INDEX($E164:$M164,0,AG$229),(INDEX($E164:$M164,0,AG$231+1)-INDEX($E164:$M164,0,AG$231))/(INDEX($E$160:$M$160,0,AG$231+1)-INDEX($E$160:$M$160,0,AG$231))+AE236)))</f>
        <v>17.494763728188474</v>
      </c>
      <c r="AG236" s="3" cm="1">
        <f t="array" ref="AG236">IF(AH$231=-1,AH236,IF(AH$231=99,AF236,IF(AH$231=0,INDEX($E164:$M164,0,AH$229),(INDEX($E164:$M164,0,AH$231+1)-INDEX($E164:$M164,0,AH$231))/(INDEX($E$160:$M$160,0,AH$231+1)-INDEX($E$160:$M$160,0,AH$231))+AF236)))</f>
        <v>17.603481995255081</v>
      </c>
      <c r="AH236" s="3" cm="1">
        <f t="array" ref="AH236">IF(AI$231=-1,AI236,IF(AI$231=99,AG236,IF(AI$231=0,INDEX($E164:$M164,0,AI$229),(INDEX($E164:$M164,0,AI$231+1)-INDEX($E164:$M164,0,AI$231))/(INDEX($E$160:$M$160,0,AI$231+1)-INDEX($E$160:$M$160,0,AI$231))+AG236)))</f>
        <v>17.712200262321687</v>
      </c>
      <c r="AI236" s="3" cm="1">
        <f t="array" ref="AI236">IF(AJ$231=-1,AJ236,IF(AJ$231=99,AH236,IF(AJ$231=0,INDEX($E164:$M164,0,AJ$229),(INDEX($E164:$M164,0,AJ$231+1)-INDEX($E164:$M164,0,AJ$231))/(INDEX($E$160:$M$160,0,AJ$231+1)-INDEX($E$160:$M$160,0,AJ$231))+AH236)))</f>
        <v>17.820918529388294</v>
      </c>
      <c r="AJ236" s="3" cm="1">
        <f t="array" ref="AJ236">IF(AK$231=-1,AK236,IF(AK$231=99,AI236,IF(AK$231=0,INDEX($E164:$M164,0,AK$229),(INDEX($E164:$M164,0,AK$231+1)-INDEX($E164:$M164,0,AK$231))/(INDEX($E$160:$M$160,0,AK$231+1)-INDEX($E$160:$M$160,0,AK$231))+AI236)))</f>
        <v>17.820918529388283</v>
      </c>
      <c r="AK236" s="3" cm="1">
        <f t="array" ref="AK236">IF(AL$231=-1,AL236,IF(AL$231=99,AJ236,IF(AL$231=0,INDEX($E164:$M164,0,AL$229),(INDEX($E164:$M164,0,AL$231+1)-INDEX($E164:$M164,0,AL$231))/(INDEX($E$160:$M$160,0,AL$231+1)-INDEX($E$160:$M$160,0,AL$231))+AJ236)))</f>
        <v>17.820918529388283</v>
      </c>
      <c r="AL236" s="3" cm="1">
        <f t="array" ref="AL236">IF(AO$231=-1,AO236,IF(AO$231=99,AK236,IF(AO$231=0,INDEX($E164:$M164,0,AO$229),(INDEX($E164:$M164,0,AO$231+1)-INDEX($E164:$M164,0,AO$231))/(INDEX($E$160:$M$160,0,AO$231+1)-INDEX($E$160:$M$160,0,AO$231))+AK236)))</f>
        <v>17.820918529388283</v>
      </c>
      <c r="AM236" s="3" cm="1">
        <f t="array" ref="AM236">IF(AO$231=-1,AO236,IF(AO$231=99,AK236,IF(AO$231=0,INDEX($E164:$M164,0,AO$229),(INDEX($E164:$M164,0,AO$231+1)-INDEX($E164:$M164,0,AO$231))/(INDEX($E$160:$M$160,0,AO$231+1)-INDEX($E$160:$M$160,0,AO$231))+AK236)))</f>
        <v>17.820918529388283</v>
      </c>
      <c r="AN236" s="3" cm="1">
        <f t="array" ref="AN236">IF(AO$231=-1,AO236,IF(AO$231=99,AK236,IF(AO$231=0,INDEX($E164:$M164,0,AO$229),(INDEX($E164:$M164,0,AO$231+1)-INDEX($E164:$M164,0,AO$231))/(INDEX($E$160:$M$160,0,AO$231+1)-INDEX($E$160:$M$160,0,AO$231))+AK236)))</f>
        <v>17.820918529388283</v>
      </c>
      <c r="AO236" s="3" cm="1">
        <f t="array" ref="AO236">IF(AP$231=-1,AP236,IF(AP$231=99,AL236,IF(AP$231=0,INDEX($E164:$M164,0,AP$229),(INDEX($E164:$M164,0,AP$231+1)-INDEX($E164:$M164,0,AP$231))/(INDEX($E$160:$M$160,0,AP$231+1)-INDEX($E$160:$M$160,0,AP$231))+AL236)))</f>
        <v>17.820918529388283</v>
      </c>
      <c r="AP236" s="3" cm="1">
        <f t="array" ref="AP236">IF(AQ$231=-1,AQ236,IF(AQ$231=99,AO236,IF(AQ$231=0,INDEX($E164:$M164,0,AQ$229),(INDEX($E164:$M164,0,AQ$231+1)-INDEX($E164:$M164,0,AQ$231))/(INDEX($E$160:$M$160,0,AQ$231+1)-INDEX($E$160:$M$160,0,AQ$231))+AO236)))</f>
        <v>17.820918529388283</v>
      </c>
      <c r="AQ236" s="3" cm="1">
        <f t="array" ref="AQ236">IF(AR$231=-1,AR236,IF(AR$231=99,AP236,IF(AR$231=0,INDEX($E164:$M164,0,AR$229),(INDEX($E164:$M164,0,AR$231+1)-INDEX($E164:$M164,0,AR$231))/(INDEX($E$160:$M$160,0,AR$231+1)-INDEX($E$160:$M$160,0,AR$231))+AP236)))</f>
        <v>17.820918529388283</v>
      </c>
      <c r="AR236" s="3" cm="1">
        <f t="array" ref="AR236">IF(AS$231=-1,AS236,IF(AS$231=99,AQ236,IF(AS$231=0,INDEX($E164:$M164,0,AS$229),(INDEX($E164:$M164,0,AS$231+1)-INDEX($E164:$M164,0,AS$231))/(INDEX($E$160:$M$160,0,AS$231+1)-INDEX($E$160:$M$160,0,AS$231))+AQ236)))</f>
        <v>17.820918529388283</v>
      </c>
      <c r="AS236" s="3" cm="1">
        <f t="array" ref="AS236">IF(AT$231=-1,AT236,IF(AT$231=99,AR236,IF(AT$231=0,INDEX($E164:$M164,0,AT$229),(INDEX($E164:$M164,0,AT$231+1)-INDEX($E164:$M164,0,AT$231))/(INDEX($E$160:$M$160,0,AT$231+1)-INDEX($E$160:$M$160,0,AT$231))+AR236)))</f>
        <v>17.820918529388283</v>
      </c>
      <c r="AT236" s="3" cm="1">
        <f t="array" ref="AT236">IF(AV$231=-1,AV236,IF(AV$231=99,AS236,IF(AV$231=0,INDEX($E164:$M164,0,AV$229),(INDEX($E164:$M164,0,AV$231+1)-INDEX($E164:$M164,0,AV$231))/(INDEX($E$160:$M$160,0,AV$231+1)-INDEX($E$160:$M$160,0,AV$231))+AS236)))</f>
        <v>17.820918529388283</v>
      </c>
      <c r="AU236" s="3" cm="1">
        <f t="array" ref="AU236">IF(AW$231=-1,AW236,IF(AW$231=99,AS236,IF(AW$231=0,INDEX($E164:$M164,0,AW$229),(INDEX($E164:$M164,0,AW$231+1)-INDEX($E164:$M164,0,AW$231))/(INDEX($E$160:$M$160,0,AW$231+1)-INDEX($E$160:$M$160,0,AW$231))+AS236)))</f>
        <v>17.820918529388283</v>
      </c>
      <c r="AV236" s="3" cm="1">
        <f t="array" ref="AV236">IF(AX$231=-1,AX236,IF(AX$231=99,AT236,IF(AX$231=0,INDEX($E164:$M164,0,AX$229),(INDEX($E164:$M164,0,AX$231+1)-INDEX($E164:$M164,0,AX$231))/(INDEX($E$160:$M$160,0,AX$231+1)-INDEX($E$160:$M$160,0,AX$231))+AT236)))</f>
        <v>17.820918529388283</v>
      </c>
      <c r="AW236" s="3" cm="1">
        <f t="array" ref="AW236">IF(AY$231=-1,AY236,IF(AY$231=99,AV236,IF(AY$231=0,INDEX($E164:$M164,0,AY$229),(INDEX($E164:$M164,0,AY$231+1)-INDEX($E164:$M164,0,AY$231))/(INDEX($E$160:$M$160,0,AY$231+1)-INDEX($E$160:$M$160,0,AY$231))+AV236)))</f>
        <v>17.820918529388283</v>
      </c>
      <c r="AX236" s="3" cm="1">
        <f t="array" ref="AX236">IF(AY$231=-1,AY236,IF(AY$231=99,AV236,IF(AY$231=0,INDEX($E164:$M164,0,AY$229),(INDEX($E164:$M164,0,AY$231+1)-INDEX($E164:$M164,0,AY$231))/(INDEX($E$160:$M$160,0,AY$231+1)-INDEX($E$160:$M$160,0,AY$231))+AV236)))</f>
        <v>17.820918529388283</v>
      </c>
      <c r="AY236" s="3" cm="1">
        <f t="array" ref="AY236">IF(AZ$231=-1,AZ236,IF(AZ$231=99,AX236,IF(AZ$231=0,INDEX($E164:$M164,0,AZ$229),(INDEX($E164:$M164,0,AZ$231+1)-INDEX($E164:$M164,0,AZ$231))/(INDEX($E$160:$M$160,0,AZ$231+1)-INDEX($E$160:$M$160,0,AZ$231))+AX236)))</f>
        <v>17.820918529388283</v>
      </c>
      <c r="AZ236" s="3" cm="1">
        <f t="array" ref="AZ236">IF(BA$231=-1,BA236,IF(BA$231=99,AY236,IF(BA$231=0,INDEX($E164:$M164,0,BA$229),(INDEX($E164:$M164,0,BA$231+1)-INDEX($E164:$M164,0,BA$231))/(INDEX($E$160:$M$160,0,BA$231+1)-INDEX($E$160:$M$160,0,BA$231))+AY236)))</f>
        <v>17.820918529388283</v>
      </c>
      <c r="BA236" s="3" cm="1">
        <f t="array" ref="BA236">IF(BB$231=-1,BB236,IF(BB$231=99,AZ236,IF(BB$231=0,INDEX($E164:$M164,0,BB$229),(INDEX($E164:$M164,0,BB$231+1)-INDEX($E164:$M164,0,BB$231))/(INDEX($E$160:$M$160,0,BB$231+1)-INDEX($E$160:$M$160,0,BB$231))+AZ236)))</f>
        <v>17.820918529388283</v>
      </c>
      <c r="BB236" s="3" cm="1">
        <f t="array" ref="BB236">IF(BC$231=-1,BC236,IF(BC$231=99,BA236,IF(BC$231=0,INDEX($E164:$M164,0,BC$229),(INDEX($E164:$M164,0,BC$231+1)-INDEX($E164:$M164,0,BC$231))/(INDEX($E$160:$M$160,0,BC$231+1)-INDEX($E$160:$M$160,0,BC$231))+BA236)))</f>
        <v>17.820918529388283</v>
      </c>
      <c r="BC236" s="3" cm="1">
        <f t="array" ref="BC236">IF(BD$231=-1,BD236,IF(BD$231=99,BB236,IF(BD$231=0,INDEX($E164:$M164,0,BD$229),(INDEX($E164:$M164,0,BD$231+1)-INDEX($E164:$M164,0,BD$231))/(INDEX($E$160:$M$160,0,BD$231+1)-INDEX($E$160:$M$160,0,BD$231))+BB236)))</f>
        <v>17.820918529388283</v>
      </c>
      <c r="BD236" s="3" cm="1">
        <f t="array" ref="BD236">IF(BE$231=-1,BE236,IF(BE$231=99,BC236,IF(BE$231=0,INDEX($E164:$M164,0,BE$229),(INDEX($E164:$M164,0,BE$231+1)-INDEX($E164:$M164,0,BE$231))/(INDEX($E$160:$M$160,0,BE$231+1)-INDEX($E$160:$M$160,0,BE$231))+BC236)))</f>
        <v>17.820918529388283</v>
      </c>
      <c r="BE236" s="3" cm="1">
        <f t="array" ref="BE236">IF(BF$231=-1,BF236,IF(BF$231=99,BD236,IF(BF$231=0,INDEX($E164:$M164,0,BF$229),(INDEX($E164:$M164,0,BF$231+1)-INDEX($E164:$M164,0,BF$231))/(INDEX($E$160:$M$160,0,BF$231+1)-INDEX($E$160:$M$160,0,BF$231))+BD236)))</f>
        <v>17.820918529388283</v>
      </c>
      <c r="BF236" s="3" cm="1">
        <f t="array" ref="BF236">IF(BG$231=-1,BG236,IF(BG$231=99,BE236,IF(BG$231=0,INDEX($E164:$M164,0,BG$229),(INDEX($E164:$M164,0,BG$231+1)-INDEX($E164:$M164,0,BG$231))/(INDEX($E$160:$M$160,0,BG$231+1)-INDEX($E$160:$M$160,0,BG$231))+BE236)))</f>
        <v>17.820918529388283</v>
      </c>
      <c r="BG236" s="3" cm="1">
        <f t="array" ref="BG236">IF(BH$231=-1,BH236,IF(BH$231=99,BF236,IF(BH$231=0,INDEX($E164:$M164,0,BH$229),(INDEX($E164:$M164,0,BH$231+1)-INDEX($E164:$M164,0,BH$231))/(INDEX($E$160:$M$160,0,BH$231+1)-INDEX($E$160:$M$160,0,BH$231))+BF236)))</f>
        <v>17.820918529388283</v>
      </c>
      <c r="BH236" s="3" cm="1">
        <f t="array" ref="BH236">IF(BI$231=-1,BI236,IF(BI$231=99,BG236,IF(BI$231=0,INDEX($E164:$M164,0,BI$229),(INDEX($E164:$M164,0,BI$231+1)-INDEX($E164:$M164,0,BI$231))/(INDEX($E$160:$M$160,0,BI$231+1)-INDEX($E$160:$M$160,0,BI$231))+BG236)))</f>
        <v>17.820918529388283</v>
      </c>
      <c r="BI236" s="3" cm="1">
        <f t="array" ref="BI236">IF(BJ$231=-1,BJ236,IF(BJ$231=99,BH236,IF(BJ$231=0,INDEX($E164:$M164,0,BJ$229),(INDEX($E164:$M164,0,BJ$231+1)-INDEX($E164:$M164,0,BJ$231))/(INDEX($E$160:$M$160,0,BJ$231+1)-INDEX($E$160:$M$160,0,BJ$231))+BH236)))</f>
        <v>17.820918529388283</v>
      </c>
      <c r="BJ236" s="3" cm="1">
        <f t="array" ref="BJ236">IF(BK$231=-1,BL236,IF(BK$231=99,BI236,IF(BK$231=0,INDEX($E164:$M164,0,BK$229),(INDEX($E164:$M164,0,BK$231+1)-INDEX($E164:$M164,0,BK$231))/(INDEX($E$160:$M$160,0,BK$231+1)-INDEX($E$160:$M$160,0,BK$231))+BI236)))</f>
        <v>17.820918529388283</v>
      </c>
      <c r="BL236" s="3"/>
      <c r="BM236" s="3"/>
      <c r="BN236" s="3"/>
      <c r="BO236" s="3"/>
      <c r="BP236" s="3"/>
      <c r="BQ236" s="3"/>
    </row>
    <row r="237" spans="5:70">
      <c r="E237" t="s">
        <v>16</v>
      </c>
      <c r="F237" s="15" t="str">
        <f t="shared" si="542"/>
        <v/>
      </c>
      <c r="G237" s="16" t="str">
        <f t="shared" si="543"/>
        <v/>
      </c>
      <c r="I237" s="16" t="str">
        <f t="shared" si="544"/>
        <v/>
      </c>
      <c r="J237" s="16"/>
      <c r="K237" s="16" t="str">
        <f t="shared" si="544"/>
        <v/>
      </c>
      <c r="L237" s="16" t="str">
        <f t="shared" si="544"/>
        <v/>
      </c>
      <c r="M237" s="43" t="str">
        <f t="shared" si="545"/>
        <v>TPPUMBT</v>
      </c>
      <c r="N237" s="3"/>
      <c r="O237" s="3"/>
      <c r="P237" s="3"/>
      <c r="Q237" s="3"/>
      <c r="R237" s="3"/>
      <c r="S237" s="3"/>
      <c r="T237" s="3"/>
      <c r="U237" s="3" cm="1">
        <f t="array" ref="U237">IF(V$231=-1,V237,IF(V$231=99,T237,IF(V$231=0,INDEX($E165:$M165,0,V$229),(INDEX($E165:$M165,0,V$231+1)-INDEX($E165:$M165,0,V$231))/(INDEX($E$160:$M$160,0,V$231+1)-INDEX($E$160:$M$160,0,V$231))+T237)))</f>
        <v>104.71461826380103</v>
      </c>
      <c r="V237" s="3" cm="1">
        <f t="array" ref="V237">IF(W$231=-1,W237,IF(W$231=99,U237,IF(W$231=0,INDEX($E165:$M165,0,W$229),(INDEX($E165:$M165,0,W$231+1)-INDEX($E165:$M165,0,W$231))/(INDEX($E$160:$M$160,0,W$231+1)-INDEX($E$160:$M$160,0,W$231))+U237)))</f>
        <v>105.82543554779683</v>
      </c>
      <c r="W237" s="3" cm="1">
        <f t="array" ref="W237">IF(X$231=-1,X237,IF(X$231=99,V237,IF(X$231=0,INDEX($E165:$M165,0,X$229),(INDEX($E165:$M165,0,X$231+1)-INDEX($E165:$M165,0,X$231))/(INDEX($E$160:$M$160,0,X$231+1)-INDEX($E$160:$M$160,0,X$231))+V237)))</f>
        <v>106.93625283179263</v>
      </c>
      <c r="X237" s="3" cm="1">
        <f t="array" ref="X237">IF(Y$231=-1,Y237,IF(Y$231=99,W237,IF(Y$231=0,INDEX($E165:$M165,0,Y$229),(INDEX($E165:$M165,0,Y$231+1)-INDEX($E165:$M165,0,Y$231))/(INDEX($E$160:$M$160,0,Y$231+1)-INDEX($E$160:$M$160,0,Y$231))+W237)))</f>
        <v>105.82543554779683</v>
      </c>
      <c r="Y237" s="3" cm="1">
        <f t="array" ref="Y237">IF(Z$231=-1,Z237,IF(Z$231=99,X237,IF(Z$231=0,INDEX($E165:$M165,0,Z$229),(INDEX($E165:$M165,0,Z$231+1)-INDEX($E165:$M165,0,Z$231))/(INDEX($E$160:$M$160,0,Z$231+1)-INDEX($E$160:$M$160,0,Z$231))+X237)))</f>
        <v>106.50854015229201</v>
      </c>
      <c r="Z237" s="3" cm="1">
        <f t="array" ref="Z237">IF(AA$231=-1,AA237,IF(AA$231=99,Y237,IF(AA$231=0,INDEX($E165:$M165,0,AA$229),(INDEX($E165:$M165,0,AA$231+1)-INDEX($E165:$M165,0,AA$231))/(INDEX($E$160:$M$160,0,AA$231+1)-INDEX($E$160:$M$160,0,AA$231))+Y237)))</f>
        <v>107.1916447567872</v>
      </c>
      <c r="AA237" s="3" cm="1">
        <f t="array" ref="AA237">IF(AD$231=-1,AD237,IF(AD$231=99,Z237,IF(AD$231=0,INDEX($E165:$M165,0,AD$229),(INDEX($E165:$M165,0,AD$231+1)-INDEX($E165:$M165,0,AD$231))/(INDEX($E$160:$M$160,0,AD$231+1)-INDEX($E$160:$M$160,0,AD$231))+Z237)))</f>
        <v>107.87474936128238</v>
      </c>
      <c r="AB237" s="3" cm="1">
        <f t="array" ref="AB237">IF(AD$231=-1,AD237,IF(AD$231=99,Z237,IF(AD$231=0,INDEX($E165:$M165,0,AD$229),(INDEX($E165:$M165,0,AD$231+1)-INDEX($E165:$M165,0,AD$231))/(INDEX($E$160:$M$160,0,AD$231+1)-INDEX($E$160:$M$160,0,AD$231))+Z237)))</f>
        <v>107.87474936128238</v>
      </c>
      <c r="AC237" s="3" cm="1">
        <f t="array" ref="AC237">IF(AD$231=-1,AD237,IF(AD$231=99,Z237,IF(AD$231=0,INDEX($E165:$M165,0,AD$229),(INDEX($E165:$M165,0,AD$231+1)-INDEX($E165:$M165,0,AD$231))/(INDEX($E$160:$M$160,0,AD$231+1)-INDEX($E$160:$M$160,0,AD$231))+Z237)))</f>
        <v>107.87474936128238</v>
      </c>
      <c r="AD237" s="3" cm="1">
        <f t="array" ref="AD237">IF(AE$231=-1,AE237,IF(AE$231=99,AA237,IF(AE$231=0,INDEX($E165:$M165,0,AE$229),(INDEX($E165:$M165,0,AE$231+1)-INDEX($E165:$M165,0,AE$231))/(INDEX($E$160:$M$160,0,AE$231+1)-INDEX($E$160:$M$160,0,AE$231))+AA237)))</f>
        <v>108.55785396577757</v>
      </c>
      <c r="AE237" s="3" cm="1">
        <f t="array" ref="AE237">IF(AF$231=-1,AF237,IF(AF$231=99,AD237,IF(AF$231=0,INDEX($E165:$M165,0,AF$229),(INDEX($E165:$M165,0,AF$231+1)-INDEX($E165:$M165,0,AF$231))/(INDEX($E$160:$M$160,0,AF$231+1)-INDEX($E$160:$M$160,0,AF$231))+AD237)))</f>
        <v>109.24095857027275</v>
      </c>
      <c r="AF237" s="3" cm="1">
        <f t="array" ref="AF237">IF(AG$231=-1,AG237,IF(AG$231=99,AE237,IF(AG$231=0,INDEX($E165:$M165,0,AG$229),(INDEX($E165:$M165,0,AG$231+1)-INDEX($E165:$M165,0,AG$231))/(INDEX($E$160:$M$160,0,AG$231+1)-INDEX($E$160:$M$160,0,AG$231))+AE237)))</f>
        <v>109.92406317476794</v>
      </c>
      <c r="AG237" s="3" cm="1">
        <f t="array" ref="AG237">IF(AH$231=-1,AH237,IF(AH$231=99,AF237,IF(AH$231=0,INDEX($E165:$M165,0,AH$229),(INDEX($E165:$M165,0,AH$231+1)-INDEX($E165:$M165,0,AH$231))/(INDEX($E$160:$M$160,0,AH$231+1)-INDEX($E$160:$M$160,0,AH$231))+AF237)))</f>
        <v>110.60716777926312</v>
      </c>
      <c r="AH237" s="3" cm="1">
        <f t="array" ref="AH237">IF(AI$231=-1,AI237,IF(AI$231=99,AG237,IF(AI$231=0,INDEX($E165:$M165,0,AI$229),(INDEX($E165:$M165,0,AI$231+1)-INDEX($E165:$M165,0,AI$231))/(INDEX($E$160:$M$160,0,AI$231+1)-INDEX($E$160:$M$160,0,AI$231))+AG237)))</f>
        <v>111.29027238375831</v>
      </c>
      <c r="AI237" s="3" cm="1">
        <f t="array" ref="AI237">IF(AJ$231=-1,AJ237,IF(AJ$231=99,AH237,IF(AJ$231=0,INDEX($E165:$M165,0,AJ$229),(INDEX($E165:$M165,0,AJ$231+1)-INDEX($E165:$M165,0,AJ$231))/(INDEX($E$160:$M$160,0,AJ$231+1)-INDEX($E$160:$M$160,0,AJ$231))+AH237)))</f>
        <v>111.97337698825349</v>
      </c>
      <c r="AJ237" s="3" cm="1">
        <f t="array" ref="AJ237">IF(AK$231=-1,AK237,IF(AK$231=99,AI237,IF(AK$231=0,INDEX($E165:$M165,0,AK$229),(INDEX($E165:$M165,0,AK$231+1)-INDEX($E165:$M165,0,AK$231))/(INDEX($E$160:$M$160,0,AK$231+1)-INDEX($E$160:$M$160,0,AK$231))+AI237)))</f>
        <v>111.97337698825345</v>
      </c>
      <c r="AK237" s="3" cm="1">
        <f t="array" ref="AK237">IF(AL$231=-1,AL237,IF(AL$231=99,AJ237,IF(AL$231=0,INDEX($E165:$M165,0,AL$229),(INDEX($E165:$M165,0,AL$231+1)-INDEX($E165:$M165,0,AL$231))/(INDEX($E$160:$M$160,0,AL$231+1)-INDEX($E$160:$M$160,0,AL$231))+AJ237)))</f>
        <v>111.97337698825345</v>
      </c>
      <c r="AL237" s="3" cm="1">
        <f t="array" ref="AL237">IF(AO$231=-1,AO237,IF(AO$231=99,AK237,IF(AO$231=0,INDEX($E165:$M165,0,AO$229),(INDEX($E165:$M165,0,AO$231+1)-INDEX($E165:$M165,0,AO$231))/(INDEX($E$160:$M$160,0,AO$231+1)-INDEX($E$160:$M$160,0,AO$231))+AK237)))</f>
        <v>111.97337698825345</v>
      </c>
      <c r="AM237" s="3" cm="1">
        <f t="array" ref="AM237">IF(AO$231=-1,AO237,IF(AO$231=99,AK237,IF(AO$231=0,INDEX($E165:$M165,0,AO$229),(INDEX($E165:$M165,0,AO$231+1)-INDEX($E165:$M165,0,AO$231))/(INDEX($E$160:$M$160,0,AO$231+1)-INDEX($E$160:$M$160,0,AO$231))+AK237)))</f>
        <v>111.97337698825345</v>
      </c>
      <c r="AN237" s="3" cm="1">
        <f t="array" ref="AN237">IF(AO$231=-1,AO237,IF(AO$231=99,AK237,IF(AO$231=0,INDEX($E165:$M165,0,AO$229),(INDEX($E165:$M165,0,AO$231+1)-INDEX($E165:$M165,0,AO$231))/(INDEX($E$160:$M$160,0,AO$231+1)-INDEX($E$160:$M$160,0,AO$231))+AK237)))</f>
        <v>111.97337698825345</v>
      </c>
      <c r="AO237" s="3" cm="1">
        <f t="array" ref="AO237">IF(AP$231=-1,AP237,IF(AP$231=99,AL237,IF(AP$231=0,INDEX($E165:$M165,0,AP$229),(INDEX($E165:$M165,0,AP$231+1)-INDEX($E165:$M165,0,AP$231))/(INDEX($E$160:$M$160,0,AP$231+1)-INDEX($E$160:$M$160,0,AP$231))+AL237)))</f>
        <v>111.97337698825345</v>
      </c>
      <c r="AP237" s="3" cm="1">
        <f t="array" ref="AP237">IF(AQ$231=-1,AQ237,IF(AQ$231=99,AO237,IF(AQ$231=0,INDEX($E165:$M165,0,AQ$229),(INDEX($E165:$M165,0,AQ$231+1)-INDEX($E165:$M165,0,AQ$231))/(INDEX($E$160:$M$160,0,AQ$231+1)-INDEX($E$160:$M$160,0,AQ$231))+AO237)))</f>
        <v>111.97337698825345</v>
      </c>
      <c r="AQ237" s="3" cm="1">
        <f t="array" ref="AQ237">IF(AR$231=-1,AR237,IF(AR$231=99,AP237,IF(AR$231=0,INDEX($E165:$M165,0,AR$229),(INDEX($E165:$M165,0,AR$231+1)-INDEX($E165:$M165,0,AR$231))/(INDEX($E$160:$M$160,0,AR$231+1)-INDEX($E$160:$M$160,0,AR$231))+AP237)))</f>
        <v>111.97337698825345</v>
      </c>
      <c r="AR237" s="3" cm="1">
        <f t="array" ref="AR237">IF(AS$231=-1,AS237,IF(AS$231=99,AQ237,IF(AS$231=0,INDEX($E165:$M165,0,AS$229),(INDEX($E165:$M165,0,AS$231+1)-INDEX($E165:$M165,0,AS$231))/(INDEX($E$160:$M$160,0,AS$231+1)-INDEX($E$160:$M$160,0,AS$231))+AQ237)))</f>
        <v>111.97337698825345</v>
      </c>
      <c r="AS237" s="3" cm="1">
        <f t="array" ref="AS237">IF(AT$231=-1,AT237,IF(AT$231=99,AR237,IF(AT$231=0,INDEX($E165:$M165,0,AT$229),(INDEX($E165:$M165,0,AT$231+1)-INDEX($E165:$M165,0,AT$231))/(INDEX($E$160:$M$160,0,AT$231+1)-INDEX($E$160:$M$160,0,AT$231))+AR237)))</f>
        <v>111.97337698825345</v>
      </c>
      <c r="AT237" s="3" cm="1">
        <f t="array" ref="AT237">IF(AV$231=-1,AV237,IF(AV$231=99,AS237,IF(AV$231=0,INDEX($E165:$M165,0,AV$229),(INDEX($E165:$M165,0,AV$231+1)-INDEX($E165:$M165,0,AV$231))/(INDEX($E$160:$M$160,0,AV$231+1)-INDEX($E$160:$M$160,0,AV$231))+AS237)))</f>
        <v>111.97337698825345</v>
      </c>
      <c r="AU237" s="3" cm="1">
        <f t="array" ref="AU237">IF(AW$231=-1,AW237,IF(AW$231=99,AS237,IF(AW$231=0,INDEX($E165:$M165,0,AW$229),(INDEX($E165:$M165,0,AW$231+1)-INDEX($E165:$M165,0,AW$231))/(INDEX($E$160:$M$160,0,AW$231+1)-INDEX($E$160:$M$160,0,AW$231))+AS237)))</f>
        <v>111.97337698825345</v>
      </c>
      <c r="AV237" s="3" cm="1">
        <f t="array" ref="AV237">IF(AX$231=-1,AX237,IF(AX$231=99,AT237,IF(AX$231=0,INDEX($E165:$M165,0,AX$229),(INDEX($E165:$M165,0,AX$231+1)-INDEX($E165:$M165,0,AX$231))/(INDEX($E$160:$M$160,0,AX$231+1)-INDEX($E$160:$M$160,0,AX$231))+AT237)))</f>
        <v>111.97337698825345</v>
      </c>
      <c r="AW237" s="3" cm="1">
        <f t="array" ref="AW237">IF(AY$231=-1,AY237,IF(AY$231=99,AV237,IF(AY$231=0,INDEX($E165:$M165,0,AY$229),(INDEX($E165:$M165,0,AY$231+1)-INDEX($E165:$M165,0,AY$231))/(INDEX($E$160:$M$160,0,AY$231+1)-INDEX($E$160:$M$160,0,AY$231))+AV237)))</f>
        <v>111.97337698825345</v>
      </c>
      <c r="AX237" s="3" cm="1">
        <f t="array" ref="AX237">IF(AY$231=-1,AY237,IF(AY$231=99,AV237,IF(AY$231=0,INDEX($E165:$M165,0,AY$229),(INDEX($E165:$M165,0,AY$231+1)-INDEX($E165:$M165,0,AY$231))/(INDEX($E$160:$M$160,0,AY$231+1)-INDEX($E$160:$M$160,0,AY$231))+AV237)))</f>
        <v>111.97337698825345</v>
      </c>
      <c r="AY237" s="3" cm="1">
        <f t="array" ref="AY237">IF(AZ$231=-1,AZ237,IF(AZ$231=99,AX237,IF(AZ$231=0,INDEX($E165:$M165,0,AZ$229),(INDEX($E165:$M165,0,AZ$231+1)-INDEX($E165:$M165,0,AZ$231))/(INDEX($E$160:$M$160,0,AZ$231+1)-INDEX($E$160:$M$160,0,AZ$231))+AX237)))</f>
        <v>111.97337698825345</v>
      </c>
      <c r="AZ237" s="3" cm="1">
        <f t="array" ref="AZ237">IF(BA$231=-1,BA237,IF(BA$231=99,AY237,IF(BA$231=0,INDEX($E165:$M165,0,BA$229),(INDEX($E165:$M165,0,BA$231+1)-INDEX($E165:$M165,0,BA$231))/(INDEX($E$160:$M$160,0,BA$231+1)-INDEX($E$160:$M$160,0,BA$231))+AY237)))</f>
        <v>111.97337698825345</v>
      </c>
      <c r="BA237" s="3" cm="1">
        <f t="array" ref="BA237">IF(BB$231=-1,BB237,IF(BB$231=99,AZ237,IF(BB$231=0,INDEX($E165:$M165,0,BB$229),(INDEX($E165:$M165,0,BB$231+1)-INDEX($E165:$M165,0,BB$231))/(INDEX($E$160:$M$160,0,BB$231+1)-INDEX($E$160:$M$160,0,BB$231))+AZ237)))</f>
        <v>111.97337698825345</v>
      </c>
      <c r="BB237" s="3" cm="1">
        <f t="array" ref="BB237">IF(BC$231=-1,BC237,IF(BC$231=99,BA237,IF(BC$231=0,INDEX($E165:$M165,0,BC$229),(INDEX($E165:$M165,0,BC$231+1)-INDEX($E165:$M165,0,BC$231))/(INDEX($E$160:$M$160,0,BC$231+1)-INDEX($E$160:$M$160,0,BC$231))+BA237)))</f>
        <v>111.97337698825345</v>
      </c>
      <c r="BC237" s="3" cm="1">
        <f t="array" ref="BC237">IF(BD$231=-1,BD237,IF(BD$231=99,BB237,IF(BD$231=0,INDEX($E165:$M165,0,BD$229),(INDEX($E165:$M165,0,BD$231+1)-INDEX($E165:$M165,0,BD$231))/(INDEX($E$160:$M$160,0,BD$231+1)-INDEX($E$160:$M$160,0,BD$231))+BB237)))</f>
        <v>111.97337698825345</v>
      </c>
      <c r="BD237" s="3" cm="1">
        <f t="array" ref="BD237">IF(BE$231=-1,BE237,IF(BE$231=99,BC237,IF(BE$231=0,INDEX($E165:$M165,0,BE$229),(INDEX($E165:$M165,0,BE$231+1)-INDEX($E165:$M165,0,BE$231))/(INDEX($E$160:$M$160,0,BE$231+1)-INDEX($E$160:$M$160,0,BE$231))+BC237)))</f>
        <v>111.97337698825345</v>
      </c>
      <c r="BE237" s="3" cm="1">
        <f t="array" ref="BE237">IF(BF$231=-1,BF237,IF(BF$231=99,BD237,IF(BF$231=0,INDEX($E165:$M165,0,BF$229),(INDEX($E165:$M165,0,BF$231+1)-INDEX($E165:$M165,0,BF$231))/(INDEX($E$160:$M$160,0,BF$231+1)-INDEX($E$160:$M$160,0,BF$231))+BD237)))</f>
        <v>111.97337698825345</v>
      </c>
      <c r="BF237" s="3" cm="1">
        <f t="array" ref="BF237">IF(BG$231=-1,BG237,IF(BG$231=99,BE237,IF(BG$231=0,INDEX($E165:$M165,0,BG$229),(INDEX($E165:$M165,0,BG$231+1)-INDEX($E165:$M165,0,BG$231))/(INDEX($E$160:$M$160,0,BG$231+1)-INDEX($E$160:$M$160,0,BG$231))+BE237)))</f>
        <v>111.97337698825345</v>
      </c>
      <c r="BG237" s="3" cm="1">
        <f t="array" ref="BG237">IF(BH$231=-1,BH237,IF(BH$231=99,BF237,IF(BH$231=0,INDEX($E165:$M165,0,BH$229),(INDEX($E165:$M165,0,BH$231+1)-INDEX($E165:$M165,0,BH$231))/(INDEX($E$160:$M$160,0,BH$231+1)-INDEX($E$160:$M$160,0,BH$231))+BF237)))</f>
        <v>111.97337698825345</v>
      </c>
      <c r="BH237" s="3" cm="1">
        <f t="array" ref="BH237">IF(BI$231=-1,BI237,IF(BI$231=99,BG237,IF(BI$231=0,INDEX($E165:$M165,0,BI$229),(INDEX($E165:$M165,0,BI$231+1)-INDEX($E165:$M165,0,BI$231))/(INDEX($E$160:$M$160,0,BI$231+1)-INDEX($E$160:$M$160,0,BI$231))+BG237)))</f>
        <v>111.97337698825345</v>
      </c>
      <c r="BI237" s="3" cm="1">
        <f t="array" ref="BI237">IF(BJ$231=-1,BJ237,IF(BJ$231=99,BH237,IF(BJ$231=0,INDEX($E165:$M165,0,BJ$229),(INDEX($E165:$M165,0,BJ$231+1)-INDEX($E165:$M165,0,BJ$231))/(INDEX($E$160:$M$160,0,BJ$231+1)-INDEX($E$160:$M$160,0,BJ$231))+BH237)))</f>
        <v>111.97337698825345</v>
      </c>
      <c r="BJ237" s="3" cm="1">
        <f t="array" ref="BJ237">IF(BK$231=-1,BL237,IF(BK$231=99,BI237,IF(BK$231=0,INDEX($E165:$M165,0,BK$229),(INDEX($E165:$M165,0,BK$231+1)-INDEX($E165:$M165,0,BK$231))/(INDEX($E$160:$M$160,0,BK$231+1)-INDEX($E$160:$M$160,0,BK$231))+BI237)))</f>
        <v>111.97337698825345</v>
      </c>
      <c r="BL237" s="3"/>
      <c r="BM237" s="3"/>
      <c r="BN237" s="3"/>
      <c r="BO237" s="3"/>
      <c r="BP237" s="3"/>
      <c r="BQ237" s="3"/>
    </row>
    <row r="238" spans="5:70">
      <c r="E238" t="s">
        <v>16</v>
      </c>
      <c r="F238" s="15" t="str">
        <f t="shared" si="542"/>
        <v/>
      </c>
      <c r="G238" s="16" t="str">
        <f t="shared" si="543"/>
        <v/>
      </c>
      <c r="I238" s="16" t="str">
        <f t="shared" si="544"/>
        <v/>
      </c>
      <c r="J238" s="16"/>
      <c r="K238" s="16" t="str">
        <f t="shared" si="544"/>
        <v/>
      </c>
      <c r="L238" s="16" t="str">
        <f t="shared" si="544"/>
        <v/>
      </c>
      <c r="M238" s="43" t="str">
        <f t="shared" si="545"/>
        <v>TPPUBRT</v>
      </c>
      <c r="N238" s="3"/>
      <c r="O238" s="3"/>
      <c r="P238" s="3"/>
      <c r="Q238" s="3"/>
      <c r="R238" s="3"/>
      <c r="S238" s="3"/>
      <c r="T238" s="3"/>
      <c r="U238" s="3" cm="1">
        <f t="array" ref="U238">IF(V$231=-1,V238,IF(V$231=99,T238,IF(V$231=0,INDEX($E166:$M166,0,V$229),(INDEX($E166:$M166,0,V$231+1)-INDEX($E166:$M166,0,V$231))/(INDEX($E$160:$M$160,0,V$231+1)-INDEX($E$160:$M$160,0,V$231))+T238)))</f>
        <v>2.7728192749407472</v>
      </c>
      <c r="V238" s="3" cm="1">
        <f t="array" ref="V238">IF(W$231=-1,W238,IF(W$231=99,U238,IF(W$231=0,INDEX($E166:$M166,0,W$229),(INDEX($E166:$M166,0,W$231+1)-INDEX($E166:$M166,0,W$231))/(INDEX($E$160:$M$160,0,W$231+1)-INDEX($E$160:$M$160,0,W$231))+U238)))</f>
        <v>2.8312206322409188</v>
      </c>
      <c r="W238" s="3" cm="1">
        <f t="array" ref="W238">IF(X$231=-1,X238,IF(X$231=99,V238,IF(X$231=0,INDEX($E166:$M166,0,X$229),(INDEX($E166:$M166,0,X$231+1)-INDEX($E166:$M166,0,X$231))/(INDEX($E$160:$M$160,0,X$231+1)-INDEX($E$160:$M$160,0,X$231))+V238)))</f>
        <v>2.8896219895410904</v>
      </c>
      <c r="X238" s="3" cm="1">
        <f t="array" ref="X238">IF(Y$231=-1,Y238,IF(Y$231=99,W238,IF(Y$231=0,INDEX($E166:$M166,0,Y$229),(INDEX($E166:$M166,0,Y$231+1)-INDEX($E166:$M166,0,Y$231))/(INDEX($E$160:$M$160,0,Y$231+1)-INDEX($E$160:$M$160,0,Y$231))+W238)))</f>
        <v>2.8312206322409188</v>
      </c>
      <c r="Y238" s="3" cm="1">
        <f t="array" ref="Y238">IF(Z$231=-1,Z238,IF(Z$231=99,X238,IF(Z$231=0,INDEX($E166:$M166,0,Z$229),(INDEX($E166:$M166,0,Z$231+1)-INDEX($E166:$M166,0,Z$231))/(INDEX($E$160:$M$160,0,Z$231+1)-INDEX($E$160:$M$160,0,Z$231))+X238)))</f>
        <v>2.8592754518939896</v>
      </c>
      <c r="Z238" s="3" cm="1">
        <f t="array" ref="Z238">IF(AA$231=-1,AA238,IF(AA$231=99,Y238,IF(AA$231=0,INDEX($E166:$M166,0,AA$229),(INDEX($E166:$M166,0,AA$231+1)-INDEX($E166:$M166,0,AA$231))/(INDEX($E$160:$M$160,0,AA$231+1)-INDEX($E$160:$M$160,0,AA$231))+Y238)))</f>
        <v>2.8873302715470603</v>
      </c>
      <c r="AA238" s="3" cm="1">
        <f t="array" ref="AA238">IF(AD$231=-1,AD238,IF(AD$231=99,Z238,IF(AD$231=0,INDEX($E166:$M166,0,AD$229),(INDEX($E166:$M166,0,AD$231+1)-INDEX($E166:$M166,0,AD$231))/(INDEX($E$160:$M$160,0,AD$231+1)-INDEX($E$160:$M$160,0,AD$231))+Z238)))</f>
        <v>2.9153850912001311</v>
      </c>
      <c r="AB238" s="3" cm="1">
        <f t="array" ref="AB238">IF(AD$231=-1,AD238,IF(AD$231=99,Z238,IF(AD$231=0,INDEX($E166:$M166,0,AD$229),(INDEX($E166:$M166,0,AD$231+1)-INDEX($E166:$M166,0,AD$231))/(INDEX($E$160:$M$160,0,AD$231+1)-INDEX($E$160:$M$160,0,AD$231))+Z238)))</f>
        <v>2.9153850912001311</v>
      </c>
      <c r="AC238" s="3" cm="1">
        <f t="array" ref="AC238">IF(AD$231=-1,AD238,IF(AD$231=99,Z238,IF(AD$231=0,INDEX($E166:$M166,0,AD$229),(INDEX($E166:$M166,0,AD$231+1)-INDEX($E166:$M166,0,AD$231))/(INDEX($E$160:$M$160,0,AD$231+1)-INDEX($E$160:$M$160,0,AD$231))+Z238)))</f>
        <v>2.9153850912001311</v>
      </c>
      <c r="AD238" s="3" cm="1">
        <f t="array" ref="AD238">IF(AE$231=-1,AE238,IF(AE$231=99,AA238,IF(AE$231=0,INDEX($E166:$M166,0,AE$229),(INDEX($E166:$M166,0,AE$231+1)-INDEX($E166:$M166,0,AE$231))/(INDEX($E$160:$M$160,0,AE$231+1)-INDEX($E$160:$M$160,0,AE$231))+AA238)))</f>
        <v>2.9434399108532019</v>
      </c>
      <c r="AE238" s="3" cm="1">
        <f t="array" ref="AE238">IF(AF$231=-1,AF238,IF(AF$231=99,AD238,IF(AF$231=0,INDEX($E166:$M166,0,AF$229),(INDEX($E166:$M166,0,AF$231+1)-INDEX($E166:$M166,0,AF$231))/(INDEX($E$160:$M$160,0,AF$231+1)-INDEX($E$160:$M$160,0,AF$231))+AD238)))</f>
        <v>2.9714947305062727</v>
      </c>
      <c r="AF238" s="3" cm="1">
        <f t="array" ref="AF238">IF(AG$231=-1,AG238,IF(AG$231=99,AE238,IF(AG$231=0,INDEX($E166:$M166,0,AG$229),(INDEX($E166:$M166,0,AG$231+1)-INDEX($E166:$M166,0,AG$231))/(INDEX($E$160:$M$160,0,AG$231+1)-INDEX($E$160:$M$160,0,AG$231))+AE238)))</f>
        <v>2.9995495501593434</v>
      </c>
      <c r="AG238" s="3" cm="1">
        <f t="array" ref="AG238">IF(AH$231=-1,AH238,IF(AH$231=99,AF238,IF(AH$231=0,INDEX($E166:$M166,0,AH$229),(INDEX($E166:$M166,0,AH$231+1)-INDEX($E166:$M166,0,AH$231))/(INDEX($E$160:$M$160,0,AH$231+1)-INDEX($E$160:$M$160,0,AH$231))+AF238)))</f>
        <v>3.0276043698124142</v>
      </c>
      <c r="AH238" s="3" cm="1">
        <f t="array" ref="AH238">IF(AI$231=-1,AI238,IF(AI$231=99,AG238,IF(AI$231=0,INDEX($E166:$M166,0,AI$229),(INDEX($E166:$M166,0,AI$231+1)-INDEX($E166:$M166,0,AI$231))/(INDEX($E$160:$M$160,0,AI$231+1)-INDEX($E$160:$M$160,0,AI$231))+AG238)))</f>
        <v>3.055659189465485</v>
      </c>
      <c r="AI238" s="3" cm="1">
        <f t="array" ref="AI238">IF(AJ$231=-1,AJ238,IF(AJ$231=99,AH238,IF(AJ$231=0,INDEX($E166:$M166,0,AJ$229),(INDEX($E166:$M166,0,AJ$231+1)-INDEX($E166:$M166,0,AJ$231))/(INDEX($E$160:$M$160,0,AJ$231+1)-INDEX($E$160:$M$160,0,AJ$231))+AH238)))</f>
        <v>3.0837140091185558</v>
      </c>
      <c r="AJ238" s="3" cm="1">
        <f t="array" ref="AJ238">IF(AK$231=-1,AK238,IF(AK$231=99,AI238,IF(AK$231=0,INDEX($E166:$M166,0,AK$229),(INDEX($E166:$M166,0,AK$231+1)-INDEX($E166:$M166,0,AK$231))/(INDEX($E$160:$M$160,0,AK$231+1)-INDEX($E$160:$M$160,0,AK$231))+AI238)))</f>
        <v>3.0837140091185553</v>
      </c>
      <c r="AK238" s="3" cm="1">
        <f t="array" ref="AK238">IF(AL$231=-1,AL238,IF(AL$231=99,AJ238,IF(AL$231=0,INDEX($E166:$M166,0,AL$229),(INDEX($E166:$M166,0,AL$231+1)-INDEX($E166:$M166,0,AL$231))/(INDEX($E$160:$M$160,0,AL$231+1)-INDEX($E$160:$M$160,0,AL$231))+AJ238)))</f>
        <v>3.0837140091185553</v>
      </c>
      <c r="AL238" s="3" cm="1">
        <f t="array" ref="AL238">IF(AO$231=-1,AO238,IF(AO$231=99,AK238,IF(AO$231=0,INDEX($E166:$M166,0,AO$229),(INDEX($E166:$M166,0,AO$231+1)-INDEX($E166:$M166,0,AO$231))/(INDEX($E$160:$M$160,0,AO$231+1)-INDEX($E$160:$M$160,0,AO$231))+AK238)))</f>
        <v>3.0837140091185553</v>
      </c>
      <c r="AM238" s="3" cm="1">
        <f t="array" ref="AM238">IF(AO$231=-1,AO238,IF(AO$231=99,AK238,IF(AO$231=0,INDEX($E166:$M166,0,AO$229),(INDEX($E166:$M166,0,AO$231+1)-INDEX($E166:$M166,0,AO$231))/(INDEX($E$160:$M$160,0,AO$231+1)-INDEX($E$160:$M$160,0,AO$231))+AK238)))</f>
        <v>3.0837140091185553</v>
      </c>
      <c r="AN238" s="3" cm="1">
        <f t="array" ref="AN238">IF(AO$231=-1,AO238,IF(AO$231=99,AK238,IF(AO$231=0,INDEX($E166:$M166,0,AO$229),(INDEX($E166:$M166,0,AO$231+1)-INDEX($E166:$M166,0,AO$231))/(INDEX($E$160:$M$160,0,AO$231+1)-INDEX($E$160:$M$160,0,AO$231))+AK238)))</f>
        <v>3.0837140091185553</v>
      </c>
      <c r="AO238" s="3" cm="1">
        <f t="array" ref="AO238">IF(AP$231=-1,AP238,IF(AP$231=99,AL238,IF(AP$231=0,INDEX($E166:$M166,0,AP$229),(INDEX($E166:$M166,0,AP$231+1)-INDEX($E166:$M166,0,AP$231))/(INDEX($E$160:$M$160,0,AP$231+1)-INDEX($E$160:$M$160,0,AP$231))+AL238)))</f>
        <v>3.0837140091185553</v>
      </c>
      <c r="AP238" s="3" cm="1">
        <f t="array" ref="AP238">IF(AQ$231=-1,AQ238,IF(AQ$231=99,AO238,IF(AQ$231=0,INDEX($E166:$M166,0,AQ$229),(INDEX($E166:$M166,0,AQ$231+1)-INDEX($E166:$M166,0,AQ$231))/(INDEX($E$160:$M$160,0,AQ$231+1)-INDEX($E$160:$M$160,0,AQ$231))+AO238)))</f>
        <v>3.0837140091185553</v>
      </c>
      <c r="AQ238" s="3" cm="1">
        <f t="array" ref="AQ238">IF(AR$231=-1,AR238,IF(AR$231=99,AP238,IF(AR$231=0,INDEX($E166:$M166,0,AR$229),(INDEX($E166:$M166,0,AR$231+1)-INDEX($E166:$M166,0,AR$231))/(INDEX($E$160:$M$160,0,AR$231+1)-INDEX($E$160:$M$160,0,AR$231))+AP238)))</f>
        <v>3.0837140091185553</v>
      </c>
      <c r="AR238" s="3" cm="1">
        <f t="array" ref="AR238">IF(AS$231=-1,AS238,IF(AS$231=99,AQ238,IF(AS$231=0,INDEX($E166:$M166,0,AS$229),(INDEX($E166:$M166,0,AS$231+1)-INDEX($E166:$M166,0,AS$231))/(INDEX($E$160:$M$160,0,AS$231+1)-INDEX($E$160:$M$160,0,AS$231))+AQ238)))</f>
        <v>3.0837140091185553</v>
      </c>
      <c r="AS238" s="3" cm="1">
        <f t="array" ref="AS238">IF(AT$231=-1,AT238,IF(AT$231=99,AR238,IF(AT$231=0,INDEX($E166:$M166,0,AT$229),(INDEX($E166:$M166,0,AT$231+1)-INDEX($E166:$M166,0,AT$231))/(INDEX($E$160:$M$160,0,AT$231+1)-INDEX($E$160:$M$160,0,AT$231))+AR238)))</f>
        <v>3.0837140091185553</v>
      </c>
      <c r="AT238" s="3" cm="1">
        <f t="array" ref="AT238">IF(AV$231=-1,AV238,IF(AV$231=99,AS238,IF(AV$231=0,INDEX($E166:$M166,0,AV$229),(INDEX($E166:$M166,0,AV$231+1)-INDEX($E166:$M166,0,AV$231))/(INDEX($E$160:$M$160,0,AV$231+1)-INDEX($E$160:$M$160,0,AV$231))+AS238)))</f>
        <v>3.0837140091185553</v>
      </c>
      <c r="AU238" s="3" cm="1">
        <f t="array" ref="AU238">IF(AW$231=-1,AW238,IF(AW$231=99,AS238,IF(AW$231=0,INDEX($E166:$M166,0,AW$229),(INDEX($E166:$M166,0,AW$231+1)-INDEX($E166:$M166,0,AW$231))/(INDEX($E$160:$M$160,0,AW$231+1)-INDEX($E$160:$M$160,0,AW$231))+AS238)))</f>
        <v>3.0837140091185553</v>
      </c>
      <c r="AV238" s="3" cm="1">
        <f t="array" ref="AV238">IF(AX$231=-1,AX238,IF(AX$231=99,AT238,IF(AX$231=0,INDEX($E166:$M166,0,AX$229),(INDEX($E166:$M166,0,AX$231+1)-INDEX($E166:$M166,0,AX$231))/(INDEX($E$160:$M$160,0,AX$231+1)-INDEX($E$160:$M$160,0,AX$231))+AT238)))</f>
        <v>3.0837140091185553</v>
      </c>
      <c r="AW238" s="3" cm="1">
        <f t="array" ref="AW238">IF(AY$231=-1,AY238,IF(AY$231=99,AV238,IF(AY$231=0,INDEX($E166:$M166,0,AY$229),(INDEX($E166:$M166,0,AY$231+1)-INDEX($E166:$M166,0,AY$231))/(INDEX($E$160:$M$160,0,AY$231+1)-INDEX($E$160:$M$160,0,AY$231))+AV238)))</f>
        <v>3.0837140091185553</v>
      </c>
      <c r="AX238" s="3" cm="1">
        <f t="array" ref="AX238">IF(AY$231=-1,AY238,IF(AY$231=99,AV238,IF(AY$231=0,INDEX($E166:$M166,0,AY$229),(INDEX($E166:$M166,0,AY$231+1)-INDEX($E166:$M166,0,AY$231))/(INDEX($E$160:$M$160,0,AY$231+1)-INDEX($E$160:$M$160,0,AY$231))+AV238)))</f>
        <v>3.0837140091185553</v>
      </c>
      <c r="AY238" s="3" cm="1">
        <f t="array" ref="AY238">IF(AZ$231=-1,AZ238,IF(AZ$231=99,AX238,IF(AZ$231=0,INDEX($E166:$M166,0,AZ$229),(INDEX($E166:$M166,0,AZ$231+1)-INDEX($E166:$M166,0,AZ$231))/(INDEX($E$160:$M$160,0,AZ$231+1)-INDEX($E$160:$M$160,0,AZ$231))+AX238)))</f>
        <v>3.0837140091185553</v>
      </c>
      <c r="AZ238" s="3" cm="1">
        <f t="array" ref="AZ238">IF(BA$231=-1,BA238,IF(BA$231=99,AY238,IF(BA$231=0,INDEX($E166:$M166,0,BA$229),(INDEX($E166:$M166,0,BA$231+1)-INDEX($E166:$M166,0,BA$231))/(INDEX($E$160:$M$160,0,BA$231+1)-INDEX($E$160:$M$160,0,BA$231))+AY238)))</f>
        <v>3.0837140091185553</v>
      </c>
      <c r="BA238" s="3" cm="1">
        <f t="array" ref="BA238">IF(BB$231=-1,BB238,IF(BB$231=99,AZ238,IF(BB$231=0,INDEX($E166:$M166,0,BB$229),(INDEX($E166:$M166,0,BB$231+1)-INDEX($E166:$M166,0,BB$231))/(INDEX($E$160:$M$160,0,BB$231+1)-INDEX($E$160:$M$160,0,BB$231))+AZ238)))</f>
        <v>3.0837140091185553</v>
      </c>
      <c r="BB238" s="3" cm="1">
        <f t="array" ref="BB238">IF(BC$231=-1,BC238,IF(BC$231=99,BA238,IF(BC$231=0,INDEX($E166:$M166,0,BC$229),(INDEX($E166:$M166,0,BC$231+1)-INDEX($E166:$M166,0,BC$231))/(INDEX($E$160:$M$160,0,BC$231+1)-INDEX($E$160:$M$160,0,BC$231))+BA238)))</f>
        <v>3.0837140091185553</v>
      </c>
      <c r="BC238" s="3" cm="1">
        <f t="array" ref="BC238">IF(BD$231=-1,BD238,IF(BD$231=99,BB238,IF(BD$231=0,INDEX($E166:$M166,0,BD$229),(INDEX($E166:$M166,0,BD$231+1)-INDEX($E166:$M166,0,BD$231))/(INDEX($E$160:$M$160,0,BD$231+1)-INDEX($E$160:$M$160,0,BD$231))+BB238)))</f>
        <v>3.0837140091185553</v>
      </c>
      <c r="BD238" s="3" cm="1">
        <f t="array" ref="BD238">IF(BE$231=-1,BE238,IF(BE$231=99,BC238,IF(BE$231=0,INDEX($E166:$M166,0,BE$229),(INDEX($E166:$M166,0,BE$231+1)-INDEX($E166:$M166,0,BE$231))/(INDEX($E$160:$M$160,0,BE$231+1)-INDEX($E$160:$M$160,0,BE$231))+BC238)))</f>
        <v>3.0837140091185553</v>
      </c>
      <c r="BE238" s="3" cm="1">
        <f t="array" ref="BE238">IF(BF$231=-1,BF238,IF(BF$231=99,BD238,IF(BF$231=0,INDEX($E166:$M166,0,BF$229),(INDEX($E166:$M166,0,BF$231+1)-INDEX($E166:$M166,0,BF$231))/(INDEX($E$160:$M$160,0,BF$231+1)-INDEX($E$160:$M$160,0,BF$231))+BD238)))</f>
        <v>3.0837140091185553</v>
      </c>
      <c r="BF238" s="3" cm="1">
        <f t="array" ref="BF238">IF(BG$231=-1,BG238,IF(BG$231=99,BE238,IF(BG$231=0,INDEX($E166:$M166,0,BG$229),(INDEX($E166:$M166,0,BG$231+1)-INDEX($E166:$M166,0,BG$231))/(INDEX($E$160:$M$160,0,BG$231+1)-INDEX($E$160:$M$160,0,BG$231))+BE238)))</f>
        <v>3.0837140091185553</v>
      </c>
      <c r="BG238" s="3" cm="1">
        <f t="array" ref="BG238">IF(BH$231=-1,BH238,IF(BH$231=99,BF238,IF(BH$231=0,INDEX($E166:$M166,0,BH$229),(INDEX($E166:$M166,0,BH$231+1)-INDEX($E166:$M166,0,BH$231))/(INDEX($E$160:$M$160,0,BH$231+1)-INDEX($E$160:$M$160,0,BH$231))+BF238)))</f>
        <v>3.0837140091185553</v>
      </c>
      <c r="BH238" s="3" cm="1">
        <f t="array" ref="BH238">IF(BI$231=-1,BI238,IF(BI$231=99,BG238,IF(BI$231=0,INDEX($E166:$M166,0,BI$229),(INDEX($E166:$M166,0,BI$231+1)-INDEX($E166:$M166,0,BI$231))/(INDEX($E$160:$M$160,0,BI$231+1)-INDEX($E$160:$M$160,0,BI$231))+BG238)))</f>
        <v>3.0837140091185553</v>
      </c>
      <c r="BI238" s="3" cm="1">
        <f t="array" ref="BI238">IF(BJ$231=-1,BJ238,IF(BJ$231=99,BH238,IF(BJ$231=0,INDEX($E166:$M166,0,BJ$229),(INDEX($E166:$M166,0,BJ$231+1)-INDEX($E166:$M166,0,BJ$231))/(INDEX($E$160:$M$160,0,BJ$231+1)-INDEX($E$160:$M$160,0,BJ$231))+BH238)))</f>
        <v>3.0837140091185553</v>
      </c>
      <c r="BJ238" s="3" cm="1">
        <f t="array" ref="BJ238">IF(BK$231=-1,BL238,IF(BK$231=99,BI238,IF(BK$231=0,INDEX($E166:$M166,0,BK$229),(INDEX($E166:$M166,0,BK$231+1)-INDEX($E166:$M166,0,BK$231))/(INDEX($E$160:$M$160,0,BK$231+1)-INDEX($E$160:$M$160,0,BK$231))+BI238)))</f>
        <v>3.0837140091185553</v>
      </c>
      <c r="BL238" s="3"/>
      <c r="BM238" s="3"/>
      <c r="BN238" s="3"/>
      <c r="BO238" s="3"/>
      <c r="BP238" s="3"/>
      <c r="BQ238" s="3"/>
    </row>
    <row r="239" spans="5:70">
      <c r="E239" t="s">
        <v>16</v>
      </c>
      <c r="F239" s="15"/>
      <c r="G239" s="16"/>
      <c r="I239" s="16"/>
      <c r="J239" s="16"/>
      <c r="K239" s="16"/>
      <c r="L239" s="16"/>
      <c r="M239" s="43" t="str">
        <f t="shared" si="545"/>
        <v>TPPUMER</v>
      </c>
      <c r="N239" s="3"/>
      <c r="O239" s="3"/>
      <c r="P239" s="3"/>
      <c r="Q239" s="3"/>
      <c r="R239" s="3"/>
      <c r="S239" s="3"/>
      <c r="T239" s="3"/>
      <c r="U239" s="3" cm="1">
        <f t="array" ref="U239">IF(V$231=-1,V239,IF(V$231=99,T239,IF(V$231=0,INDEX($E167:$M167,0,V$229),(INDEX($E167:$M167,0,V$231+1)-INDEX($E167:$M167,0,V$231))/(INDEX($E$160:$M$160,0,V$231+1)-INDEX($E$160:$M$160,0,V$231))+T239)))</f>
        <v>9.0239745751619225</v>
      </c>
      <c r="V239" s="3" cm="1">
        <f t="array" ref="V239">IF(W$231=-1,W239,IF(W$231=99,U239,IF(W$231=0,INDEX($E167:$M167,0,W$229),(INDEX($E167:$M167,0,W$231+1)-INDEX($E167:$M167,0,W$231))/(INDEX($E$160:$M$160,0,W$231+1)-INDEX($E$160:$M$160,0,W$231))+U239)))</f>
        <v>9.1197012950280598</v>
      </c>
      <c r="W239" s="3" cm="1">
        <f t="array" ref="W239">IF(X$231=-1,X239,IF(X$231=99,V239,IF(X$231=0,INDEX($E167:$M167,0,X$229),(INDEX($E167:$M167,0,X$231+1)-INDEX($E167:$M167,0,X$231))/(INDEX($E$160:$M$160,0,X$231+1)-INDEX($E$160:$M$160,0,X$231))+V239)))</f>
        <v>9.2154280148941972</v>
      </c>
      <c r="X239" s="3" cm="1">
        <f t="array" ref="X239">IF(Y$231=-1,Y239,IF(Y$231=99,W239,IF(Y$231=0,INDEX($E167:$M167,0,Y$229),(INDEX($E167:$M167,0,Y$231+1)-INDEX($E167:$M167,0,Y$231))/(INDEX($E$160:$M$160,0,Y$231+1)-INDEX($E$160:$M$160,0,Y$231))+W239)))</f>
        <v>9.1197012950280598</v>
      </c>
      <c r="Y239" s="3" cm="1">
        <f t="array" ref="Y239">IF(Z$231=-1,Z239,IF(Z$231=99,X239,IF(Z$231=0,INDEX($E167:$M167,0,Z$229),(INDEX($E167:$M167,0,Z$231+1)-INDEX($E167:$M167,0,Z$231))/(INDEX($E$160:$M$160,0,Z$231+1)-INDEX($E$160:$M$160,0,Z$231))+X239)))</f>
        <v>9.178569089089164</v>
      </c>
      <c r="Z239" s="3" cm="1">
        <f t="array" ref="Z239">IF(AA$231=-1,AA239,IF(AA$231=99,Y239,IF(AA$231=0,INDEX($E167:$M167,0,AA$229),(INDEX($E167:$M167,0,AA$231+1)-INDEX($E167:$M167,0,AA$231))/(INDEX($E$160:$M$160,0,AA$231+1)-INDEX($E$160:$M$160,0,AA$231))+Y239)))</f>
        <v>9.2374368831502682</v>
      </c>
      <c r="AA239" s="3" cm="1">
        <f t="array" ref="AA239">IF(AD$231=-1,AD239,IF(AD$231=99,Z239,IF(AD$231=0,INDEX($E167:$M167,0,AD$229),(INDEX($E167:$M167,0,AD$231+1)-INDEX($E167:$M167,0,AD$231))/(INDEX($E$160:$M$160,0,AD$231+1)-INDEX($E$160:$M$160,0,AD$231))+Z239)))</f>
        <v>9.2963046772113724</v>
      </c>
      <c r="AB239" s="3" cm="1">
        <f t="array" ref="AB239">IF(AD$231=-1,AD239,IF(AD$231=99,Z239,IF(AD$231=0,INDEX($E167:$M167,0,AD$229),(INDEX($E167:$M167,0,AD$231+1)-INDEX($E167:$M167,0,AD$231))/(INDEX($E$160:$M$160,0,AD$231+1)-INDEX($E$160:$M$160,0,AD$231))+Z239)))</f>
        <v>9.2963046772113724</v>
      </c>
      <c r="AC239" s="3" cm="1">
        <f t="array" ref="AC239">IF(AD$231=-1,AD239,IF(AD$231=99,Z239,IF(AD$231=0,INDEX($E167:$M167,0,AD$229),(INDEX($E167:$M167,0,AD$231+1)-INDEX($E167:$M167,0,AD$231))/(INDEX($E$160:$M$160,0,AD$231+1)-INDEX($E$160:$M$160,0,AD$231))+Z239)))</f>
        <v>9.2963046772113724</v>
      </c>
      <c r="AD239" s="3" cm="1">
        <f t="array" ref="AD239">IF(AE$231=-1,AE239,IF(AE$231=99,AA239,IF(AE$231=0,INDEX($E167:$M167,0,AE$229),(INDEX($E167:$M167,0,AE$231+1)-INDEX($E167:$M167,0,AE$231))/(INDEX($E$160:$M$160,0,AE$231+1)-INDEX($E$160:$M$160,0,AE$231))+AA239)))</f>
        <v>9.3551724712724766</v>
      </c>
      <c r="AE239" s="3" cm="1">
        <f t="array" ref="AE239">IF(AF$231=-1,AF239,IF(AF$231=99,AD239,IF(AF$231=0,INDEX($E167:$M167,0,AF$229),(INDEX($E167:$M167,0,AF$231+1)-INDEX($E167:$M167,0,AF$231))/(INDEX($E$160:$M$160,0,AF$231+1)-INDEX($E$160:$M$160,0,AF$231))+AD239)))</f>
        <v>9.4140402653335808</v>
      </c>
      <c r="AF239" s="3" cm="1">
        <f t="array" ref="AF239">IF(AG$231=-1,AG239,IF(AG$231=99,AE239,IF(AG$231=0,INDEX($E167:$M167,0,AG$229),(INDEX($E167:$M167,0,AG$231+1)-INDEX($E167:$M167,0,AG$231))/(INDEX($E$160:$M$160,0,AG$231+1)-INDEX($E$160:$M$160,0,AG$231))+AE239)))</f>
        <v>9.4729080593946851</v>
      </c>
      <c r="AG239" s="3" cm="1">
        <f t="array" ref="AG239">IF(AH$231=-1,AH239,IF(AH$231=99,AF239,IF(AH$231=0,INDEX($E167:$M167,0,AH$229),(INDEX($E167:$M167,0,AH$231+1)-INDEX($E167:$M167,0,AH$231))/(INDEX($E$160:$M$160,0,AH$231+1)-INDEX($E$160:$M$160,0,AH$231))+AF239)))</f>
        <v>9.5317758534557893</v>
      </c>
      <c r="AH239" s="3" cm="1">
        <f t="array" ref="AH239">IF(AI$231=-1,AI239,IF(AI$231=99,AG239,IF(AI$231=0,INDEX($E167:$M167,0,AI$229),(INDEX($E167:$M167,0,AI$231+1)-INDEX($E167:$M167,0,AI$231))/(INDEX($E$160:$M$160,0,AI$231+1)-INDEX($E$160:$M$160,0,AI$231))+AG239)))</f>
        <v>9.5906436475168935</v>
      </c>
      <c r="AI239" s="3" cm="1">
        <f t="array" ref="AI239">IF(AJ$231=-1,AJ239,IF(AJ$231=99,AH239,IF(AJ$231=0,INDEX($E167:$M167,0,AJ$229),(INDEX($E167:$M167,0,AJ$231+1)-INDEX($E167:$M167,0,AJ$231))/(INDEX($E$160:$M$160,0,AJ$231+1)-INDEX($E$160:$M$160,0,AJ$231))+AH239)))</f>
        <v>9.6495114415779977</v>
      </c>
      <c r="AJ239" s="3" cm="1">
        <f t="array" ref="AJ239">IF(AK$231=-1,AK239,IF(AK$231=99,AI239,IF(AK$231=0,INDEX($E167:$M167,0,AK$229),(INDEX($E167:$M167,0,AK$231+1)-INDEX($E167:$M167,0,AK$231))/(INDEX($E$160:$M$160,0,AK$231+1)-INDEX($E$160:$M$160,0,AK$231))+AI239)))</f>
        <v>9.6495114415779959</v>
      </c>
      <c r="AK239" s="3" cm="1">
        <f t="array" ref="AK239">IF(AL$231=-1,AL239,IF(AL$231=99,AJ239,IF(AL$231=0,INDEX($E167:$M167,0,AL$229),(INDEX($E167:$M167,0,AL$231+1)-INDEX($E167:$M167,0,AL$231))/(INDEX($E$160:$M$160,0,AL$231+1)-INDEX($E$160:$M$160,0,AL$231))+AJ239)))</f>
        <v>9.6495114415779959</v>
      </c>
      <c r="AL239" s="3" cm="1">
        <f t="array" ref="AL239">IF(AO$231=-1,AO239,IF(AO$231=99,AK239,IF(AO$231=0,INDEX($E167:$M167,0,AO$229),(INDEX($E167:$M167,0,AO$231+1)-INDEX($E167:$M167,0,AO$231))/(INDEX($E$160:$M$160,0,AO$231+1)-INDEX($E$160:$M$160,0,AO$231))+AK239)))</f>
        <v>9.6495114415779959</v>
      </c>
      <c r="AM239" s="3" cm="1">
        <f t="array" ref="AM239">IF(AO$231=-1,AO239,IF(AO$231=99,AK239,IF(AO$231=0,INDEX($E167:$M167,0,AO$229),(INDEX($E167:$M167,0,AO$231+1)-INDEX($E167:$M167,0,AO$231))/(INDEX($E$160:$M$160,0,AO$231+1)-INDEX($E$160:$M$160,0,AO$231))+AK239)))</f>
        <v>9.6495114415779959</v>
      </c>
      <c r="AN239" s="3" cm="1">
        <f t="array" ref="AN239">IF(AO$231=-1,AO239,IF(AO$231=99,AK239,IF(AO$231=0,INDEX($E167:$M167,0,AO$229),(INDEX($E167:$M167,0,AO$231+1)-INDEX($E167:$M167,0,AO$231))/(INDEX($E$160:$M$160,0,AO$231+1)-INDEX($E$160:$M$160,0,AO$231))+AK239)))</f>
        <v>9.6495114415779959</v>
      </c>
      <c r="AO239" s="3" cm="1">
        <f t="array" ref="AO239">IF(AP$231=-1,AP239,IF(AP$231=99,AL239,IF(AP$231=0,INDEX($E167:$M167,0,AP$229),(INDEX($E167:$M167,0,AP$231+1)-INDEX($E167:$M167,0,AP$231))/(INDEX($E$160:$M$160,0,AP$231+1)-INDEX($E$160:$M$160,0,AP$231))+AL239)))</f>
        <v>9.6495114415779959</v>
      </c>
      <c r="AP239" s="3" cm="1">
        <f t="array" ref="AP239">IF(AQ$231=-1,AQ239,IF(AQ$231=99,AO239,IF(AQ$231=0,INDEX($E167:$M167,0,AQ$229),(INDEX($E167:$M167,0,AQ$231+1)-INDEX($E167:$M167,0,AQ$231))/(INDEX($E$160:$M$160,0,AQ$231+1)-INDEX($E$160:$M$160,0,AQ$231))+AO239)))</f>
        <v>9.6495114415779959</v>
      </c>
      <c r="AQ239" s="3" cm="1">
        <f t="array" ref="AQ239">IF(AR$231=-1,AR239,IF(AR$231=99,AP239,IF(AR$231=0,INDEX($E167:$M167,0,AR$229),(INDEX($E167:$M167,0,AR$231+1)-INDEX($E167:$M167,0,AR$231))/(INDEX($E$160:$M$160,0,AR$231+1)-INDEX($E$160:$M$160,0,AR$231))+AP239)))</f>
        <v>9.6495114415779959</v>
      </c>
      <c r="AR239" s="3" cm="1">
        <f t="array" ref="AR239">IF(AS$231=-1,AS239,IF(AS$231=99,AQ239,IF(AS$231=0,INDEX($E167:$M167,0,AS$229),(INDEX($E167:$M167,0,AS$231+1)-INDEX($E167:$M167,0,AS$231))/(INDEX($E$160:$M$160,0,AS$231+1)-INDEX($E$160:$M$160,0,AS$231))+AQ239)))</f>
        <v>9.6495114415779959</v>
      </c>
      <c r="AS239" s="3" cm="1">
        <f t="array" ref="AS239">IF(AT$231=-1,AT239,IF(AT$231=99,AR239,IF(AT$231=0,INDEX($E167:$M167,0,AT$229),(INDEX($E167:$M167,0,AT$231+1)-INDEX($E167:$M167,0,AT$231))/(INDEX($E$160:$M$160,0,AT$231+1)-INDEX($E$160:$M$160,0,AT$231))+AR239)))</f>
        <v>9.6495114415779959</v>
      </c>
      <c r="AT239" s="3" cm="1">
        <f t="array" ref="AT239">IF(AV$231=-1,AV239,IF(AV$231=99,AS239,IF(AV$231=0,INDEX($E167:$M167,0,AV$229),(INDEX($E167:$M167,0,AV$231+1)-INDEX($E167:$M167,0,AV$231))/(INDEX($E$160:$M$160,0,AV$231+1)-INDEX($E$160:$M$160,0,AV$231))+AS239)))</f>
        <v>9.6495114415779959</v>
      </c>
      <c r="AU239" s="3" cm="1">
        <f t="array" ref="AU239">IF(AW$231=-1,AW239,IF(AW$231=99,AS239,IF(AW$231=0,INDEX($E167:$M167,0,AW$229),(INDEX($E167:$M167,0,AW$231+1)-INDEX($E167:$M167,0,AW$231))/(INDEX($E$160:$M$160,0,AW$231+1)-INDEX($E$160:$M$160,0,AW$231))+AS239)))</f>
        <v>9.6495114415779959</v>
      </c>
      <c r="AV239" s="3" cm="1">
        <f t="array" ref="AV239">IF(AX$231=-1,AX239,IF(AX$231=99,AT239,IF(AX$231=0,INDEX($E167:$M167,0,AX$229),(INDEX($E167:$M167,0,AX$231+1)-INDEX($E167:$M167,0,AX$231))/(INDEX($E$160:$M$160,0,AX$231+1)-INDEX($E$160:$M$160,0,AX$231))+AT239)))</f>
        <v>9.6495114415779959</v>
      </c>
      <c r="AW239" s="3" cm="1">
        <f t="array" ref="AW239">IF(AY$231=-1,AY239,IF(AY$231=99,AV239,IF(AY$231=0,INDEX($E167:$M167,0,AY$229),(INDEX($E167:$M167,0,AY$231+1)-INDEX($E167:$M167,0,AY$231))/(INDEX($E$160:$M$160,0,AY$231+1)-INDEX($E$160:$M$160,0,AY$231))+AV239)))</f>
        <v>9.6495114415779959</v>
      </c>
      <c r="AX239" s="3" cm="1">
        <f t="array" ref="AX239">IF(AY$231=-1,AY239,IF(AY$231=99,AV239,IF(AY$231=0,INDEX($E167:$M167,0,AY$229),(INDEX($E167:$M167,0,AY$231+1)-INDEX($E167:$M167,0,AY$231))/(INDEX($E$160:$M$160,0,AY$231+1)-INDEX($E$160:$M$160,0,AY$231))+AV239)))</f>
        <v>9.6495114415779959</v>
      </c>
      <c r="AY239" s="3" cm="1">
        <f t="array" ref="AY239">IF(AZ$231=-1,AZ239,IF(AZ$231=99,AX239,IF(AZ$231=0,INDEX($E167:$M167,0,AZ$229),(INDEX($E167:$M167,0,AZ$231+1)-INDEX($E167:$M167,0,AZ$231))/(INDEX($E$160:$M$160,0,AZ$231+1)-INDEX($E$160:$M$160,0,AZ$231))+AX239)))</f>
        <v>9.6495114415779959</v>
      </c>
      <c r="AZ239" s="3" cm="1">
        <f t="array" ref="AZ239">IF(BA$231=-1,BA239,IF(BA$231=99,AY239,IF(BA$231=0,INDEX($E167:$M167,0,BA$229),(INDEX($E167:$M167,0,BA$231+1)-INDEX($E167:$M167,0,BA$231))/(INDEX($E$160:$M$160,0,BA$231+1)-INDEX($E$160:$M$160,0,BA$231))+AY239)))</f>
        <v>9.6495114415779959</v>
      </c>
      <c r="BA239" s="3" cm="1">
        <f t="array" ref="BA239">IF(BB$231=-1,BB239,IF(BB$231=99,AZ239,IF(BB$231=0,INDEX($E167:$M167,0,BB$229),(INDEX($E167:$M167,0,BB$231+1)-INDEX($E167:$M167,0,BB$231))/(INDEX($E$160:$M$160,0,BB$231+1)-INDEX($E$160:$M$160,0,BB$231))+AZ239)))</f>
        <v>9.6495114415779959</v>
      </c>
      <c r="BB239" s="3" cm="1">
        <f t="array" ref="BB239">IF(BC$231=-1,BC239,IF(BC$231=99,BA239,IF(BC$231=0,INDEX($E167:$M167,0,BC$229),(INDEX($E167:$M167,0,BC$231+1)-INDEX($E167:$M167,0,BC$231))/(INDEX($E$160:$M$160,0,BC$231+1)-INDEX($E$160:$M$160,0,BC$231))+BA239)))</f>
        <v>9.6495114415779959</v>
      </c>
      <c r="BC239" s="3" cm="1">
        <f t="array" ref="BC239">IF(BD$231=-1,BD239,IF(BD$231=99,BB239,IF(BD$231=0,INDEX($E167:$M167,0,BD$229),(INDEX($E167:$M167,0,BD$231+1)-INDEX($E167:$M167,0,BD$231))/(INDEX($E$160:$M$160,0,BD$231+1)-INDEX($E$160:$M$160,0,BD$231))+BB239)))</f>
        <v>9.6495114415779959</v>
      </c>
      <c r="BD239" s="3" cm="1">
        <f t="array" ref="BD239">IF(BE$231=-1,BE239,IF(BE$231=99,BC239,IF(BE$231=0,INDEX($E167:$M167,0,BE$229),(INDEX($E167:$M167,0,BE$231+1)-INDEX($E167:$M167,0,BE$231))/(INDEX($E$160:$M$160,0,BE$231+1)-INDEX($E$160:$M$160,0,BE$231))+BC239)))</f>
        <v>9.6495114415779959</v>
      </c>
      <c r="BE239" s="3" cm="1">
        <f t="array" ref="BE239">IF(BF$231=-1,BF239,IF(BF$231=99,BD239,IF(BF$231=0,INDEX($E167:$M167,0,BF$229),(INDEX($E167:$M167,0,BF$231+1)-INDEX($E167:$M167,0,BF$231))/(INDEX($E$160:$M$160,0,BF$231+1)-INDEX($E$160:$M$160,0,BF$231))+BD239)))</f>
        <v>9.6495114415779959</v>
      </c>
      <c r="BF239" s="3" cm="1">
        <f t="array" ref="BF239">IF(BG$231=-1,BG239,IF(BG$231=99,BE239,IF(BG$231=0,INDEX($E167:$M167,0,BG$229),(INDEX($E167:$M167,0,BG$231+1)-INDEX($E167:$M167,0,BG$231))/(INDEX($E$160:$M$160,0,BG$231+1)-INDEX($E$160:$M$160,0,BG$231))+BE239)))</f>
        <v>9.6495114415779959</v>
      </c>
      <c r="BG239" s="3" cm="1">
        <f t="array" ref="BG239">IF(BH$231=-1,BH239,IF(BH$231=99,BF239,IF(BH$231=0,INDEX($E167:$M167,0,BH$229),(INDEX($E167:$M167,0,BH$231+1)-INDEX($E167:$M167,0,BH$231))/(INDEX($E$160:$M$160,0,BH$231+1)-INDEX($E$160:$M$160,0,BH$231))+BF239)))</f>
        <v>9.6495114415779959</v>
      </c>
      <c r="BH239" s="3" cm="1">
        <f t="array" ref="BH239">IF(BI$231=-1,BI239,IF(BI$231=99,BG239,IF(BI$231=0,INDEX($E167:$M167,0,BI$229),(INDEX($E167:$M167,0,BI$231+1)-INDEX($E167:$M167,0,BI$231))/(INDEX($E$160:$M$160,0,BI$231+1)-INDEX($E$160:$M$160,0,BI$231))+BG239)))</f>
        <v>9.6495114415779959</v>
      </c>
      <c r="BI239" s="3" cm="1">
        <f t="array" ref="BI239">IF(BJ$231=-1,BJ239,IF(BJ$231=99,BH239,IF(BJ$231=0,INDEX($E167:$M167,0,BJ$229),(INDEX($E167:$M167,0,BJ$231+1)-INDEX($E167:$M167,0,BJ$231))/(INDEX($E$160:$M$160,0,BJ$231+1)-INDEX($E$160:$M$160,0,BJ$231))+BH239)))</f>
        <v>9.6495114415779959</v>
      </c>
      <c r="BJ239" s="3" cm="1">
        <f t="array" ref="BJ239">IF(BK$231=-1,BL239,IF(BK$231=99,BI239,IF(BK$231=0,INDEX($E167:$M167,0,BK$229),(INDEX($E167:$M167,0,BK$231+1)-INDEX($E167:$M167,0,BK$231))/(INDEX($E$160:$M$160,0,BK$231+1)-INDEX($E$160:$M$160,0,BK$231))+BI239)))</f>
        <v>9.6495114415779959</v>
      </c>
      <c r="BL239" s="3"/>
      <c r="BM239" s="3"/>
      <c r="BN239" s="3"/>
      <c r="BO239" s="3"/>
      <c r="BP239" s="3"/>
      <c r="BQ239" s="3"/>
    </row>
    <row r="240" spans="5:70">
      <c r="E240" t="s">
        <v>16</v>
      </c>
      <c r="F240" s="15"/>
      <c r="G240" s="16"/>
      <c r="I240" s="16"/>
      <c r="J240" s="16"/>
      <c r="K240" s="16"/>
      <c r="L240" s="16"/>
      <c r="M240" s="43" t="str">
        <f t="shared" si="545"/>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1">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59">IF(ISNA(T249),-1,IF(ISNA(T251),99,IF(ISNA(T250),T249,0)))</f>
        <v>-1</v>
      </c>
      <c r="U252" s="66">
        <f t="shared" si="559"/>
        <v>-1</v>
      </c>
      <c r="V252" s="66">
        <f t="shared" si="559"/>
        <v>-1</v>
      </c>
      <c r="W252" s="66">
        <f t="shared" si="559"/>
        <v>0</v>
      </c>
      <c r="X252" s="66">
        <f t="shared" si="559"/>
        <v>3</v>
      </c>
      <c r="Y252" s="66">
        <f t="shared" si="559"/>
        <v>3</v>
      </c>
      <c r="Z252" s="66">
        <f t="shared" si="559"/>
        <v>0</v>
      </c>
      <c r="AA252" s="66">
        <f t="shared" si="559"/>
        <v>4</v>
      </c>
      <c r="AB252" s="66">
        <f t="shared" ref="AB252:AC252" si="560">IF(ISNA(AB249),-1,IF(ISNA(AB251),99,IF(ISNA(AB250),AB249,0)))</f>
        <v>4</v>
      </c>
      <c r="AC252" s="66">
        <f t="shared" si="560"/>
        <v>4</v>
      </c>
      <c r="AD252" s="66">
        <f t="shared" si="559"/>
        <v>4</v>
      </c>
      <c r="AE252" s="66">
        <f t="shared" si="559"/>
        <v>4</v>
      </c>
      <c r="AF252" s="66">
        <f t="shared" si="559"/>
        <v>4</v>
      </c>
      <c r="AG252" s="66">
        <f t="shared" si="559"/>
        <v>4</v>
      </c>
      <c r="AH252" s="66">
        <f t="shared" si="559"/>
        <v>4</v>
      </c>
      <c r="AI252" s="66">
        <f t="shared" si="559"/>
        <v>4</v>
      </c>
      <c r="AJ252" s="66">
        <f t="shared" si="559"/>
        <v>4</v>
      </c>
      <c r="AK252" s="66">
        <f t="shared" si="559"/>
        <v>4</v>
      </c>
      <c r="AL252" s="66">
        <f t="shared" si="559"/>
        <v>0</v>
      </c>
      <c r="AM252" s="66">
        <f t="shared" ref="AM252:AN252" si="561">IF(ISNA(AM249),-1,IF(ISNA(AM251),99,IF(ISNA(AM250),AM249,0)))</f>
        <v>0</v>
      </c>
      <c r="AN252" s="66">
        <f t="shared" si="561"/>
        <v>0</v>
      </c>
      <c r="AO252" s="66">
        <f t="shared" si="559"/>
        <v>99</v>
      </c>
      <c r="AP252" s="66">
        <f t="shared" si="559"/>
        <v>99</v>
      </c>
      <c r="AQ252" s="66">
        <f t="shared" si="559"/>
        <v>99</v>
      </c>
      <c r="AR252" s="66">
        <f t="shared" si="559"/>
        <v>99</v>
      </c>
      <c r="AS252" s="66">
        <f t="shared" si="559"/>
        <v>99</v>
      </c>
      <c r="AT252" s="66">
        <f t="shared" si="559"/>
        <v>99</v>
      </c>
      <c r="AU252" s="66">
        <f t="shared" ref="AU252" si="562">IF(ISNA(AU249),-1,IF(ISNA(AU251),99,IF(ISNA(AU250),AU249,0)))</f>
        <v>99</v>
      </c>
      <c r="AV252" s="66">
        <f t="shared" si="559"/>
        <v>99</v>
      </c>
      <c r="AW252" s="66">
        <f t="shared" ref="AW252" si="563">IF(ISNA(AW249),-1,IF(ISNA(AW251),99,IF(ISNA(AW250),AW249,0)))</f>
        <v>99</v>
      </c>
      <c r="AX252" s="66">
        <f t="shared" si="559"/>
        <v>99</v>
      </c>
      <c r="AY252" s="66">
        <f t="shared" si="559"/>
        <v>99</v>
      </c>
      <c r="AZ252" s="66">
        <f t="shared" si="559"/>
        <v>99</v>
      </c>
      <c r="BA252" s="66">
        <f t="shared" si="559"/>
        <v>99</v>
      </c>
      <c r="BB252" s="66">
        <f t="shared" si="559"/>
        <v>99</v>
      </c>
      <c r="BC252" s="66">
        <f t="shared" si="559"/>
        <v>99</v>
      </c>
      <c r="BD252" s="66">
        <f t="shared" si="559"/>
        <v>99</v>
      </c>
      <c r="BE252" s="66">
        <f t="shared" si="559"/>
        <v>99</v>
      </c>
      <c r="BF252" s="66">
        <f t="shared" si="559"/>
        <v>99</v>
      </c>
      <c r="BG252" s="66">
        <f t="shared" si="559"/>
        <v>99</v>
      </c>
      <c r="BH252" s="66">
        <f t="shared" si="559"/>
        <v>99</v>
      </c>
      <c r="BI252" s="66">
        <f t="shared" si="559"/>
        <v>99</v>
      </c>
      <c r="BJ252" s="66">
        <f t="shared" si="559"/>
        <v>99</v>
      </c>
      <c r="BK252" s="66">
        <f t="shared" si="559"/>
        <v>99</v>
      </c>
      <c r="BL252" s="66">
        <f t="shared" si="559"/>
        <v>99</v>
      </c>
      <c r="BM252" s="66">
        <f t="shared" si="559"/>
        <v>99</v>
      </c>
      <c r="BN252" s="66">
        <f t="shared" si="559"/>
        <v>99</v>
      </c>
      <c r="BO252" s="66">
        <f t="shared" si="559"/>
        <v>99</v>
      </c>
      <c r="BP252" s="66">
        <f t="shared" si="559"/>
        <v>99</v>
      </c>
      <c r="BQ252" s="66">
        <f t="shared" si="559"/>
        <v>99</v>
      </c>
      <c r="BR252" s="66">
        <f t="shared" si="559"/>
        <v>99</v>
      </c>
    </row>
    <row r="253" spans="5:70">
      <c r="E253" t="s">
        <v>16</v>
      </c>
      <c r="F253" t="s">
        <v>259</v>
      </c>
      <c r="G253" s="3" t="s">
        <v>424</v>
      </c>
      <c r="H253" s="92" t="e">
        <f>#REF!/#REF!</f>
        <v>#REF!</v>
      </c>
      <c r="I253" s="92" t="e">
        <f>#REF!/#REF!</f>
        <v>#REF!</v>
      </c>
      <c r="J253" s="92"/>
      <c r="K253" s="92">
        <f>G107/G$111</f>
        <v>1.0184768607920332E-2</v>
      </c>
      <c r="L253" s="92">
        <f t="shared" ref="L253:M255" si="564">I107/I$111</f>
        <v>8.0178296570570309E-3</v>
      </c>
      <c r="M253" s="92">
        <f t="shared" si="564"/>
        <v>5.5926061018178952E-3</v>
      </c>
      <c r="N253" s="92">
        <f>M107/M$111</f>
        <v>1.6211644719606416E-3</v>
      </c>
      <c r="O253" s="92">
        <f>M107/M$111</f>
        <v>1.6211644719606416E-3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260</v>
      </c>
      <c r="G254" s="3" t="s">
        <v>424</v>
      </c>
      <c r="H254" s="92" t="e">
        <f>#REF!/#REF!</f>
        <v>#REF!</v>
      </c>
      <c r="I254" s="92" t="e">
        <f>#REF!/#REF!</f>
        <v>#REF!</v>
      </c>
      <c r="J254" s="92"/>
      <c r="K254" s="92">
        <f>G108/G$111</f>
        <v>0.38722878293536411</v>
      </c>
      <c r="L254" s="92">
        <f t="shared" si="564"/>
        <v>0.33531821431831382</v>
      </c>
      <c r="M254" s="92">
        <f t="shared" si="564"/>
        <v>0.29784619694117953</v>
      </c>
      <c r="N254" s="92">
        <f>M108/M$111</f>
        <v>0.26395783246375454</v>
      </c>
      <c r="O254" s="92">
        <f>M108/M$111</f>
        <v>0.26395783246375454</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261</v>
      </c>
      <c r="G255" s="3" t="s">
        <v>424</v>
      </c>
      <c r="H255" s="92" t="e">
        <f>#REF!/#REF!</f>
        <v>#REF!</v>
      </c>
      <c r="I255" s="92" t="e">
        <f>#REF!/#REF!</f>
        <v>#REF!</v>
      </c>
      <c r="J255" s="92"/>
      <c r="K255" s="92">
        <f>G109/G$111</f>
        <v>0.49205730389406133</v>
      </c>
      <c r="L255" s="92">
        <f t="shared" si="564"/>
        <v>0.56083799899533793</v>
      </c>
      <c r="M255" s="92">
        <f t="shared" si="564"/>
        <v>0.60747854560926573</v>
      </c>
      <c r="N255" s="92">
        <f>M109/M$111</f>
        <v>0.66612786579962413</v>
      </c>
      <c r="O255" s="92">
        <f>M109/M$111</f>
        <v>0.66612786579962413</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423</v>
      </c>
      <c r="H256" s="92" t="e">
        <f>SUM(#REF!)/SUM(#REF!)</f>
        <v>#REF!</v>
      </c>
      <c r="I256" s="92" t="e">
        <f>SUM(#REF!)/SUM(#REF!)</f>
        <v>#REF!</v>
      </c>
      <c r="J256" s="92"/>
      <c r="K256" s="92">
        <f>SUM(G115:G117)/SUM(G$127:G$129)</f>
        <v>0.56762913717895114</v>
      </c>
      <c r="L256" s="92">
        <f>SUM(I115:I117)/SUM(I$127:I$129)</f>
        <v>0.52867981763849092</v>
      </c>
      <c r="M256" s="92">
        <f>SUM(J115:J117)/SUM(J$127:J$129)</f>
        <v>0.46818840992770761</v>
      </c>
      <c r="N256" s="92">
        <f>SUM(M115:M117)/SUM(M$127:M$129)</f>
        <v>0.2327107200628141</v>
      </c>
      <c r="O256" s="92">
        <f>SUM(M115:M117)/SUM(M$127:M$129)</f>
        <v>0.2327107200628141</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423</v>
      </c>
      <c r="H257" s="92" t="e">
        <f>SUM(#REF!)/SUM(#REF!)</f>
        <v>#REF!</v>
      </c>
      <c r="I257" s="92" t="e">
        <f>SUM(#REF!)/SUM(#REF!)</f>
        <v>#REF!</v>
      </c>
      <c r="J257" s="92"/>
      <c r="K257" s="92">
        <f>SUM(G119:G121)/SUM(G$127:G$129)</f>
        <v>0.30824092366572375</v>
      </c>
      <c r="L257" s="92">
        <f>SUM(I119:I121)/SUM(I$127:I$129)</f>
        <v>0.3157927851119145</v>
      </c>
      <c r="M257" s="92">
        <f>SUM(J119:J121)/SUM(J$127:J$129)</f>
        <v>0.35612924409584029</v>
      </c>
      <c r="N257" s="92">
        <f>SUM(M119:M121)/SUM(M$127:M$129)</f>
        <v>0.54116913398123989</v>
      </c>
      <c r="O257" s="92">
        <f>SUM(M119:M121)/SUM(M$127:M$129)</f>
        <v>0.54116913398123989</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423</v>
      </c>
      <c r="H258" s="92" t="e">
        <f>SUM(#REF!)/SUM(#REF!)</f>
        <v>#REF!</v>
      </c>
      <c r="I258" s="92" t="e">
        <f>SUM(#REF!)/SUM(#REF!)</f>
        <v>#REF!</v>
      </c>
      <c r="J258" s="92"/>
      <c r="K258" s="92">
        <f>SUM(G123:G125)/SUM(G$127:G$129)</f>
        <v>0.12412993915532514</v>
      </c>
      <c r="L258" s="92">
        <f>SUM(I123:I125)/SUM(I$127:I$129)</f>
        <v>0.15552739724959463</v>
      </c>
      <c r="M258" s="92">
        <f>SUM(J123:J125)/SUM(J$127:J$129)</f>
        <v>0.17568234597645221</v>
      </c>
      <c r="N258" s="92">
        <f>SUM(M123:M125)/SUM(M$127:M$129)</f>
        <v>0.22612014595594618</v>
      </c>
      <c r="O258" s="92">
        <f>SUM(M123:M125)/SUM(M$127:M$129)</f>
        <v>0.22612014595594618</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3" t="s">
        <v>424</v>
      </c>
      <c r="M260" t="s">
        <v>259</v>
      </c>
      <c r="N260" s="3" t="e">
        <f t="shared" ref="N260:N265" si="572">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425</v>
      </c>
      <c r="J261" t="s">
        <v>425</v>
      </c>
      <c r="K261" t="s">
        <v>420</v>
      </c>
      <c r="L261" s="3" t="s">
        <v>424</v>
      </c>
      <c r="M261" t="s">
        <v>260</v>
      </c>
      <c r="N261" s="3" t="e">
        <f t="shared" si="572"/>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425</v>
      </c>
      <c r="J262" t="s">
        <v>425</v>
      </c>
      <c r="K262" t="s">
        <v>421</v>
      </c>
      <c r="L262" s="3" t="s">
        <v>424</v>
      </c>
      <c r="M262" t="s">
        <v>261</v>
      </c>
      <c r="N262" s="3" t="e">
        <f t="shared" si="572"/>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426</v>
      </c>
      <c r="J263" t="s">
        <v>426</v>
      </c>
      <c r="K263" t="str">
        <f>K260</f>
        <v>low income</v>
      </c>
      <c r="L263" s="3" t="s">
        <v>423</v>
      </c>
      <c r="M263" t="str">
        <f>M260</f>
        <v>hhd-le</v>
      </c>
      <c r="N263" s="3" t="e">
        <f t="shared" si="572"/>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0.1892097123929837</v>
      </c>
      <c r="W263" s="3" cm="1">
        <f t="array" ref="W263">IF(Y$252=-1,X263,IF(Y$252=99,V263,IF(Y$252=0,INDEX($H256:$O256,0,Y$250),(INDEX($H256:$O256,0,Y$252+1)-INDEX($H256:$O256,0,Y$252))/(INDEX($H$249:$O$249,0,Y$252+1)-INDEX($H$249:$O$249,0,Y$252))+V263)))</f>
        <v>0.37841942478596741</v>
      </c>
      <c r="X263" s="3" cm="1">
        <f t="array" ref="X263">IF(Z$252=-1,Y263,IF(Z$252=99,W263,IF(Z$252=0,INDEX($H256:$O256,0,Z$250),(INDEX($H256:$O256,0,Z$252+1)-INDEX($H256:$O256,0,Z$252))/(INDEX($H$249:$O$249,0,Z$252+1)-INDEX($H$249:$O$249,0,Z$252))+W263)))</f>
        <v>0.56762913717895114</v>
      </c>
      <c r="Y263" s="3" cm="1">
        <f t="array" ref="Y263">IF(AA$252=-1,Z263,IF(AA$252=99,X263,IF(AA$252=0,INDEX($H256:$O256,0,AA$250),(INDEX($H256:$O256,0,AA$252+1)-INDEX($H256:$O256,0,AA$252))/(INDEX($H$249:$O$249,0,AA$252+1)-INDEX($H$249:$O$249,0,AA$252))+X263)))</f>
        <v>0.56373420522490514</v>
      </c>
      <c r="Z263" s="3" cm="1">
        <f t="array" ref="Z263">IF(AD$252=-1,AA263,IF(AD$252=99,Y263,IF(AD$252=0,INDEX($H256:$O256,0,AD$250),(INDEX($H256:$O256,0,AD$252+1)-INDEX($H256:$O256,0,AD$252))/(INDEX($H$249:$O$249,0,AD$252+1)-INDEX($H$249:$O$249,0,AD$252))+Y263)))</f>
        <v>0.55983927327085914</v>
      </c>
      <c r="AA263" s="3" cm="1">
        <f t="array" ref="AA263">IF(AE$252=-1,AD263,IF(AE$252=99,Z263,IF(AE$252=0,INDEX($H256:$O256,0,AE$250),(INDEX($H256:$O256,0,AE$252+1)-INDEX($H256:$O256,0,AE$252))/(INDEX($H$249:$O$249,0,AE$252+1)-INDEX($H$249:$O$249,0,AE$252))+Z263)))</f>
        <v>0.55594434131681314</v>
      </c>
      <c r="AB263" s="3" cm="1">
        <f t="array" ref="AB263">IF(AE$252=-1,AD263,IF(AE$252=99,Z263,IF(AE$252=0,INDEX($H256:$O256,0,AE$250),(INDEX($H256:$O256,0,AE$252+1)-INDEX($H256:$O256,0,AE$252))/(INDEX($H$249:$O$249,0,AE$252+1)-INDEX($H$249:$O$249,0,AE$252))+Z263)))</f>
        <v>0.55594434131681314</v>
      </c>
      <c r="AC263" s="3" cm="1">
        <f t="array" ref="AC263">IF(AE$252=-1,AD263,IF(AE$252=99,Z263,IF(AE$252=0,INDEX($H256:$O256,0,AE$250),(INDEX($H256:$O256,0,AE$252+1)-INDEX($H256:$O256,0,AE$252))/(INDEX($H$249:$O$249,0,AE$252+1)-INDEX($H$249:$O$249,0,AE$252))+Z263)))</f>
        <v>0.55594434131681314</v>
      </c>
      <c r="AD263" s="3" cm="1">
        <f t="array" ref="AD263">IF(AF$252=-1,AE263,IF(AF$252=99,AA263,IF(AF$252=0,INDEX($H256:$O256,0,AF$250),(INDEX($H256:$O256,0,AF$252+1)-INDEX($H256:$O256,0,AF$252))/(INDEX($H$249:$O$249,0,AF$252+1)-INDEX($H$249:$O$249,0,AF$252))+AA263)))</f>
        <v>0.55204940936276714</v>
      </c>
      <c r="AE263" s="3" cm="1">
        <f t="array" ref="AE263">IF(AG$252=-1,AF263,IF(AG$252=99,AD263,IF(AG$252=0,INDEX($H256:$O256,0,AG$250),(INDEX($H256:$O256,0,AG$252+1)-INDEX($H256:$O256,0,AG$252))/(INDEX($H$249:$O$249,0,AG$252+1)-INDEX($H$249:$O$249,0,AG$252))+AD263)))</f>
        <v>0.54815447740872114</v>
      </c>
      <c r="AF263" s="3" cm="1">
        <f t="array" ref="AF263">IF(AH$252=-1,AG263,IF(AH$252=99,AE263,IF(AH$252=0,INDEX($H256:$O256,0,AH$250),(INDEX($H256:$O256,0,AH$252+1)-INDEX($H256:$O256,0,AH$252))/(INDEX($H$249:$O$249,0,AH$252+1)-INDEX($H$249:$O$249,0,AH$252))+AE263)))</f>
        <v>0.54425954545467514</v>
      </c>
      <c r="AG263" s="3" cm="1">
        <f t="array" ref="AG263">IF(AI$252=-1,AH263,IF(AI$252=99,AF263,IF(AI$252=0,INDEX($H256:$O256,0,AI$250),(INDEX($H256:$O256,0,AI$252+1)-INDEX($H256:$O256,0,AI$252))/(INDEX($H$249:$O$249,0,AI$252+1)-INDEX($H$249:$O$249,0,AI$252))+AF263)))</f>
        <v>0.54036461350062914</v>
      </c>
      <c r="AH263" s="3" cm="1">
        <f t="array" ref="AH263">IF(AJ$252=-1,AI263,IF(AJ$252=99,AG263,IF(AJ$252=0,INDEX($H256:$O256,0,AJ$250),(INDEX($H256:$O256,0,AJ$252+1)-INDEX($H256:$O256,0,AJ$252))/(INDEX($H$249:$O$249,0,AJ$252+1)-INDEX($H$249:$O$249,0,AJ$252))+AG263)))</f>
        <v>0.53646968154658314</v>
      </c>
      <c r="AI263" s="3" cm="1">
        <f t="array" ref="AI263">IF(AK$252=-1,AJ263,IF(AK$252=99,AH263,IF(AK$252=0,INDEX($H256:$O256,0,AK$250),(INDEX($H256:$O256,0,AK$252+1)-INDEX($H256:$O256,0,AK$252))/(INDEX($H$249:$O$249,0,AK$252+1)-INDEX($H$249:$O$249,0,AK$252))+AH263)))</f>
        <v>0.53257474959253714</v>
      </c>
      <c r="AJ263" s="3" cm="1">
        <f t="array" ref="AJ263">IF(AL$252=-1,AK263,IF(AL$252=99,AI263,IF(AL$252=0,INDEX($H256:$O256,0,AL$250),(INDEX($H256:$O256,0,AL$252+1)-INDEX($H256:$O256,0,AL$252))/(INDEX($H$249:$O$249,0,AL$252+1)-INDEX($H$249:$O$249,0,AL$252))+AI263)))</f>
        <v>0.52867981763849092</v>
      </c>
      <c r="AK263" s="3" cm="1">
        <f t="array" ref="AK263">IF(AO$252=-1,AL263,IF(AO$252=99,AJ263,IF(AO$252=0,INDEX($H256:$O256,0,AO$250),(INDEX($H256:$O256,0,AO$252+1)-INDEX($H256:$O256,0,AO$252))/(INDEX($H$249:$O$249,0,AO$252+1)-INDEX($H$249:$O$249,0,AO$252))+AJ263)))</f>
        <v>0.52867981763849092</v>
      </c>
      <c r="AL263" s="3" cm="1">
        <f t="array" ref="AL263">IF(AP$252=-1,AO263,IF(AP$252=99,AK263,IF(AP$252=0,INDEX($H256:$O256,0,AP$250),(INDEX($H256:$O256,0,AP$252+1)-INDEX($H256:$O256,0,AP$252))/(INDEX($H$249:$O$249,0,AP$252+1)-INDEX($H$249:$O$249,0,AP$252))+AK263)))</f>
        <v>0.52867981763849092</v>
      </c>
      <c r="AM263" s="3" cm="1">
        <f t="array" ref="AM263">IF(AP$252=-1,AO263,IF(AP$252=99,AK263,IF(AP$252=0,INDEX($H256:$O256,0,AP$250),(INDEX($H256:$O256,0,AP$252+1)-INDEX($H256:$O256,0,AP$252))/(INDEX($H$249:$O$249,0,AP$252+1)-INDEX($H$249:$O$249,0,AP$252))+AK263)))</f>
        <v>0.52867981763849092</v>
      </c>
      <c r="AN263" s="3" cm="1">
        <f t="array" ref="AN263">IF(AP$252=-1,AO263,IF(AP$252=99,AK263,IF(AP$252=0,INDEX($H256:$O256,0,AP$250),(INDEX($H256:$O256,0,AP$252+1)-INDEX($H256:$O256,0,AP$252))/(INDEX($H$249:$O$249,0,AP$252+1)-INDEX($H$249:$O$249,0,AP$252))+AK263)))</f>
        <v>0.52867981763849092</v>
      </c>
      <c r="AO263" s="3" cm="1">
        <f t="array" ref="AO263">IF(AQ$252=-1,AP263,IF(AQ$252=99,AL263,IF(AQ$252=0,INDEX($H256:$O256,0,AQ$250),(INDEX($H256:$O256,0,AQ$252+1)-INDEX($H256:$O256,0,AQ$252))/(INDEX($H$249:$O$249,0,AQ$252+1)-INDEX($H$249:$O$249,0,AQ$252))+AL263)))</f>
        <v>0.52867981763849092</v>
      </c>
      <c r="AP263" s="3" cm="1">
        <f t="array" ref="AP263">IF(AR$252=-1,AQ263,IF(AR$252=99,AO263,IF(AR$252=0,INDEX($H256:$O256,0,AR$250),(INDEX($H256:$O256,0,AR$252+1)-INDEX($H256:$O256,0,AR$252))/(INDEX($H$249:$O$249,0,AR$252+1)-INDEX($H$249:$O$249,0,AR$252))+AO263)))</f>
        <v>0.52867981763849092</v>
      </c>
      <c r="AQ263" s="3" cm="1">
        <f t="array" ref="AQ263">IF(AS$252=-1,AR263,IF(AS$252=99,AP263,IF(AS$252=0,INDEX($H256:$O256,0,AS$250),(INDEX($H256:$O256,0,AS$252+1)-INDEX($H256:$O256,0,AS$252))/(INDEX($H$249:$O$249,0,AS$252+1)-INDEX($H$249:$O$249,0,AS$252))+AP263)))</f>
        <v>0.52867981763849092</v>
      </c>
      <c r="AR263" s="3" cm="1">
        <f t="array" ref="AR263">IF(AT$252=-1,AS263,IF(AT$252=99,AQ263,IF(AT$252=0,INDEX($H256:$O256,0,AT$250),(INDEX($H256:$O256,0,AT$252+1)-INDEX($H256:$O256,0,AT$252))/(INDEX($H$249:$O$249,0,AT$252+1)-INDEX($H$249:$O$249,0,AT$252))+AQ263)))</f>
        <v>0.52867981763849092</v>
      </c>
      <c r="AS263" s="3" cm="1">
        <f t="array" ref="AS263">IF(AV$252=-1,AT263,IF(AV$252=99,AR263,IF(AV$252=0,INDEX($H256:$O256,0,AV$250),(INDEX($H256:$O256,0,AV$252+1)-INDEX($H256:$O256,0,AV$252))/(INDEX($H$249:$O$249,0,AV$252+1)-INDEX($H$249:$O$249,0,AV$252))+AR263)))</f>
        <v>0.52867981763849092</v>
      </c>
      <c r="AT263" s="3" cm="1">
        <f t="array" ref="AT263">IF(AX$252=-1,AV263,IF(AX$252=99,AS263,IF(AX$252=0,INDEX($H256:$O256,0,AX$250),(INDEX($H256:$O256,0,AX$252+1)-INDEX($H256:$O256,0,AX$252))/(INDEX($H$249:$O$249,0,AX$252+1)-INDEX($H$249:$O$249,0,AX$252))+AS263)))</f>
        <v>0.52867981763849092</v>
      </c>
      <c r="AU263" s="3" cm="1">
        <f t="array" ref="AU263">IF(AX$252=-1,AW263,IF(AX$252=99,AS263,IF(AX$252=0,INDEX($H256:$O256,0,AX$250),(INDEX($H256:$O256,0,AX$252+1)-INDEX($H256:$O256,0,AX$252))/(INDEX($H$249:$O$249,0,AX$252+1)-INDEX($H$249:$O$249,0,AX$252))+AS263)))</f>
        <v>0.52867981763849092</v>
      </c>
      <c r="AV263" s="3" cm="1">
        <f t="array" ref="AV263">IF(AY$252=-1,AX263,IF(AY$252=99,AT263,IF(AY$252=0,INDEX($H256:$O256,0,AY$250),(INDEX($H256:$O256,0,AY$252+1)-INDEX($H256:$O256,0,AY$252))/(INDEX($H$249:$O$249,0,AY$252+1)-INDEX($H$249:$O$249,0,AY$252))+AT263)))</f>
        <v>0.52867981763849092</v>
      </c>
      <c r="AW263" s="3" cm="1">
        <f t="array" ref="AW263">IF(AZ$252=-1,AY263,IF(AZ$252=99,AV263,IF(AZ$252=0,INDEX($H256:$O256,0,AZ$250),(INDEX($H256:$O256,0,AZ$252+1)-INDEX($H256:$O256,0,AZ$252))/(INDEX($H$249:$O$249,0,AZ$252+1)-INDEX($H$249:$O$249,0,AZ$252))+AV263)))</f>
        <v>0.52867981763849092</v>
      </c>
      <c r="AX263" s="3" cm="1">
        <f t="array" ref="AX263">IF(AZ$252=-1,AY263,IF(AZ$252=99,AV263,IF(AZ$252=0,INDEX($H256:$O256,0,AZ$250),(INDEX($H256:$O256,0,AZ$252+1)-INDEX($H256:$O256,0,AZ$252))/(INDEX($H$249:$O$249,0,AZ$252+1)-INDEX($H$249:$O$249,0,AZ$252))+AV263)))</f>
        <v>0.52867981763849092</v>
      </c>
      <c r="AY263" s="3" cm="1">
        <f t="array" ref="AY263">IF(BA$252=-1,AZ263,IF(BA$252=99,AX263,IF(BA$252=0,INDEX($H256:$O256,0,BA$250),(INDEX($H256:$O256,0,BA$252+1)-INDEX($H256:$O256,0,BA$252))/(INDEX($H$249:$O$249,0,BA$252+1)-INDEX($H$249:$O$249,0,BA$252))+AX263)))</f>
        <v>0.52867981763849092</v>
      </c>
      <c r="AZ263" s="3" cm="1">
        <f t="array" ref="AZ263">IF(BB$252=-1,BA263,IF(BB$252=99,AY263,IF(BB$252=0,INDEX($H256:$O256,0,BB$250),(INDEX($H256:$O256,0,BB$252+1)-INDEX($H256:$O256,0,BB$252))/(INDEX($H$249:$O$249,0,BB$252+1)-INDEX($H$249:$O$249,0,BB$252))+AY263)))</f>
        <v>0.52867981763849092</v>
      </c>
      <c r="BA263" s="3" cm="1">
        <f t="array" ref="BA263">IF(BC$252=-1,BB263,IF(BC$252=99,AZ263,IF(BC$252=0,INDEX($H256:$O256,0,BC$250),(INDEX($H256:$O256,0,BC$252+1)-INDEX($H256:$O256,0,BC$252))/(INDEX($H$249:$O$249,0,BC$252+1)-INDEX($H$249:$O$249,0,BC$252))+AZ263)))</f>
        <v>0.52867981763849092</v>
      </c>
      <c r="BB263" s="3" cm="1">
        <f t="array" ref="BB263">IF(BD$252=-1,BC263,IF(BD$252=99,BA263,IF(BD$252=0,INDEX($H256:$O256,0,BD$250),(INDEX($H256:$O256,0,BD$252+1)-INDEX($H256:$O256,0,BD$252))/(INDEX($H$249:$O$249,0,BD$252+1)-INDEX($H$249:$O$249,0,BD$252))+BA263)))</f>
        <v>0.52867981763849092</v>
      </c>
      <c r="BC263" s="3" cm="1">
        <f t="array" ref="BC263">IF(BE$252=-1,BD263,IF(BE$252=99,BB263,IF(BE$252=0,INDEX($H256:$O256,0,BE$250),(INDEX($H256:$O256,0,BE$252+1)-INDEX($H256:$O256,0,BE$252))/(INDEX($H$249:$O$249,0,BE$252+1)-INDEX($H$249:$O$249,0,BE$252))+BB263)))</f>
        <v>0.52867981763849092</v>
      </c>
      <c r="BD263" s="3" cm="1">
        <f t="array" ref="BD263">IF(BF$252=-1,BI263,IF(BF$252=99,BC263,IF(BF$252=0,INDEX($H256:$O256,0,BF$250),(INDEX($H256:$O256,0,BF$252+1)-INDEX($H256:$O256,0,BF$252))/(INDEX($H$249:$O$249,0,BF$252+1)-INDEX($H$249:$O$249,0,BF$252))+BC263)))</f>
        <v>0.52867981763849092</v>
      </c>
      <c r="BE263" s="3" cm="1">
        <f t="array" ref="BE263">IF(BG$252=-1,BJ263,IF(BG$252=99,BD263,IF(BG$252=0,INDEX($H256:$O256,0,BG$250),(INDEX($H256:$O256,0,BG$252+1)-INDEX($H256:$O256,0,BG$252))/(INDEX($H$249:$O$249,0,BG$252+1)-INDEX($H$249:$O$249,0,BG$252))+BD263)))</f>
        <v>0.52867981763849092</v>
      </c>
      <c r="BF263" s="3" cm="1">
        <f t="array" ref="BF263">IF(BH$252=-1,BK263,IF(BH$252=99,BE263,IF(BH$252=0,INDEX($H256:$O256,0,BH$250),(INDEX($H256:$O256,0,BH$252+1)-INDEX($H256:$O256,0,BH$252))/(INDEX($H$249:$O$249,0,BH$252+1)-INDEX($H$249:$O$249,0,BH$252))+BE263)))</f>
        <v>0.52867981763849092</v>
      </c>
      <c r="BG263" s="3" cm="1">
        <f t="array" ref="BG263">IF(BI$252=-1,BL263,IF(BI$252=99,BF263,IF(BI$252=0,INDEX($H256:$O256,0,BI$250),(INDEX($H256:$O256,0,BI$252+1)-INDEX($H256:$O256,0,BI$252))/(INDEX($H$249:$O$249,0,BI$252+1)-INDEX($H$249:$O$249,0,BI$252))+BF263)))</f>
        <v>0.52867981763849092</v>
      </c>
      <c r="BH263" s="3" cm="1">
        <f t="array" ref="BH263">IF(BJ$252=-1,BM263,IF(BJ$252=99,BG263,IF(BJ$252=0,INDEX($H256:$O256,0,BJ$250),(INDEX($H256:$O256,0,BJ$252+1)-INDEX($H256:$O256,0,BJ$252))/(INDEX($H$249:$O$249,0,BJ$252+1)-INDEX($H$249:$O$249,0,BJ$252))+BG263)))</f>
        <v>0.52867981763849092</v>
      </c>
      <c r="BI263" s="3" cm="1">
        <f t="array" ref="BI263">IF(BK$252=-1,BN263,IF(BK$252=99,BH263,IF(BK$252=0,INDEX($H256:$O256,0,BK$250),(INDEX($H256:$O256,0,BK$252+1)-INDEX($H256:$O256,0,BK$252))/(INDEX($H$249:$O$249,0,BK$252+1)-INDEX($H$249:$O$249,0,BK$252))+BH263)))</f>
        <v>0.52867981763849092</v>
      </c>
      <c r="BJ263" s="3" cm="1">
        <f t="array" ref="BJ263">IF(BH$252=-1,BL263,IF(BH$252=99,BI263,IF(BH$252=0,INDEX($H256:$O256,0,BH$250),(INDEX($H256:$O256,0,BH$252+1)-INDEX($H256:$O256,0,BH$252))/(INDEX($H$249:$O$249,0,BH$252+1)-INDEX($H$249:$O$249,0,BH$252))+BI263)))</f>
        <v>0.52867981763849092</v>
      </c>
      <c r="BK263" s="3" cm="1">
        <f t="array" ref="BK263">IF(BI$252=-1,BM263,IF(BI$252=99,BJ263,IF(BI$252=0,INDEX($H256:$O256,0,BI$250),(INDEX($H256:$O256,0,BI$252+1)-INDEX($H256:$O256,0,BI$252))/(INDEX($H$249:$O$249,0,BI$252+1)-INDEX($H$249:$O$249,0,BI$252))+BJ263)))</f>
        <v>0.52867981763849092</v>
      </c>
      <c r="BL263" s="3" cm="1">
        <f t="array" ref="BL263">IF(BJ$252=-1,BN263,IF(BJ$252=99,BK263,IF(BJ$252=0,INDEX($H256:$O256,0,BJ$250),(INDEX($H256:$O256,0,BJ$252+1)-INDEX($H256:$O256,0,BJ$252))/(INDEX($H$249:$O$249,0,BJ$252+1)-INDEX($H$249:$O$249,0,BJ$252))+BK263)))</f>
        <v>0.52867981763849092</v>
      </c>
      <c r="BM263" s="3" cm="1">
        <f t="array" ref="BM263">IF(BK$252=-1,BO263,IF(BK$252=99,BL263,IF(BK$252=0,INDEX($H256:$O256,0,BK$250),(INDEX($H256:$O256,0,BK$252+1)-INDEX($H256:$O256,0,BK$252))/(INDEX($H$249:$O$249,0,BK$252+1)-INDEX($H$249:$O$249,0,BK$252))+BL263)))</f>
        <v>0.52867981763849092</v>
      </c>
      <c r="BN263" s="3" cm="1">
        <f t="array" ref="BN263">IF(BL$252=-1,BP263,IF(BL$252=99,BM263,IF(BL$252=0,INDEX($H256:$O256,0,BL$250),(INDEX($H256:$O256,0,BL$252+1)-INDEX($H256:$O256,0,BL$252))/(INDEX($H$249:$O$249,0,BL$252+1)-INDEX($H$249:$O$249,0,BL$252))+BM263)))</f>
        <v>0.52867981763849092</v>
      </c>
      <c r="BO263" s="3" cm="1">
        <f t="array" ref="BO263">IF(BM$252=-1,BQ263,IF(BM$252=99,BN263,IF(BM$252=0,INDEX($H256:$O256,0,BM$250),(INDEX($H256:$O256,0,BM$252+1)-INDEX($H256:$O256,0,BM$252))/(INDEX($H$249:$O$249,0,BM$252+1)-INDEX($H$249:$O$249,0,BM$252))+BN263)))</f>
        <v>0.52867981763849092</v>
      </c>
      <c r="BP263" s="3" cm="1">
        <f t="array" ref="BP263">IF(BN$252=-1,BR263,IF(BN$252=99,BO263,IF(BN$252=0,INDEX($H256:$O256,0,BN$250),(INDEX($H256:$O256,0,BN$252+1)-INDEX($H256:$O256,0,BN$252))/(INDEX($H$249:$O$249,0,BN$252+1)-INDEX($H$249:$O$249,0,BN$252))+BO263)))</f>
        <v>0.52867981763849092</v>
      </c>
    </row>
    <row r="264" spans="5:68">
      <c r="E264" t="s">
        <v>16</v>
      </c>
      <c r="I264" t="s">
        <v>426</v>
      </c>
      <c r="J264" t="s">
        <v>426</v>
      </c>
      <c r="K264" t="str">
        <f>K261</f>
        <v>medium income</v>
      </c>
      <c r="L264" s="3" t="s">
        <v>423</v>
      </c>
      <c r="M264" t="str">
        <f>M261</f>
        <v>hhd-me</v>
      </c>
      <c r="N264" s="3" t="e">
        <f t="shared" si="572"/>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0.10274697455524125</v>
      </c>
      <c r="W264" s="3" cm="1">
        <f t="array" ref="W264">IF(Y$252=-1,X264,IF(Y$252=99,V264,IF(Y$252=0,INDEX($H257:$O257,0,Y$250),(INDEX($H257:$O257,0,Y$252+1)-INDEX($H257:$O257,0,Y$252))/(INDEX($H$249:$O$249,0,Y$252+1)-INDEX($H$249:$O$249,0,Y$252))+V264)))</f>
        <v>0.20549394911048249</v>
      </c>
      <c r="X264" s="3" cm="1">
        <f t="array" ref="X264">IF(Z$252=-1,Y264,IF(Z$252=99,W264,IF(Z$252=0,INDEX($H257:$O257,0,Z$250),(INDEX($H257:$O257,0,Z$252+1)-INDEX($H257:$O257,0,Z$252))/(INDEX($H$249:$O$249,0,Z$252+1)-INDEX($H$249:$O$249,0,Z$252))+W264)))</f>
        <v>0.30824092366572375</v>
      </c>
      <c r="Y264" s="3" cm="1">
        <f t="array" ref="Y264">IF(AA$252=-1,Z264,IF(AA$252=99,X264,IF(AA$252=0,INDEX($H257:$O257,0,AA$250),(INDEX($H257:$O257,0,AA$252+1)-INDEX($H257:$O257,0,AA$252))/(INDEX($H$249:$O$249,0,AA$252+1)-INDEX($H$249:$O$249,0,AA$252))+X264)))</f>
        <v>0.30899610981034281</v>
      </c>
      <c r="Z264" s="3" cm="1">
        <f t="array" ref="Z264">IF(AD$252=-1,AA264,IF(AD$252=99,Y264,IF(AD$252=0,INDEX($H257:$O257,0,AD$250),(INDEX($H257:$O257,0,AD$252+1)-INDEX($H257:$O257,0,AD$252))/(INDEX($H$249:$O$249,0,AD$252+1)-INDEX($H$249:$O$249,0,AD$252))+Y264)))</f>
        <v>0.30975129595496187</v>
      </c>
      <c r="AA264" s="3" cm="1">
        <f t="array" ref="AA264">IF(AE$252=-1,AD264,IF(AE$252=99,Z264,IF(AE$252=0,INDEX($H257:$O257,0,AE$250),(INDEX($H257:$O257,0,AE$252+1)-INDEX($H257:$O257,0,AE$252))/(INDEX($H$249:$O$249,0,AE$252+1)-INDEX($H$249:$O$249,0,AE$252))+Z264)))</f>
        <v>0.31050648209958093</v>
      </c>
      <c r="AB264" s="3" cm="1">
        <f t="array" ref="AB264">IF(AE$252=-1,AD264,IF(AE$252=99,Z264,IF(AE$252=0,INDEX($H257:$O257,0,AE$250),(INDEX($H257:$O257,0,AE$252+1)-INDEX($H257:$O257,0,AE$252))/(INDEX($H$249:$O$249,0,AE$252+1)-INDEX($H$249:$O$249,0,AE$252))+Z264)))</f>
        <v>0.31050648209958093</v>
      </c>
      <c r="AC264" s="3" cm="1">
        <f t="array" ref="AC264">IF(AE$252=-1,AD264,IF(AE$252=99,Z264,IF(AE$252=0,INDEX($H257:$O257,0,AE$250),(INDEX($H257:$O257,0,AE$252+1)-INDEX($H257:$O257,0,AE$252))/(INDEX($H$249:$O$249,0,AE$252+1)-INDEX($H$249:$O$249,0,AE$252))+Z264)))</f>
        <v>0.31050648209958093</v>
      </c>
      <c r="AD264" s="3" cm="1">
        <f t="array" ref="AD264">IF(AF$252=-1,AE264,IF(AF$252=99,AA264,IF(AF$252=0,INDEX($H257:$O257,0,AF$250),(INDEX($H257:$O257,0,AF$252+1)-INDEX($H257:$O257,0,AF$252))/(INDEX($H$249:$O$249,0,AF$252+1)-INDEX($H$249:$O$249,0,AF$252))+AA264)))</f>
        <v>0.31126166824419998</v>
      </c>
      <c r="AE264" s="3" cm="1">
        <f t="array" ref="AE264">IF(AG$252=-1,AF264,IF(AG$252=99,AD264,IF(AG$252=0,INDEX($H257:$O257,0,AG$250),(INDEX($H257:$O257,0,AG$252+1)-INDEX($H257:$O257,0,AG$252))/(INDEX($H$249:$O$249,0,AG$252+1)-INDEX($H$249:$O$249,0,AG$252))+AD264)))</f>
        <v>0.31201685438881904</v>
      </c>
      <c r="AF264" s="3" cm="1">
        <f t="array" ref="AF264">IF(AH$252=-1,AG264,IF(AH$252=99,AE264,IF(AH$252=0,INDEX($H257:$O257,0,AH$250),(INDEX($H257:$O257,0,AH$252+1)-INDEX($H257:$O257,0,AH$252))/(INDEX($H$249:$O$249,0,AH$252+1)-INDEX($H$249:$O$249,0,AH$252))+AE264)))</f>
        <v>0.3127720405334381</v>
      </c>
      <c r="AG264" s="3" cm="1">
        <f t="array" ref="AG264">IF(AI$252=-1,AH264,IF(AI$252=99,AF264,IF(AI$252=0,INDEX($H257:$O257,0,AI$250),(INDEX($H257:$O257,0,AI$252+1)-INDEX($H257:$O257,0,AI$252))/(INDEX($H$249:$O$249,0,AI$252+1)-INDEX($H$249:$O$249,0,AI$252))+AF264)))</f>
        <v>0.31352722667805716</v>
      </c>
      <c r="AH264" s="3" cm="1">
        <f t="array" ref="AH264">IF(AJ$252=-1,AI264,IF(AJ$252=99,AG264,IF(AJ$252=0,INDEX($H257:$O257,0,AJ$250),(INDEX($H257:$O257,0,AJ$252+1)-INDEX($H257:$O257,0,AJ$252))/(INDEX($H$249:$O$249,0,AJ$252+1)-INDEX($H$249:$O$249,0,AJ$252))+AG264)))</f>
        <v>0.31428241282267622</v>
      </c>
      <c r="AI264" s="3" cm="1">
        <f t="array" ref="AI264">IF(AK$252=-1,AJ264,IF(AK$252=99,AH264,IF(AK$252=0,INDEX($H257:$O257,0,AK$250),(INDEX($H257:$O257,0,AK$252+1)-INDEX($H257:$O257,0,AK$252))/(INDEX($H$249:$O$249,0,AK$252+1)-INDEX($H$249:$O$249,0,AK$252))+AH264)))</f>
        <v>0.31503759896729527</v>
      </c>
      <c r="AJ264" s="3" cm="1">
        <f t="array" ref="AJ264">IF(AL$252=-1,AK264,IF(AL$252=99,AI264,IF(AL$252=0,INDEX($H257:$O257,0,AL$250),(INDEX($H257:$O257,0,AL$252+1)-INDEX($H257:$O257,0,AL$252))/(INDEX($H$249:$O$249,0,AL$252+1)-INDEX($H$249:$O$249,0,AL$252))+AI264)))</f>
        <v>0.3157927851119145</v>
      </c>
      <c r="AK264" s="3" cm="1">
        <f t="array" ref="AK264">IF(AO$252=-1,AL264,IF(AO$252=99,AJ264,IF(AO$252=0,INDEX($H257:$O257,0,AO$250),(INDEX($H257:$O257,0,AO$252+1)-INDEX($H257:$O257,0,AO$252))/(INDEX($H$249:$O$249,0,AO$252+1)-INDEX($H$249:$O$249,0,AO$252))+AJ264)))</f>
        <v>0.3157927851119145</v>
      </c>
      <c r="AL264" s="3" cm="1">
        <f t="array" ref="AL264">IF(AP$252=-1,AO264,IF(AP$252=99,AK264,IF(AP$252=0,INDEX($H257:$O257,0,AP$250),(INDEX($H257:$O257,0,AP$252+1)-INDEX($H257:$O257,0,AP$252))/(INDEX($H$249:$O$249,0,AP$252+1)-INDEX($H$249:$O$249,0,AP$252))+AK264)))</f>
        <v>0.3157927851119145</v>
      </c>
      <c r="AM264" s="3" cm="1">
        <f t="array" ref="AM264">IF(AP$252=-1,AO264,IF(AP$252=99,AK264,IF(AP$252=0,INDEX($H257:$O257,0,AP$250),(INDEX($H257:$O257,0,AP$252+1)-INDEX($H257:$O257,0,AP$252))/(INDEX($H$249:$O$249,0,AP$252+1)-INDEX($H$249:$O$249,0,AP$252))+AK264)))</f>
        <v>0.3157927851119145</v>
      </c>
      <c r="AN264" s="3" cm="1">
        <f t="array" ref="AN264">IF(AP$252=-1,AO264,IF(AP$252=99,AK264,IF(AP$252=0,INDEX($H257:$O257,0,AP$250),(INDEX($H257:$O257,0,AP$252+1)-INDEX($H257:$O257,0,AP$252))/(INDEX($H$249:$O$249,0,AP$252+1)-INDEX($H$249:$O$249,0,AP$252))+AK264)))</f>
        <v>0.3157927851119145</v>
      </c>
      <c r="AO264" s="3" cm="1">
        <f t="array" ref="AO264">IF(AQ$252=-1,AP264,IF(AQ$252=99,AL264,IF(AQ$252=0,INDEX($H257:$O257,0,AQ$250),(INDEX($H257:$O257,0,AQ$252+1)-INDEX($H257:$O257,0,AQ$252))/(INDEX($H$249:$O$249,0,AQ$252+1)-INDEX($H$249:$O$249,0,AQ$252))+AL264)))</f>
        <v>0.3157927851119145</v>
      </c>
      <c r="AP264" s="3" cm="1">
        <f t="array" ref="AP264">IF(AR$252=-1,AQ264,IF(AR$252=99,AO264,IF(AR$252=0,INDEX($H257:$O257,0,AR$250),(INDEX($H257:$O257,0,AR$252+1)-INDEX($H257:$O257,0,AR$252))/(INDEX($H$249:$O$249,0,AR$252+1)-INDEX($H$249:$O$249,0,AR$252))+AO264)))</f>
        <v>0.3157927851119145</v>
      </c>
      <c r="AQ264" s="3" cm="1">
        <f t="array" ref="AQ264">IF(AS$252=-1,AR264,IF(AS$252=99,AP264,IF(AS$252=0,INDEX($H257:$O257,0,AS$250),(INDEX($H257:$O257,0,AS$252+1)-INDEX($H257:$O257,0,AS$252))/(INDEX($H$249:$O$249,0,AS$252+1)-INDEX($H$249:$O$249,0,AS$252))+AP264)))</f>
        <v>0.3157927851119145</v>
      </c>
      <c r="AR264" s="3" cm="1">
        <f t="array" ref="AR264">IF(AT$252=-1,AS264,IF(AT$252=99,AQ264,IF(AT$252=0,INDEX($H257:$O257,0,AT$250),(INDEX($H257:$O257,0,AT$252+1)-INDEX($H257:$O257,0,AT$252))/(INDEX($H$249:$O$249,0,AT$252+1)-INDEX($H$249:$O$249,0,AT$252))+AQ264)))</f>
        <v>0.3157927851119145</v>
      </c>
      <c r="AS264" s="3" cm="1">
        <f t="array" ref="AS264">IF(AV$252=-1,AT264,IF(AV$252=99,AR264,IF(AV$252=0,INDEX($H257:$O257,0,AV$250),(INDEX($H257:$O257,0,AV$252+1)-INDEX($H257:$O257,0,AV$252))/(INDEX($H$249:$O$249,0,AV$252+1)-INDEX($H$249:$O$249,0,AV$252))+AR264)))</f>
        <v>0.3157927851119145</v>
      </c>
      <c r="AT264" s="3" cm="1">
        <f t="array" ref="AT264">IF(AX$252=-1,AV264,IF(AX$252=99,AS264,IF(AX$252=0,INDEX($H257:$O257,0,AX$250),(INDEX($H257:$O257,0,AX$252+1)-INDEX($H257:$O257,0,AX$252))/(INDEX($H$249:$O$249,0,AX$252+1)-INDEX($H$249:$O$249,0,AX$252))+AS264)))</f>
        <v>0.3157927851119145</v>
      </c>
      <c r="AU264" s="3" cm="1">
        <f t="array" ref="AU264">IF(AX$252=-1,AW264,IF(AX$252=99,AS264,IF(AX$252=0,INDEX($H257:$O257,0,AX$250),(INDEX($H257:$O257,0,AX$252+1)-INDEX($H257:$O257,0,AX$252))/(INDEX($H$249:$O$249,0,AX$252+1)-INDEX($H$249:$O$249,0,AX$252))+AS264)))</f>
        <v>0.3157927851119145</v>
      </c>
      <c r="AV264" s="3" cm="1">
        <f t="array" ref="AV264">IF(AY$252=-1,AX264,IF(AY$252=99,AT264,IF(AY$252=0,INDEX($H257:$O257,0,AY$250),(INDEX($H257:$O257,0,AY$252+1)-INDEX($H257:$O257,0,AY$252))/(INDEX($H$249:$O$249,0,AY$252+1)-INDEX($H$249:$O$249,0,AY$252))+AT264)))</f>
        <v>0.3157927851119145</v>
      </c>
      <c r="AW264" s="3" cm="1">
        <f t="array" ref="AW264">IF(AZ$252=-1,AY264,IF(AZ$252=99,AV264,IF(AZ$252=0,INDEX($H257:$O257,0,AZ$250),(INDEX($H257:$O257,0,AZ$252+1)-INDEX($H257:$O257,0,AZ$252))/(INDEX($H$249:$O$249,0,AZ$252+1)-INDEX($H$249:$O$249,0,AZ$252))+AV264)))</f>
        <v>0.3157927851119145</v>
      </c>
      <c r="AX264" s="3" cm="1">
        <f t="array" ref="AX264">IF(AZ$252=-1,AY264,IF(AZ$252=99,AV264,IF(AZ$252=0,INDEX($H257:$O257,0,AZ$250),(INDEX($H257:$O257,0,AZ$252+1)-INDEX($H257:$O257,0,AZ$252))/(INDEX($H$249:$O$249,0,AZ$252+1)-INDEX($H$249:$O$249,0,AZ$252))+AV264)))</f>
        <v>0.3157927851119145</v>
      </c>
      <c r="AY264" s="3" cm="1">
        <f t="array" ref="AY264">IF(BA$252=-1,AZ264,IF(BA$252=99,AX264,IF(BA$252=0,INDEX($H257:$O257,0,BA$250),(INDEX($H257:$O257,0,BA$252+1)-INDEX($H257:$O257,0,BA$252))/(INDEX($H$249:$O$249,0,BA$252+1)-INDEX($H$249:$O$249,0,BA$252))+AX264)))</f>
        <v>0.3157927851119145</v>
      </c>
      <c r="AZ264" s="3" cm="1">
        <f t="array" ref="AZ264">IF(BB$252=-1,BA264,IF(BB$252=99,AY264,IF(BB$252=0,INDEX($H257:$O257,0,BB$250),(INDEX($H257:$O257,0,BB$252+1)-INDEX($H257:$O257,0,BB$252))/(INDEX($H$249:$O$249,0,BB$252+1)-INDEX($H$249:$O$249,0,BB$252))+AY264)))</f>
        <v>0.3157927851119145</v>
      </c>
      <c r="BA264" s="3" cm="1">
        <f t="array" ref="BA264">IF(BC$252=-1,BB264,IF(BC$252=99,AZ264,IF(BC$252=0,INDEX($H257:$O257,0,BC$250),(INDEX($H257:$O257,0,BC$252+1)-INDEX($H257:$O257,0,BC$252))/(INDEX($H$249:$O$249,0,BC$252+1)-INDEX($H$249:$O$249,0,BC$252))+AZ264)))</f>
        <v>0.3157927851119145</v>
      </c>
      <c r="BB264" s="3" cm="1">
        <f t="array" ref="BB264">IF(BD$252=-1,BC264,IF(BD$252=99,BA264,IF(BD$252=0,INDEX($H257:$O257,0,BD$250),(INDEX($H257:$O257,0,BD$252+1)-INDEX($H257:$O257,0,BD$252))/(INDEX($H$249:$O$249,0,BD$252+1)-INDEX($H$249:$O$249,0,BD$252))+BA264)))</f>
        <v>0.3157927851119145</v>
      </c>
      <c r="BC264" s="3" cm="1">
        <f t="array" ref="BC264">IF(BE$252=-1,BD264,IF(BE$252=99,BB264,IF(BE$252=0,INDEX($H257:$O257,0,BE$250),(INDEX($H257:$O257,0,BE$252+1)-INDEX($H257:$O257,0,BE$252))/(INDEX($H$249:$O$249,0,BE$252+1)-INDEX($H$249:$O$249,0,BE$252))+BB264)))</f>
        <v>0.3157927851119145</v>
      </c>
      <c r="BD264" s="3" cm="1">
        <f t="array" ref="BD264">IF(BF$252=-1,BI264,IF(BF$252=99,BC264,IF(BF$252=0,INDEX($H257:$O257,0,BF$250),(INDEX($H257:$O257,0,BF$252+1)-INDEX($H257:$O257,0,BF$252))/(INDEX($H$249:$O$249,0,BF$252+1)-INDEX($H$249:$O$249,0,BF$252))+BC264)))</f>
        <v>0.3157927851119145</v>
      </c>
      <c r="BE264" s="3" cm="1">
        <f t="array" ref="BE264">IF(BG$252=-1,BJ264,IF(BG$252=99,BD264,IF(BG$252=0,INDEX($H257:$O257,0,BG$250),(INDEX($H257:$O257,0,BG$252+1)-INDEX($H257:$O257,0,BG$252))/(INDEX($H$249:$O$249,0,BG$252+1)-INDEX($H$249:$O$249,0,BG$252))+BD264)))</f>
        <v>0.3157927851119145</v>
      </c>
      <c r="BF264" s="3" cm="1">
        <f t="array" ref="BF264">IF(BH$252=-1,BK264,IF(BH$252=99,BE264,IF(BH$252=0,INDEX($H257:$O257,0,BH$250),(INDEX($H257:$O257,0,BH$252+1)-INDEX($H257:$O257,0,BH$252))/(INDEX($H$249:$O$249,0,BH$252+1)-INDEX($H$249:$O$249,0,BH$252))+BE264)))</f>
        <v>0.3157927851119145</v>
      </c>
      <c r="BG264" s="3" cm="1">
        <f t="array" ref="BG264">IF(BI$252=-1,BL264,IF(BI$252=99,BF264,IF(BI$252=0,INDEX($H257:$O257,0,BI$250),(INDEX($H257:$O257,0,BI$252+1)-INDEX($H257:$O257,0,BI$252))/(INDEX($H$249:$O$249,0,BI$252+1)-INDEX($H$249:$O$249,0,BI$252))+BF264)))</f>
        <v>0.3157927851119145</v>
      </c>
      <c r="BH264" s="3" cm="1">
        <f t="array" ref="BH264">IF(BJ$252=-1,BM264,IF(BJ$252=99,BG264,IF(BJ$252=0,INDEX($H257:$O257,0,BJ$250),(INDEX($H257:$O257,0,BJ$252+1)-INDEX($H257:$O257,0,BJ$252))/(INDEX($H$249:$O$249,0,BJ$252+1)-INDEX($H$249:$O$249,0,BJ$252))+BG264)))</f>
        <v>0.3157927851119145</v>
      </c>
      <c r="BI264" s="3" cm="1">
        <f t="array" ref="BI264">IF(BK$252=-1,BN264,IF(BK$252=99,BH264,IF(BK$252=0,INDEX($H257:$O257,0,BK$250),(INDEX($H257:$O257,0,BK$252+1)-INDEX($H257:$O257,0,BK$252))/(INDEX($H$249:$O$249,0,BK$252+1)-INDEX($H$249:$O$249,0,BK$252))+BH264)))</f>
        <v>0.3157927851119145</v>
      </c>
      <c r="BJ264" s="3" cm="1">
        <f t="array" ref="BJ264">IF(BH$252=-1,BL264,IF(BH$252=99,BI264,IF(BH$252=0,INDEX($H257:$O257,0,BH$250),(INDEX($H257:$O257,0,BH$252+1)-INDEX($H257:$O257,0,BH$252))/(INDEX($H$249:$O$249,0,BH$252+1)-INDEX($H$249:$O$249,0,BH$252))+BI264)))</f>
        <v>0.3157927851119145</v>
      </c>
      <c r="BK264" s="3" cm="1">
        <f t="array" ref="BK264">IF(BI$252=-1,BM264,IF(BI$252=99,BJ264,IF(BI$252=0,INDEX($H257:$O257,0,BI$250),(INDEX($H257:$O257,0,BI$252+1)-INDEX($H257:$O257,0,BI$252))/(INDEX($H$249:$O$249,0,BI$252+1)-INDEX($H$249:$O$249,0,BI$252))+BJ264)))</f>
        <v>0.3157927851119145</v>
      </c>
      <c r="BL264" s="3" cm="1">
        <f t="array" ref="BL264">IF(BJ$252=-1,BN264,IF(BJ$252=99,BK264,IF(BJ$252=0,INDEX($H257:$O257,0,BJ$250),(INDEX($H257:$O257,0,BJ$252+1)-INDEX($H257:$O257,0,BJ$252))/(INDEX($H$249:$O$249,0,BJ$252+1)-INDEX($H$249:$O$249,0,BJ$252))+BK264)))</f>
        <v>0.3157927851119145</v>
      </c>
      <c r="BM264" s="3" cm="1">
        <f t="array" ref="BM264">IF(BK$252=-1,BO264,IF(BK$252=99,BL264,IF(BK$252=0,INDEX($H257:$O257,0,BK$250),(INDEX($H257:$O257,0,BK$252+1)-INDEX($H257:$O257,0,BK$252))/(INDEX($H$249:$O$249,0,BK$252+1)-INDEX($H$249:$O$249,0,BK$252))+BL264)))</f>
        <v>0.3157927851119145</v>
      </c>
      <c r="BN264" s="3" cm="1">
        <f t="array" ref="BN264">IF(BL$252=-1,BP264,IF(BL$252=99,BM264,IF(BL$252=0,INDEX($H257:$O257,0,BL$250),(INDEX($H257:$O257,0,BL$252+1)-INDEX($H257:$O257,0,BL$252))/(INDEX($H$249:$O$249,0,BL$252+1)-INDEX($H$249:$O$249,0,BL$252))+BM264)))</f>
        <v>0.3157927851119145</v>
      </c>
      <c r="BO264" s="3" cm="1">
        <f t="array" ref="BO264">IF(BM$252=-1,BQ264,IF(BM$252=99,BN264,IF(BM$252=0,INDEX($H257:$O257,0,BM$250),(INDEX($H257:$O257,0,BM$252+1)-INDEX($H257:$O257,0,BM$252))/(INDEX($H$249:$O$249,0,BM$252+1)-INDEX($H$249:$O$249,0,BM$252))+BN264)))</f>
        <v>0.3157927851119145</v>
      </c>
      <c r="BP264" s="3" cm="1">
        <f t="array" ref="BP264">IF(BN$252=-1,BR264,IF(BN$252=99,BO264,IF(BN$252=0,INDEX($H257:$O257,0,BN$250),(INDEX($H257:$O257,0,BN$252+1)-INDEX($H257:$O257,0,BN$252))/(INDEX($H$249:$O$249,0,BN$252+1)-INDEX($H$249:$O$249,0,BN$252))+BO264)))</f>
        <v>0.3157927851119145</v>
      </c>
    </row>
    <row r="265" spans="5:68">
      <c r="E265" t="s">
        <v>16</v>
      </c>
      <c r="I265" t="s">
        <v>426</v>
      </c>
      <c r="J265" t="s">
        <v>426</v>
      </c>
      <c r="K265" t="str">
        <f>K262</f>
        <v>high income</v>
      </c>
      <c r="L265" s="3" t="s">
        <v>423</v>
      </c>
      <c r="M265" t="str">
        <f>M262</f>
        <v>hhd-he</v>
      </c>
      <c r="N265" s="3" t="e">
        <f t="shared" si="572"/>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4.1376646385108379E-2</v>
      </c>
      <c r="W265" s="3" cm="1">
        <f t="array" ref="W265">IF(Y$252=-1,X265,IF(Y$252=99,V265,IF(Y$252=0,INDEX($H258:$O258,0,Y$250),(INDEX($H258:$O258,0,Y$252+1)-INDEX($H258:$O258,0,Y$252))/(INDEX($H$249:$O$249,0,Y$252+1)-INDEX($H$249:$O$249,0,Y$252))+V265)))</f>
        <v>8.2753292770216758E-2</v>
      </c>
      <c r="X265" s="3" cm="1">
        <f t="array" ref="X265">IF(Z$252=-1,Y265,IF(Z$252=99,W265,IF(Z$252=0,INDEX($H258:$O258,0,Z$250),(INDEX($H258:$O258,0,Z$252+1)-INDEX($H258:$O258,0,Z$252))/(INDEX($H$249:$O$249,0,Z$252+1)-INDEX($H$249:$O$249,0,Z$252))+W265)))</f>
        <v>0.12412993915532514</v>
      </c>
      <c r="Y265" s="3" cm="1">
        <f t="array" ref="Y265">IF(AA$252=-1,Z265,IF(AA$252=99,X265,IF(AA$252=0,INDEX($H258:$O258,0,AA$250),(INDEX($H258:$O258,0,AA$252+1)-INDEX($H258:$O258,0,AA$252))/(INDEX($H$249:$O$249,0,AA$252+1)-INDEX($H$249:$O$249,0,AA$252))+X265)))</f>
        <v>0.12726968496475208</v>
      </c>
      <c r="Z265" s="3" cm="1">
        <f t="array" ref="Z265">IF(AD$252=-1,AA265,IF(AD$252=99,Y265,IF(AD$252=0,INDEX($H258:$O258,0,AD$250),(INDEX($H258:$O258,0,AD$252+1)-INDEX($H258:$O258,0,AD$252))/(INDEX($H$249:$O$249,0,AD$252+1)-INDEX($H$249:$O$249,0,AD$252))+Y265)))</f>
        <v>0.13040943077417902</v>
      </c>
      <c r="AA265" s="3" cm="1">
        <f t="array" ref="AA265">IF(AE$252=-1,AD265,IF(AE$252=99,Z265,IF(AE$252=0,INDEX($H258:$O258,0,AE$250),(INDEX($H258:$O258,0,AE$252+1)-INDEX($H258:$O258,0,AE$252))/(INDEX($H$249:$O$249,0,AE$252+1)-INDEX($H$249:$O$249,0,AE$252))+Z265)))</f>
        <v>0.13354917658360596</v>
      </c>
      <c r="AB265" s="3" cm="1">
        <f t="array" ref="AB265">IF(AE$252=-1,AD265,IF(AE$252=99,Z265,IF(AE$252=0,INDEX($H258:$O258,0,AE$250),(INDEX($H258:$O258,0,AE$252+1)-INDEX($H258:$O258,0,AE$252))/(INDEX($H$249:$O$249,0,AE$252+1)-INDEX($H$249:$O$249,0,AE$252))+Z265)))</f>
        <v>0.13354917658360596</v>
      </c>
      <c r="AC265" s="3" cm="1">
        <f t="array" ref="AC265">IF(AE$252=-1,AD265,IF(AE$252=99,Z265,IF(AE$252=0,INDEX($H258:$O258,0,AE$250),(INDEX($H258:$O258,0,AE$252+1)-INDEX($H258:$O258,0,AE$252))/(INDEX($H$249:$O$249,0,AE$252+1)-INDEX($H$249:$O$249,0,AE$252))+Z265)))</f>
        <v>0.13354917658360596</v>
      </c>
      <c r="AD265" s="3" cm="1">
        <f t="array" ref="AD265">IF(AF$252=-1,AE265,IF(AF$252=99,AA265,IF(AF$252=0,INDEX($H258:$O258,0,AF$250),(INDEX($H258:$O258,0,AF$252+1)-INDEX($H258:$O258,0,AF$252))/(INDEX($H$249:$O$249,0,AF$252+1)-INDEX($H$249:$O$249,0,AF$252))+AA265)))</f>
        <v>0.1366889223930329</v>
      </c>
      <c r="AE265" s="3" cm="1">
        <f t="array" ref="AE265">IF(AG$252=-1,AF265,IF(AG$252=99,AD265,IF(AG$252=0,INDEX($H258:$O258,0,AG$250),(INDEX($H258:$O258,0,AG$252+1)-INDEX($H258:$O258,0,AG$252))/(INDEX($H$249:$O$249,0,AG$252+1)-INDEX($H$249:$O$249,0,AG$252))+AD265)))</f>
        <v>0.13982866820245984</v>
      </c>
      <c r="AF265" s="3" cm="1">
        <f t="array" ref="AF265">IF(AH$252=-1,AG265,IF(AH$252=99,AE265,IF(AH$252=0,INDEX($H258:$O258,0,AH$250),(INDEX($H258:$O258,0,AH$252+1)-INDEX($H258:$O258,0,AH$252))/(INDEX($H$249:$O$249,0,AH$252+1)-INDEX($H$249:$O$249,0,AH$252))+AE265)))</f>
        <v>0.14296841401188679</v>
      </c>
      <c r="AG265" s="3" cm="1">
        <f t="array" ref="AG265">IF(AI$252=-1,AH265,IF(AI$252=99,AF265,IF(AI$252=0,INDEX($H258:$O258,0,AI$250),(INDEX($H258:$O258,0,AI$252+1)-INDEX($H258:$O258,0,AI$252))/(INDEX($H$249:$O$249,0,AI$252+1)-INDEX($H$249:$O$249,0,AI$252))+AF265)))</f>
        <v>0.14610815982131373</v>
      </c>
      <c r="AH265" s="3" cm="1">
        <f t="array" ref="AH265">IF(AJ$252=-1,AI265,IF(AJ$252=99,AG265,IF(AJ$252=0,INDEX($H258:$O258,0,AJ$250),(INDEX($H258:$O258,0,AJ$252+1)-INDEX($H258:$O258,0,AJ$252))/(INDEX($H$249:$O$249,0,AJ$252+1)-INDEX($H$249:$O$249,0,AJ$252))+AG265)))</f>
        <v>0.14924790563074067</v>
      </c>
      <c r="AI265" s="3" cm="1">
        <f t="array" ref="AI265">IF(AK$252=-1,AJ265,IF(AK$252=99,AH265,IF(AK$252=0,INDEX($H258:$O258,0,AK$250),(INDEX($H258:$O258,0,AK$252+1)-INDEX($H258:$O258,0,AK$252))/(INDEX($H$249:$O$249,0,AK$252+1)-INDEX($H$249:$O$249,0,AK$252))+AH265)))</f>
        <v>0.15238765144016761</v>
      </c>
      <c r="AJ265" s="3" cm="1">
        <f t="array" ref="AJ265">IF(AL$252=-1,AK265,IF(AL$252=99,AI265,IF(AL$252=0,INDEX($H258:$O258,0,AL$250),(INDEX($H258:$O258,0,AL$252+1)-INDEX($H258:$O258,0,AL$252))/(INDEX($H$249:$O$249,0,AL$252+1)-INDEX($H$249:$O$249,0,AL$252))+AI265)))</f>
        <v>0.15552739724959463</v>
      </c>
      <c r="AK265" s="3" cm="1">
        <f t="array" ref="AK265">IF(AO$252=-1,AL265,IF(AO$252=99,AJ265,IF(AO$252=0,INDEX($H258:$O258,0,AO$250),(INDEX($H258:$O258,0,AO$252+1)-INDEX($H258:$O258,0,AO$252))/(INDEX($H$249:$O$249,0,AO$252+1)-INDEX($H$249:$O$249,0,AO$252))+AJ265)))</f>
        <v>0.15552739724959463</v>
      </c>
      <c r="AL265" s="3" cm="1">
        <f t="array" ref="AL265">IF(AP$252=-1,AO265,IF(AP$252=99,AK265,IF(AP$252=0,INDEX($H258:$O258,0,AP$250),(INDEX($H258:$O258,0,AP$252+1)-INDEX($H258:$O258,0,AP$252))/(INDEX($H$249:$O$249,0,AP$252+1)-INDEX($H$249:$O$249,0,AP$252))+AK265)))</f>
        <v>0.15552739724959463</v>
      </c>
      <c r="AM265" s="3" cm="1">
        <f t="array" ref="AM265">IF(AP$252=-1,AO265,IF(AP$252=99,AK265,IF(AP$252=0,INDEX($H258:$O258,0,AP$250),(INDEX($H258:$O258,0,AP$252+1)-INDEX($H258:$O258,0,AP$252))/(INDEX($H$249:$O$249,0,AP$252+1)-INDEX($H$249:$O$249,0,AP$252))+AK265)))</f>
        <v>0.15552739724959463</v>
      </c>
      <c r="AN265" s="3" cm="1">
        <f t="array" ref="AN265">IF(AP$252=-1,AO265,IF(AP$252=99,AK265,IF(AP$252=0,INDEX($H258:$O258,0,AP$250),(INDEX($H258:$O258,0,AP$252+1)-INDEX($H258:$O258,0,AP$252))/(INDEX($H$249:$O$249,0,AP$252+1)-INDEX($H$249:$O$249,0,AP$252))+AK265)))</f>
        <v>0.15552739724959463</v>
      </c>
      <c r="AO265" s="3" cm="1">
        <f t="array" ref="AO265">IF(AQ$252=-1,AP265,IF(AQ$252=99,AL265,IF(AQ$252=0,INDEX($H258:$O258,0,AQ$250),(INDEX($H258:$O258,0,AQ$252+1)-INDEX($H258:$O258,0,AQ$252))/(INDEX($H$249:$O$249,0,AQ$252+1)-INDEX($H$249:$O$249,0,AQ$252))+AL265)))</f>
        <v>0.15552739724959463</v>
      </c>
      <c r="AP265" s="3" cm="1">
        <f t="array" ref="AP265">IF(AR$252=-1,AQ265,IF(AR$252=99,AO265,IF(AR$252=0,INDEX($H258:$O258,0,AR$250),(INDEX($H258:$O258,0,AR$252+1)-INDEX($H258:$O258,0,AR$252))/(INDEX($H$249:$O$249,0,AR$252+1)-INDEX($H$249:$O$249,0,AR$252))+AO265)))</f>
        <v>0.15552739724959463</v>
      </c>
      <c r="AQ265" s="3" cm="1">
        <f t="array" ref="AQ265">IF(AS$252=-1,AR265,IF(AS$252=99,AP265,IF(AS$252=0,INDEX($H258:$O258,0,AS$250),(INDEX($H258:$O258,0,AS$252+1)-INDEX($H258:$O258,0,AS$252))/(INDEX($H$249:$O$249,0,AS$252+1)-INDEX($H$249:$O$249,0,AS$252))+AP265)))</f>
        <v>0.15552739724959463</v>
      </c>
      <c r="AR265" s="3" cm="1">
        <f t="array" ref="AR265">IF(AT$252=-1,AS265,IF(AT$252=99,AQ265,IF(AT$252=0,INDEX($H258:$O258,0,AT$250),(INDEX($H258:$O258,0,AT$252+1)-INDEX($H258:$O258,0,AT$252))/(INDEX($H$249:$O$249,0,AT$252+1)-INDEX($H$249:$O$249,0,AT$252))+AQ265)))</f>
        <v>0.15552739724959463</v>
      </c>
      <c r="AS265" s="3" cm="1">
        <f t="array" ref="AS265">IF(AV$252=-1,AT265,IF(AV$252=99,AR265,IF(AV$252=0,INDEX($H258:$O258,0,AV$250),(INDEX($H258:$O258,0,AV$252+1)-INDEX($H258:$O258,0,AV$252))/(INDEX($H$249:$O$249,0,AV$252+1)-INDEX($H$249:$O$249,0,AV$252))+AR265)))</f>
        <v>0.15552739724959463</v>
      </c>
      <c r="AT265" s="3" cm="1">
        <f t="array" ref="AT265">IF(AX$252=-1,AV265,IF(AX$252=99,AS265,IF(AX$252=0,INDEX($H258:$O258,0,AX$250),(INDEX($H258:$O258,0,AX$252+1)-INDEX($H258:$O258,0,AX$252))/(INDEX($H$249:$O$249,0,AX$252+1)-INDEX($H$249:$O$249,0,AX$252))+AS265)))</f>
        <v>0.15552739724959463</v>
      </c>
      <c r="AU265" s="3" cm="1">
        <f t="array" ref="AU265">IF(AX$252=-1,AW265,IF(AX$252=99,AS265,IF(AX$252=0,INDEX($H258:$O258,0,AX$250),(INDEX($H258:$O258,0,AX$252+1)-INDEX($H258:$O258,0,AX$252))/(INDEX($H$249:$O$249,0,AX$252+1)-INDEX($H$249:$O$249,0,AX$252))+AS265)))</f>
        <v>0.15552739724959463</v>
      </c>
      <c r="AV265" s="3" cm="1">
        <f t="array" ref="AV265">IF(AY$252=-1,AX265,IF(AY$252=99,AT265,IF(AY$252=0,INDEX($H258:$O258,0,AY$250),(INDEX($H258:$O258,0,AY$252+1)-INDEX($H258:$O258,0,AY$252))/(INDEX($H$249:$O$249,0,AY$252+1)-INDEX($H$249:$O$249,0,AY$252))+AT265)))</f>
        <v>0.15552739724959463</v>
      </c>
      <c r="AW265" s="3" cm="1">
        <f t="array" ref="AW265">IF(AZ$252=-1,AY265,IF(AZ$252=99,AV265,IF(AZ$252=0,INDEX($H258:$O258,0,AZ$250),(INDEX($H258:$O258,0,AZ$252+1)-INDEX($H258:$O258,0,AZ$252))/(INDEX($H$249:$O$249,0,AZ$252+1)-INDEX($H$249:$O$249,0,AZ$252))+AV265)))</f>
        <v>0.15552739724959463</v>
      </c>
      <c r="AX265" s="3" cm="1">
        <f t="array" ref="AX265">IF(AZ$252=-1,AY265,IF(AZ$252=99,AV265,IF(AZ$252=0,INDEX($H258:$O258,0,AZ$250),(INDEX($H258:$O258,0,AZ$252+1)-INDEX($H258:$O258,0,AZ$252))/(INDEX($H$249:$O$249,0,AZ$252+1)-INDEX($H$249:$O$249,0,AZ$252))+AV265)))</f>
        <v>0.15552739724959463</v>
      </c>
      <c r="AY265" s="3" cm="1">
        <f t="array" ref="AY265">IF(BA$252=-1,AZ265,IF(BA$252=99,AX265,IF(BA$252=0,INDEX($H258:$O258,0,BA$250),(INDEX($H258:$O258,0,BA$252+1)-INDEX($H258:$O258,0,BA$252))/(INDEX($H$249:$O$249,0,BA$252+1)-INDEX($H$249:$O$249,0,BA$252))+AX265)))</f>
        <v>0.15552739724959463</v>
      </c>
      <c r="AZ265" s="3" cm="1">
        <f t="array" ref="AZ265">IF(BB$252=-1,BA265,IF(BB$252=99,AY265,IF(BB$252=0,INDEX($H258:$O258,0,BB$250),(INDEX($H258:$O258,0,BB$252+1)-INDEX($H258:$O258,0,BB$252))/(INDEX($H$249:$O$249,0,BB$252+1)-INDEX($H$249:$O$249,0,BB$252))+AY265)))</f>
        <v>0.15552739724959463</v>
      </c>
      <c r="BA265" s="3" cm="1">
        <f t="array" ref="BA265">IF(BC$252=-1,BB265,IF(BC$252=99,AZ265,IF(BC$252=0,INDEX($H258:$O258,0,BC$250),(INDEX($H258:$O258,0,BC$252+1)-INDEX($H258:$O258,0,BC$252))/(INDEX($H$249:$O$249,0,BC$252+1)-INDEX($H$249:$O$249,0,BC$252))+AZ265)))</f>
        <v>0.15552739724959463</v>
      </c>
      <c r="BB265" s="3" cm="1">
        <f t="array" ref="BB265">IF(BD$252=-1,BC265,IF(BD$252=99,BA265,IF(BD$252=0,INDEX($H258:$O258,0,BD$250),(INDEX($H258:$O258,0,BD$252+1)-INDEX($H258:$O258,0,BD$252))/(INDEX($H$249:$O$249,0,BD$252+1)-INDEX($H$249:$O$249,0,BD$252))+BA265)))</f>
        <v>0.15552739724959463</v>
      </c>
      <c r="BC265" s="3" cm="1">
        <f t="array" ref="BC265">IF(BE$252=-1,BD265,IF(BE$252=99,BB265,IF(BE$252=0,INDEX($H258:$O258,0,BE$250),(INDEX($H258:$O258,0,BE$252+1)-INDEX($H258:$O258,0,BE$252))/(INDEX($H$249:$O$249,0,BE$252+1)-INDEX($H$249:$O$249,0,BE$252))+BB265)))</f>
        <v>0.15552739724959463</v>
      </c>
      <c r="BD265" s="3" cm="1">
        <f t="array" ref="BD265">IF(BF$252=-1,BI265,IF(BF$252=99,BC265,IF(BF$252=0,INDEX($H258:$O258,0,BF$250),(INDEX($H258:$O258,0,BF$252+1)-INDEX($H258:$O258,0,BF$252))/(INDEX($H$249:$O$249,0,BF$252+1)-INDEX($H$249:$O$249,0,BF$252))+BC265)))</f>
        <v>0.15552739724959463</v>
      </c>
      <c r="BE265" s="3" cm="1">
        <f t="array" ref="BE265">IF(BG$252=-1,BJ265,IF(BG$252=99,BD265,IF(BG$252=0,INDEX($H258:$O258,0,BG$250),(INDEX($H258:$O258,0,BG$252+1)-INDEX($H258:$O258,0,BG$252))/(INDEX($H$249:$O$249,0,BG$252+1)-INDEX($H$249:$O$249,0,BG$252))+BD265)))</f>
        <v>0.15552739724959463</v>
      </c>
      <c r="BF265" s="3" cm="1">
        <f t="array" ref="BF265">IF(BH$252=-1,BK265,IF(BH$252=99,BE265,IF(BH$252=0,INDEX($H258:$O258,0,BH$250),(INDEX($H258:$O258,0,BH$252+1)-INDEX($H258:$O258,0,BH$252))/(INDEX($H$249:$O$249,0,BH$252+1)-INDEX($H$249:$O$249,0,BH$252))+BE265)))</f>
        <v>0.15552739724959463</v>
      </c>
      <c r="BG265" s="3" cm="1">
        <f t="array" ref="BG265">IF(BI$252=-1,BL265,IF(BI$252=99,BF265,IF(BI$252=0,INDEX($H258:$O258,0,BI$250),(INDEX($H258:$O258,0,BI$252+1)-INDEX($H258:$O258,0,BI$252))/(INDEX($H$249:$O$249,0,BI$252+1)-INDEX($H$249:$O$249,0,BI$252))+BF265)))</f>
        <v>0.15552739724959463</v>
      </c>
      <c r="BH265" s="3" cm="1">
        <f t="array" ref="BH265">IF(BJ$252=-1,BM265,IF(BJ$252=99,BG265,IF(BJ$252=0,INDEX($H258:$O258,0,BJ$250),(INDEX($H258:$O258,0,BJ$252+1)-INDEX($H258:$O258,0,BJ$252))/(INDEX($H$249:$O$249,0,BJ$252+1)-INDEX($H$249:$O$249,0,BJ$252))+BG265)))</f>
        <v>0.15552739724959463</v>
      </c>
      <c r="BI265" s="3" cm="1">
        <f t="array" ref="BI265">IF(BK$252=-1,BN265,IF(BK$252=99,BH265,IF(BK$252=0,INDEX($H258:$O258,0,BK$250),(INDEX($H258:$O258,0,BK$252+1)-INDEX($H258:$O258,0,BK$252))/(INDEX($H$249:$O$249,0,BK$252+1)-INDEX($H$249:$O$249,0,BK$252))+BH265)))</f>
        <v>0.15552739724959463</v>
      </c>
      <c r="BJ265" s="3" cm="1">
        <f t="array" ref="BJ265">IF(BH$252=-1,BL265,IF(BH$252=99,BI265,IF(BH$252=0,INDEX($H258:$O258,0,BH$250),(INDEX($H258:$O258,0,BH$252+1)-INDEX($H258:$O258,0,BH$252))/(INDEX($H$249:$O$249,0,BH$252+1)-INDEX($H$249:$O$249,0,BH$252))+BI265)))</f>
        <v>0.15552739724959463</v>
      </c>
      <c r="BK265" s="3" cm="1">
        <f t="array" ref="BK265">IF(BI$252=-1,BM265,IF(BI$252=99,BJ265,IF(BI$252=0,INDEX($H258:$O258,0,BI$250),(INDEX($H258:$O258,0,BI$252+1)-INDEX($H258:$O258,0,BI$252))/(INDEX($H$249:$O$249,0,BI$252+1)-INDEX($H$249:$O$249,0,BI$252))+BJ265)))</f>
        <v>0.15552739724959463</v>
      </c>
      <c r="BL265" s="3" cm="1">
        <f t="array" ref="BL265">IF(BJ$252=-1,BN265,IF(BJ$252=99,BK265,IF(BJ$252=0,INDEX($H258:$O258,0,BJ$250),(INDEX($H258:$O258,0,BJ$252+1)-INDEX($H258:$O258,0,BJ$252))/(INDEX($H$249:$O$249,0,BJ$252+1)-INDEX($H$249:$O$249,0,BJ$252))+BK265)))</f>
        <v>0.15552739724959463</v>
      </c>
      <c r="BM265" s="3" cm="1">
        <f t="array" ref="BM265">IF(BK$252=-1,BO265,IF(BK$252=99,BL265,IF(BK$252=0,INDEX($H258:$O258,0,BK$250),(INDEX($H258:$O258,0,BK$252+1)-INDEX($H258:$O258,0,BK$252))/(INDEX($H$249:$O$249,0,BK$252+1)-INDEX($H$249:$O$249,0,BK$252))+BL265)))</f>
        <v>0.15552739724959463</v>
      </c>
      <c r="BN265" s="3" cm="1">
        <f t="array" ref="BN265">IF(BL$252=-1,BP265,IF(BL$252=99,BM265,IF(BL$252=0,INDEX($H258:$O258,0,BL$250),(INDEX($H258:$O258,0,BL$252+1)-INDEX($H258:$O258,0,BL$252))/(INDEX($H$249:$O$249,0,BL$252+1)-INDEX($H$249:$O$249,0,BL$252))+BM265)))</f>
        <v>0.15552739724959463</v>
      </c>
      <c r="BO265" s="3" cm="1">
        <f t="array" ref="BO265">IF(BM$252=-1,BQ265,IF(BM$252=99,BN265,IF(BM$252=0,INDEX($H258:$O258,0,BM$250),(INDEX($H258:$O258,0,BM$252+1)-INDEX($H258:$O258,0,BM$252))/(INDEX($H$249:$O$249,0,BM$252+1)-INDEX($H$249:$O$249,0,BM$252))+BN265)))</f>
        <v>0.15552739724959463</v>
      </c>
      <c r="BP265" s="3" cm="1">
        <f t="array" ref="BP265">IF(BN$252=-1,BR265,IF(BN$252=99,BO265,IF(BN$252=0,INDEX($H258:$O258,0,BN$250),(INDEX($H258:$O258,0,BN$252+1)-INDEX($H258:$O258,0,BN$252))/(INDEX($H$249:$O$249,0,BN$252+1)-INDEX($H$249:$O$249,0,BN$252))+BO265)))</f>
        <v>0.15552739724959463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2">
    <mergeCell ref="B2:C2"/>
    <mergeCell ref="P1:Z1"/>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B34" sqref="B34"/>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69" t="s">
        <v>280</v>
      </c>
      <c r="C2" s="369"/>
      <c r="J2" s="31"/>
    </row>
    <row r="3" spans="1:43">
      <c r="A3" t="s">
        <v>16</v>
      </c>
      <c r="B3" s="222" t="s">
        <v>609</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801</v>
      </c>
      <c r="C5" s="3" t="s">
        <v>578</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670</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2" t="str">
        <f>$C$14</f>
        <v>No improvement</v>
      </c>
      <c r="V7" s="282"/>
      <c r="W7" s="282"/>
      <c r="X7" s="282"/>
      <c r="Y7" s="282"/>
      <c r="Z7" s="282"/>
      <c r="AA7" s="100"/>
      <c r="AB7" s="100"/>
      <c r="AC7" s="100"/>
      <c r="AD7" s="100"/>
      <c r="AE7" s="100"/>
      <c r="AF7" s="100"/>
      <c r="AG7" s="100"/>
      <c r="AH7" s="100"/>
      <c r="AI7" s="100"/>
      <c r="AJ7" s="100"/>
      <c r="AK7" s="100"/>
      <c r="AL7" s="100"/>
      <c r="AM7" s="100"/>
      <c r="AN7" s="3"/>
    </row>
    <row r="8" spans="1:43">
      <c r="A8" t="s">
        <v>16</v>
      </c>
      <c r="B8" t="s">
        <v>681</v>
      </c>
      <c r="U8" t="s">
        <v>673</v>
      </c>
      <c r="AB8" s="279">
        <v>2012</v>
      </c>
      <c r="AC8" s="279">
        <v>2013</v>
      </c>
      <c r="AD8" s="279">
        <v>2014</v>
      </c>
      <c r="AE8" s="279">
        <v>2015</v>
      </c>
      <c r="AF8" s="279">
        <v>2016</v>
      </c>
      <c r="AG8" s="279">
        <v>2017</v>
      </c>
      <c r="AH8" s="279">
        <v>2018</v>
      </c>
      <c r="AI8" s="279">
        <v>2019</v>
      </c>
      <c r="AJ8" s="280">
        <v>2020</v>
      </c>
      <c r="AK8" s="280">
        <v>2030</v>
      </c>
      <c r="AL8" s="280">
        <v>2040</v>
      </c>
      <c r="AM8" s="280">
        <v>2050</v>
      </c>
      <c r="AN8" s="280">
        <v>2060</v>
      </c>
      <c r="AO8" s="280">
        <v>2070</v>
      </c>
    </row>
    <row r="9" spans="1:43">
      <c r="A9" t="s">
        <v>16</v>
      </c>
      <c r="U9" t="s">
        <v>674</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671</v>
      </c>
      <c r="Y11" s="283" t="s">
        <v>678</v>
      </c>
      <c r="AI11" s="3">
        <f>AI30</f>
        <v>10.9</v>
      </c>
      <c r="AK11" s="3">
        <f>AJ29+AI$9-AI11</f>
        <v>10.999999999999998</v>
      </c>
      <c r="AM11" s="3">
        <f>AK29+AI9-AI11</f>
        <v>10.1</v>
      </c>
      <c r="AN11" s="3"/>
    </row>
    <row r="12" spans="1:43">
      <c r="A12" t="s">
        <v>16</v>
      </c>
      <c r="U12" t="s">
        <v>672</v>
      </c>
      <c r="Y12" t="s">
        <v>677</v>
      </c>
      <c r="AI12" s="3">
        <f>AI30</f>
        <v>10.9</v>
      </c>
      <c r="AK12" s="3">
        <f>AJ30</f>
        <v>7.2</v>
      </c>
      <c r="AM12" s="3">
        <f>AK30</f>
        <v>6.1</v>
      </c>
      <c r="AN12" s="3"/>
    </row>
    <row r="13" spans="1:43">
      <c r="A13" t="s">
        <v>16</v>
      </c>
      <c r="AN13" s="3"/>
    </row>
    <row r="14" spans="1:43">
      <c r="A14" t="s">
        <v>16</v>
      </c>
      <c r="B14" s="41" t="s">
        <v>82</v>
      </c>
      <c r="C14" s="281"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676</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671</v>
      </c>
      <c r="W15" t="s">
        <v>39</v>
      </c>
      <c r="X15" t="s">
        <v>675</v>
      </c>
      <c r="AG15">
        <f>AG9/AG9</f>
        <v>1</v>
      </c>
      <c r="AJ15">
        <v>1</v>
      </c>
      <c r="AK15">
        <f>AK11/AF9</f>
        <v>0.82706766917293217</v>
      </c>
      <c r="AL15">
        <f>AVERAGE(AK15,AM15)</f>
        <v>0.8019953730480045</v>
      </c>
      <c r="AM15">
        <f>AM11/AG9</f>
        <v>0.77692307692307694</v>
      </c>
      <c r="AN15" s="3"/>
    </row>
    <row r="16" spans="1:43">
      <c r="A16" t="s">
        <v>16</v>
      </c>
      <c r="B16" t="s">
        <v>84</v>
      </c>
      <c r="C16" t="s">
        <v>676</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672</v>
      </c>
      <c r="V16" s="6"/>
      <c r="W16" s="6" t="s">
        <v>39</v>
      </c>
      <c r="X16" t="s">
        <v>675</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586</v>
      </c>
      <c r="C27" s="3" t="s">
        <v>757</v>
      </c>
      <c r="D27" s="19" t="s">
        <v>30</v>
      </c>
      <c r="E27" s="154">
        <f>'BY-DMD'!I84</f>
        <v>68.938999999999993</v>
      </c>
      <c r="F27" s="3"/>
      <c r="J27" s="3">
        <f>E27</f>
        <v>68.938999999999993</v>
      </c>
      <c r="K27" s="3">
        <f>(K21*K14)</f>
        <v>74.41177777773558</v>
      </c>
      <c r="L27" s="233">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682</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587</v>
      </c>
      <c r="C28" s="3" t="s">
        <v>758</v>
      </c>
      <c r="D28" s="19" t="s">
        <v>30</v>
      </c>
      <c r="E28" s="154">
        <f>'BY-DMD'!I85</f>
        <v>20.483000000000001</v>
      </c>
      <c r="F28" s="3"/>
      <c r="J28" s="3">
        <f>E28</f>
        <v>20.483000000000001</v>
      </c>
      <c r="K28" s="3">
        <f>(K22*K15)</f>
        <v>22.109059374539203</v>
      </c>
      <c r="L28" s="234">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681</v>
      </c>
      <c r="AF28" s="284"/>
      <c r="AG28" s="285">
        <v>2017</v>
      </c>
      <c r="AH28" s="285">
        <v>2018</v>
      </c>
      <c r="AI28" s="285">
        <v>2019</v>
      </c>
      <c r="AJ28" s="285">
        <v>2025</v>
      </c>
      <c r="AK28" s="285">
        <v>2030</v>
      </c>
      <c r="AN28" s="3"/>
      <c r="AO28" s="3"/>
      <c r="AP28" s="3"/>
      <c r="AQ28" s="3"/>
    </row>
    <row r="29" spans="1:43">
      <c r="A29" t="s">
        <v>16</v>
      </c>
      <c r="B29" s="3" t="s">
        <v>365</v>
      </c>
      <c r="C29" s="3" t="s">
        <v>759</v>
      </c>
      <c r="D29" s="19" t="s">
        <v>30</v>
      </c>
      <c r="E29" s="154">
        <f>'BY-DMD'!I86</f>
        <v>0.82199999999999995</v>
      </c>
      <c r="F29" s="3"/>
      <c r="J29" s="3">
        <f t="shared" ref="J29" si="22">E29</f>
        <v>0.82199999999999995</v>
      </c>
      <c r="K29" s="3">
        <f>(K23*K16)</f>
        <v>0.88725512892990399</v>
      </c>
      <c r="L29" s="235">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671</v>
      </c>
      <c r="V29" s="21"/>
      <c r="X29" t="s">
        <v>680</v>
      </c>
      <c r="Y29" s="3"/>
      <c r="Z29" s="3"/>
      <c r="AA29" s="3"/>
      <c r="AB29" s="3"/>
      <c r="AC29" s="3"/>
      <c r="AD29" s="3"/>
      <c r="AE29" s="3"/>
      <c r="AF29" s="286" t="s">
        <v>683</v>
      </c>
      <c r="AG29" s="284">
        <v>13</v>
      </c>
      <c r="AH29" s="284">
        <v>12.6</v>
      </c>
      <c r="AI29" s="284">
        <v>12.3</v>
      </c>
      <c r="AJ29" s="286">
        <v>9.6</v>
      </c>
      <c r="AK29" s="286">
        <v>8.6999999999999993</v>
      </c>
      <c r="AL29" s="3"/>
      <c r="AM29" s="3"/>
      <c r="AN29" s="3"/>
      <c r="AO29" s="3"/>
      <c r="AP29" s="3"/>
      <c r="AQ29" s="3"/>
    </row>
    <row r="30" spans="1:43">
      <c r="A30" t="s">
        <v>16</v>
      </c>
      <c r="D30" s="19"/>
      <c r="E30" s="44"/>
      <c r="F30" s="3"/>
      <c r="J30" s="3"/>
      <c r="K30" s="3"/>
      <c r="L30" s="3"/>
      <c r="N30" s="3"/>
      <c r="P30" s="3"/>
      <c r="Q30" s="3"/>
      <c r="R30" s="3"/>
      <c r="S30" s="3"/>
      <c r="T30" s="3"/>
      <c r="U30" t="s">
        <v>672</v>
      </c>
      <c r="V30" s="3"/>
      <c r="W30" s="3"/>
      <c r="X30" t="s">
        <v>677</v>
      </c>
      <c r="Y30" s="3"/>
      <c r="Z30" s="3"/>
      <c r="AA30" s="3"/>
      <c r="AB30" s="3"/>
      <c r="AD30" s="3"/>
      <c r="AE30" s="3"/>
      <c r="AF30" s="286" t="s">
        <v>683</v>
      </c>
      <c r="AG30" s="286">
        <v>11.3</v>
      </c>
      <c r="AH30" s="286">
        <v>11</v>
      </c>
      <c r="AI30" s="286">
        <v>10.9</v>
      </c>
      <c r="AJ30" s="286">
        <v>7.2</v>
      </c>
      <c r="AK30" s="286">
        <v>6.1</v>
      </c>
      <c r="AL30" s="3"/>
      <c r="AM30" s="3"/>
      <c r="AN30" s="3"/>
      <c r="AO30" s="3"/>
      <c r="AP30" s="3"/>
      <c r="AQ30" s="3"/>
    </row>
    <row r="31" spans="1:43" ht="18" thickBot="1">
      <c r="A31" t="s">
        <v>16</v>
      </c>
      <c r="B31" s="49" t="s">
        <v>579</v>
      </c>
      <c r="C31" s="13"/>
      <c r="D31" s="9"/>
      <c r="E31" s="9"/>
      <c r="F31" s="9"/>
      <c r="G31" s="9"/>
      <c r="H31" s="9"/>
      <c r="I31" s="9"/>
    </row>
    <row r="32" spans="1:43" ht="15.75" thickTop="1">
      <c r="A32" t="s">
        <v>16</v>
      </c>
      <c r="E32">
        <v>2017</v>
      </c>
      <c r="F32">
        <v>2020</v>
      </c>
      <c r="G32">
        <v>2030</v>
      </c>
      <c r="H32">
        <v>2050</v>
      </c>
    </row>
    <row r="33" spans="1:77">
      <c r="A33" t="s">
        <v>16</v>
      </c>
      <c r="B33" s="3" t="s">
        <v>801</v>
      </c>
      <c r="C33" s="3" t="s">
        <v>579</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5">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4">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594</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2024-01-31T19:52:51Z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