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FDE30C1B-2499-45EC-BBB9-6C48E2AB7DB0}" xr6:coauthVersionLast="47" xr6:coauthVersionMax="47" xr10:uidLastSave="{00000000-0000-0000-0000-000000000000}"/>
  <bookViews>
    <workbookView xWindow="4965" yWindow="345" windowWidth="23835" windowHeight="15255" firstSheet="3" activeTab="6" xr2:uid="{A8FED7C6-325A-4931-B9A2-C9E76F5F1F1B}"/>
  </bookViews>
  <sheets>
    <sheet name="EIA" sheetId="23" r:id="rId1"/>
    <sheet name="TnD" sheetId="25" r:id="rId2"/>
    <sheet name="SAREM_Wind" sheetId="20" r:id="rId3"/>
    <sheet name="SAREM_PV" sheetId="21" r:id="rId4"/>
    <sheet name="NREL" sheetId="18" r:id="rId5"/>
    <sheet name="Nuclear" sheetId="22" r:id="rId6"/>
    <sheet name="CGEActivityInputs" sheetId="19" r:id="rId7"/>
    <sheet name="IEA ETP23 materials" sheetId="24" r:id="rId8"/>
    <sheet name="MaterialInputs" sheetId="17" r:id="rId9"/>
    <sheet name="SAM" sheetId="14" r:id="rId10"/>
    <sheet name="From SAM" sheetId="15" r:id="rId11"/>
    <sheet name="ElecBY" sheetId="16" r:id="rId12"/>
    <sheet name="LabourInputs"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M24" i="17" l="1" a="1"/>
  <c r="DM24" i="17" s="1"/>
  <c r="DK24" i="17"/>
  <c r="DM23" i="17" a="1"/>
  <c r="DM23" i="17" s="1"/>
  <c r="DK23" i="17"/>
  <c r="DM22" i="17" a="1"/>
  <c r="DM22" i="17" s="1"/>
  <c r="DK22" i="17"/>
  <c r="DM21" i="17" a="1"/>
  <c r="DM21" i="17" s="1"/>
  <c r="DK21" i="17"/>
  <c r="DM20" i="17" a="1"/>
  <c r="DM20" i="17" s="1"/>
  <c r="DK20" i="17"/>
  <c r="DM19" i="17" a="1"/>
  <c r="DM19" i="17" s="1"/>
  <c r="DK19" i="17"/>
  <c r="DM18" i="17" a="1"/>
  <c r="DM18" i="17" s="1"/>
  <c r="DK18" i="17"/>
  <c r="DM17" i="17" a="1"/>
  <c r="DM17" i="17" s="1"/>
  <c r="DK17" i="17"/>
  <c r="DM16" i="17" a="1"/>
  <c r="DM16" i="17" s="1"/>
  <c r="DK16" i="17"/>
  <c r="DM15" i="17" a="1"/>
  <c r="DM15" i="17" s="1"/>
  <c r="DK15" i="17"/>
  <c r="DM14" i="17" a="1"/>
  <c r="DM14" i="17" s="1"/>
  <c r="DK14" i="17"/>
  <c r="DM13" i="17" a="1"/>
  <c r="DM13" i="17" s="1"/>
  <c r="DK13" i="17"/>
  <c r="DM12" i="17" a="1"/>
  <c r="DM12" i="17" s="1"/>
  <c r="DK12" i="17"/>
  <c r="DM11" i="17" a="1"/>
  <c r="DM11" i="17" s="1"/>
  <c r="DK11" i="17"/>
  <c r="DM10" i="17" a="1"/>
  <c r="DM10" i="17" s="1"/>
  <c r="DK10" i="17"/>
  <c r="DM9" i="17" a="1"/>
  <c r="DM9" i="17" s="1"/>
  <c r="DK9" i="17"/>
  <c r="DM8" i="17" a="1"/>
  <c r="DM8" i="17" s="1"/>
  <c r="DK8" i="17"/>
  <c r="DM7" i="17" a="1"/>
  <c r="DM7" i="17" s="1"/>
  <c r="DK7" i="17"/>
  <c r="DM6" i="17" a="1"/>
  <c r="DM6" i="17" s="1"/>
  <c r="DK6" i="17"/>
  <c r="Y79" i="17"/>
  <c r="DD24" i="17" a="1"/>
  <c r="DD24" i="17" s="1"/>
  <c r="DB24" i="17"/>
  <c r="DD23" i="17" a="1"/>
  <c r="DD23" i="17" s="1"/>
  <c r="DB23" i="17"/>
  <c r="DD22" i="17" a="1"/>
  <c r="DD22" i="17" s="1"/>
  <c r="DB22" i="17"/>
  <c r="DD21" i="17" a="1"/>
  <c r="DD21" i="17" s="1"/>
  <c r="DB21" i="17"/>
  <c r="DD20" i="17" a="1"/>
  <c r="DD20" i="17" s="1"/>
  <c r="DB20" i="17"/>
  <c r="DD19" i="17" a="1"/>
  <c r="DD19" i="17" s="1"/>
  <c r="DB19" i="17"/>
  <c r="DD18" i="17" a="1"/>
  <c r="DD18" i="17" s="1"/>
  <c r="DB18" i="17"/>
  <c r="DD17" i="17" a="1"/>
  <c r="DD17" i="17" s="1"/>
  <c r="DB17" i="17"/>
  <c r="DD16" i="17" a="1"/>
  <c r="DD16" i="17" s="1"/>
  <c r="DB16" i="17"/>
  <c r="DD15" i="17" a="1"/>
  <c r="DD15" i="17" s="1"/>
  <c r="DB15" i="17"/>
  <c r="DD14" i="17" a="1"/>
  <c r="DD14" i="17" s="1"/>
  <c r="DB14" i="17"/>
  <c r="DD13" i="17" a="1"/>
  <c r="DD13" i="17" s="1"/>
  <c r="DB13" i="17"/>
  <c r="DD12" i="17" a="1"/>
  <c r="DD12" i="17" s="1"/>
  <c r="DB12" i="17"/>
  <c r="DD11" i="17" a="1"/>
  <c r="DD11" i="17" s="1"/>
  <c r="DB11" i="17"/>
  <c r="DD10" i="17" a="1"/>
  <c r="DD10" i="17" s="1"/>
  <c r="DB10" i="17"/>
  <c r="DD9" i="17" a="1"/>
  <c r="DD9" i="17" s="1"/>
  <c r="DB9" i="17"/>
  <c r="DD8" i="17" a="1"/>
  <c r="DD8" i="17" s="1"/>
  <c r="DB8" i="17"/>
  <c r="DD7" i="17" a="1"/>
  <c r="DD7" i="17" s="1"/>
  <c r="DB7" i="17"/>
  <c r="DD6" i="17" a="1"/>
  <c r="DD6" i="17" s="1"/>
  <c r="DB6" i="17"/>
  <c r="CV24" i="17" a="1"/>
  <c r="CV24" i="17" s="1"/>
  <c r="CT24" i="17"/>
  <c r="CV23" i="17" a="1"/>
  <c r="CV23" i="17" s="1"/>
  <c r="CT23" i="17"/>
  <c r="CV22" i="17" a="1"/>
  <c r="CV22" i="17" s="1"/>
  <c r="CT22" i="17"/>
  <c r="CV21" i="17" a="1"/>
  <c r="CV21" i="17" s="1"/>
  <c r="CT21" i="17"/>
  <c r="CV20" i="17" a="1"/>
  <c r="CV20" i="17" s="1"/>
  <c r="CT20" i="17"/>
  <c r="CV19" i="17" a="1"/>
  <c r="CV19" i="17" s="1"/>
  <c r="CT19" i="17"/>
  <c r="CV18" i="17" a="1"/>
  <c r="CV18" i="17" s="1"/>
  <c r="CT18" i="17"/>
  <c r="CV17" i="17" a="1"/>
  <c r="CV17" i="17" s="1"/>
  <c r="CT17" i="17"/>
  <c r="CV16" i="17" a="1"/>
  <c r="CV16" i="17" s="1"/>
  <c r="CT16" i="17"/>
  <c r="CV15" i="17" a="1"/>
  <c r="CV15" i="17" s="1"/>
  <c r="CT15" i="17"/>
  <c r="CV14" i="17" a="1"/>
  <c r="CV14" i="17" s="1"/>
  <c r="CT14" i="17"/>
  <c r="CV13" i="17" a="1"/>
  <c r="CV13" i="17" s="1"/>
  <c r="CT13" i="17"/>
  <c r="CV12" i="17" a="1"/>
  <c r="CV12" i="17" s="1"/>
  <c r="CT12" i="17"/>
  <c r="CV11" i="17" a="1"/>
  <c r="CV11" i="17" s="1"/>
  <c r="CT11" i="17"/>
  <c r="CV10" i="17" a="1"/>
  <c r="CV10" i="17" s="1"/>
  <c r="CT10" i="17"/>
  <c r="CV9" i="17" a="1"/>
  <c r="CV9" i="17" s="1"/>
  <c r="CT9" i="17"/>
  <c r="CV8" i="17"/>
  <c r="CV8" i="17" a="1"/>
  <c r="CT8" i="17"/>
  <c r="CV7" i="17" a="1"/>
  <c r="CV7" i="17" s="1"/>
  <c r="CT7" i="17"/>
  <c r="CV6" i="17" a="1"/>
  <c r="CV6" i="17" s="1"/>
  <c r="CT6" i="17"/>
  <c r="CM24" i="17" a="1"/>
  <c r="CM24" i="17" s="1"/>
  <c r="CK24" i="17"/>
  <c r="CM23" i="17" a="1"/>
  <c r="CM23" i="17" s="1"/>
  <c r="CK23" i="17"/>
  <c r="CM22" i="17" a="1"/>
  <c r="CM22" i="17" s="1"/>
  <c r="CK22" i="17"/>
  <c r="CM21" i="17" a="1"/>
  <c r="CM21" i="17" s="1"/>
  <c r="CK21" i="17"/>
  <c r="CM20" i="17" a="1"/>
  <c r="CM20" i="17" s="1"/>
  <c r="CK20" i="17"/>
  <c r="CM19" i="17" a="1"/>
  <c r="CM19" i="17" s="1"/>
  <c r="CK19" i="17"/>
  <c r="CM18" i="17" a="1"/>
  <c r="CM18" i="17" s="1"/>
  <c r="CK18" i="17"/>
  <c r="CM17" i="17" a="1"/>
  <c r="CM17" i="17" s="1"/>
  <c r="CK17" i="17"/>
  <c r="CM16" i="17" a="1"/>
  <c r="CM16" i="17" s="1"/>
  <c r="CK16" i="17"/>
  <c r="CM15" i="17" a="1"/>
  <c r="CM15" i="17" s="1"/>
  <c r="CK15" i="17"/>
  <c r="CM14" i="17" a="1"/>
  <c r="CM14" i="17" s="1"/>
  <c r="CK14" i="17"/>
  <c r="CM13" i="17" a="1"/>
  <c r="CM13" i="17" s="1"/>
  <c r="CK13" i="17"/>
  <c r="CM12" i="17" a="1"/>
  <c r="CM12" i="17" s="1"/>
  <c r="CK12" i="17"/>
  <c r="CM11" i="17" a="1"/>
  <c r="CM11" i="17" s="1"/>
  <c r="CK11" i="17"/>
  <c r="CM10" i="17" a="1"/>
  <c r="CM10" i="17" s="1"/>
  <c r="CK10" i="17"/>
  <c r="CM9" i="17" a="1"/>
  <c r="CM9" i="17" s="1"/>
  <c r="CK9" i="17"/>
  <c r="CM8" i="17" a="1"/>
  <c r="CM8" i="17" s="1"/>
  <c r="CK8" i="17"/>
  <c r="CM7" i="17" a="1"/>
  <c r="CM7" i="17" s="1"/>
  <c r="CK7" i="17"/>
  <c r="CM6" i="17" a="1"/>
  <c r="CM6" i="17" s="1"/>
  <c r="CK6" i="17"/>
  <c r="F14" i="17"/>
  <c r="BQ14" i="17" s="1" a="1"/>
  <c r="BQ14" i="17" s="1"/>
  <c r="BR14" i="17" s="1"/>
  <c r="BS14" i="17" s="1"/>
  <c r="D14" i="17"/>
  <c r="BA14" i="17" s="1" a="1"/>
  <c r="BA14" i="17" s="1"/>
  <c r="BB14" i="17" s="1"/>
  <c r="BC14" i="17" s="1"/>
  <c r="Y82" i="17"/>
  <c r="Y81" i="17"/>
  <c r="Y80" i="17"/>
  <c r="W83" i="17"/>
  <c r="W82" i="17"/>
  <c r="W81" i="17"/>
  <c r="W80" i="17"/>
  <c r="W79" i="17"/>
  <c r="W73" i="17"/>
  <c r="W72" i="17"/>
  <c r="W71" i="17"/>
  <c r="W70" i="17"/>
  <c r="CE24" i="17" a="1"/>
  <c r="CE24" i="17" s="1"/>
  <c r="CC24" i="17"/>
  <c r="CE23" i="17" a="1"/>
  <c r="CE23" i="17" s="1"/>
  <c r="CC23" i="17"/>
  <c r="CE22" i="17" a="1"/>
  <c r="CE22" i="17" s="1"/>
  <c r="CC22" i="17"/>
  <c r="CE21" i="17" a="1"/>
  <c r="CE21" i="17" s="1"/>
  <c r="CC21" i="17"/>
  <c r="CE20" i="17" a="1"/>
  <c r="CE20" i="17" s="1"/>
  <c r="CC20" i="17"/>
  <c r="CE19" i="17" a="1"/>
  <c r="CE19" i="17" s="1"/>
  <c r="CC19" i="17"/>
  <c r="CE18" i="17" a="1"/>
  <c r="CE18" i="17" s="1"/>
  <c r="CC18" i="17"/>
  <c r="CG17" i="17" a="1"/>
  <c r="CG17" i="17" s="1"/>
  <c r="CE17" i="17" a="1"/>
  <c r="CE17" i="17" s="1"/>
  <c r="CC17" i="17"/>
  <c r="CG16" i="17" a="1"/>
  <c r="CG16" i="17" s="1"/>
  <c r="CE16" i="17" a="1"/>
  <c r="CE16" i="17" s="1"/>
  <c r="CC16" i="17"/>
  <c r="CG15" i="17" a="1"/>
  <c r="CG15" i="17" s="1"/>
  <c r="CE15" i="17" a="1"/>
  <c r="CE15" i="17" s="1"/>
  <c r="CC15" i="17"/>
  <c r="CE14" i="17" a="1"/>
  <c r="CE14" i="17" s="1"/>
  <c r="CC14" i="17"/>
  <c r="CG13" i="17" a="1"/>
  <c r="CG13" i="17" s="1"/>
  <c r="CH13" i="17" s="1"/>
  <c r="CI13" i="17" s="1"/>
  <c r="CE13" i="17" a="1"/>
  <c r="CE13" i="17" s="1"/>
  <c r="CC13" i="17"/>
  <c r="CG12" i="17" a="1"/>
  <c r="CG12" i="17" s="1"/>
  <c r="CE12" i="17" a="1"/>
  <c r="CE12" i="17" s="1"/>
  <c r="CC12" i="17"/>
  <c r="CG11" i="17" a="1"/>
  <c r="CG11" i="17" s="1"/>
  <c r="CH11" i="17" s="1"/>
  <c r="CI11" i="17" s="1"/>
  <c r="CE11" i="17" a="1"/>
  <c r="CE11" i="17" s="1"/>
  <c r="CC11" i="17"/>
  <c r="CG10" i="17" a="1"/>
  <c r="CG10" i="17" s="1"/>
  <c r="CH10" i="17" s="1"/>
  <c r="CI10" i="17" s="1"/>
  <c r="CE10" i="17" a="1"/>
  <c r="CE10" i="17" s="1"/>
  <c r="CC10" i="17"/>
  <c r="CG9" i="17" a="1"/>
  <c r="CG9" i="17" s="1"/>
  <c r="CE9" i="17" a="1"/>
  <c r="CE9" i="17" s="1"/>
  <c r="CC9" i="17"/>
  <c r="CG8" i="17" a="1"/>
  <c r="CG8" i="17" s="1"/>
  <c r="CE8" i="17" a="1"/>
  <c r="CE8" i="17" s="1"/>
  <c r="CC8" i="17"/>
  <c r="CG7" i="17" a="1"/>
  <c r="CG7" i="17" s="1"/>
  <c r="CE7" i="17" a="1"/>
  <c r="CE7" i="17" s="1"/>
  <c r="CC7" i="17"/>
  <c r="CE6" i="17" a="1"/>
  <c r="CE6" i="17" s="1"/>
  <c r="CC6" i="17"/>
  <c r="BW24" i="17" a="1"/>
  <c r="BW24" i="17" s="1"/>
  <c r="BU24" i="17"/>
  <c r="BW23" i="17" a="1"/>
  <c r="BW23" i="17" s="1"/>
  <c r="BU23" i="17"/>
  <c r="BW22" i="17" a="1"/>
  <c r="BW22" i="17" s="1"/>
  <c r="BU22" i="17"/>
  <c r="BW21" i="17" a="1"/>
  <c r="BW21" i="17" s="1"/>
  <c r="BU21" i="17"/>
  <c r="BW20" i="17" a="1"/>
  <c r="BW20" i="17" s="1"/>
  <c r="BU20" i="17"/>
  <c r="BW19" i="17" a="1"/>
  <c r="BW19" i="17" s="1"/>
  <c r="BU19" i="17"/>
  <c r="BW18" i="17" a="1"/>
  <c r="BW18" i="17" s="1"/>
  <c r="BU18" i="17"/>
  <c r="BY17" i="17" a="1"/>
  <c r="BY17" i="17" s="1"/>
  <c r="BW17" i="17" a="1"/>
  <c r="BW17" i="17" s="1"/>
  <c r="BU17" i="17"/>
  <c r="BY16" i="17" a="1"/>
  <c r="BY16" i="17" s="1"/>
  <c r="BW16" i="17" a="1"/>
  <c r="BW16" i="17" s="1"/>
  <c r="BU16" i="17"/>
  <c r="BY15" i="17" a="1"/>
  <c r="BY15" i="17" s="1"/>
  <c r="BW15" i="17" a="1"/>
  <c r="BW15" i="17" s="1"/>
  <c r="BU15" i="17"/>
  <c r="BW14" i="17" a="1"/>
  <c r="BW14" i="17" s="1"/>
  <c r="BU14" i="17"/>
  <c r="BY13" i="17" a="1"/>
  <c r="BY13" i="17" s="1"/>
  <c r="BZ13" i="17" s="1"/>
  <c r="CA13" i="17" s="1"/>
  <c r="BW13" i="17" a="1"/>
  <c r="BW13" i="17" s="1"/>
  <c r="BU13" i="17"/>
  <c r="BY12" i="17" a="1"/>
  <c r="BY12" i="17" s="1"/>
  <c r="BW12" i="17" a="1"/>
  <c r="BW12" i="17" s="1"/>
  <c r="BU12" i="17"/>
  <c r="BY11" i="17" a="1"/>
  <c r="BY11" i="17" s="1"/>
  <c r="BZ11" i="17" s="1"/>
  <c r="CA11" i="17" s="1"/>
  <c r="BW11" i="17" a="1"/>
  <c r="BW11" i="17" s="1"/>
  <c r="BU11" i="17"/>
  <c r="BY10" i="17" a="1"/>
  <c r="BY10" i="17" s="1"/>
  <c r="BZ10" i="17" s="1"/>
  <c r="CA10" i="17" s="1"/>
  <c r="BW10" i="17" a="1"/>
  <c r="BW10" i="17" s="1"/>
  <c r="BU10" i="17"/>
  <c r="BY9" i="17" a="1"/>
  <c r="BY9" i="17" s="1"/>
  <c r="BW9" i="17" a="1"/>
  <c r="BW9" i="17" s="1"/>
  <c r="BU9" i="17"/>
  <c r="BY8" i="17" a="1"/>
  <c r="BY8" i="17" s="1"/>
  <c r="BW8" i="17" a="1"/>
  <c r="BW8" i="17" s="1"/>
  <c r="BU8" i="17"/>
  <c r="BY7" i="17" a="1"/>
  <c r="BY7" i="17" s="1"/>
  <c r="BW7" i="17" a="1"/>
  <c r="BW7" i="17" s="1"/>
  <c r="BU7" i="17"/>
  <c r="BW6" i="17" a="1"/>
  <c r="BW6" i="17" s="1"/>
  <c r="BU6" i="17"/>
  <c r="BQ24" i="17" a="1"/>
  <c r="BQ24" i="17" s="1"/>
  <c r="BO24" i="17" a="1"/>
  <c r="BO24" i="17" s="1"/>
  <c r="BM24" i="17"/>
  <c r="BQ23" i="17" a="1"/>
  <c r="BQ23" i="17" s="1"/>
  <c r="BO23" i="17" a="1"/>
  <c r="BO23" i="17" s="1"/>
  <c r="BM23" i="17"/>
  <c r="BQ22" i="17" a="1"/>
  <c r="BQ22" i="17" s="1"/>
  <c r="BO22" i="17" a="1"/>
  <c r="BO22" i="17" s="1"/>
  <c r="BM22" i="17"/>
  <c r="BQ21" i="17" a="1"/>
  <c r="BQ21" i="17" s="1"/>
  <c r="BO21" i="17" a="1"/>
  <c r="BO21" i="17" s="1"/>
  <c r="BM21" i="17"/>
  <c r="BQ20" i="17" a="1"/>
  <c r="BQ20" i="17" s="1"/>
  <c r="BO20" i="17" a="1"/>
  <c r="BO20" i="17" s="1"/>
  <c r="BM20" i="17"/>
  <c r="BQ19" i="17" a="1"/>
  <c r="BQ19" i="17" s="1"/>
  <c r="BO19" i="17" a="1"/>
  <c r="BO19" i="17" s="1"/>
  <c r="BM19" i="17"/>
  <c r="BO18" i="17" a="1"/>
  <c r="BO18" i="17" s="1"/>
  <c r="BM18" i="17"/>
  <c r="BQ17" i="17" a="1"/>
  <c r="BQ17" i="17" s="1"/>
  <c r="BO17" i="17" a="1"/>
  <c r="BO17" i="17" s="1"/>
  <c r="BM17" i="17"/>
  <c r="BQ16" i="17" a="1"/>
  <c r="BQ16" i="17" s="1"/>
  <c r="BO16" i="17" a="1"/>
  <c r="BO16" i="17" s="1"/>
  <c r="BM16" i="17"/>
  <c r="BQ15" i="17" a="1"/>
  <c r="BQ15" i="17" s="1"/>
  <c r="BO15" i="17" a="1"/>
  <c r="BO15" i="17" s="1"/>
  <c r="BM15" i="17"/>
  <c r="BO14" i="17" a="1"/>
  <c r="BO14" i="17" s="1"/>
  <c r="BM14" i="17"/>
  <c r="BQ13" i="17" a="1"/>
  <c r="BQ13" i="17" s="1"/>
  <c r="BR13" i="17" s="1"/>
  <c r="BS13" i="17" s="1"/>
  <c r="BO13" i="17" a="1"/>
  <c r="BO13" i="17" s="1"/>
  <c r="BM13" i="17"/>
  <c r="BQ12" i="17" a="1"/>
  <c r="BQ12" i="17" s="1"/>
  <c r="BO12" i="17" a="1"/>
  <c r="BO12" i="17" s="1"/>
  <c r="BM12" i="17"/>
  <c r="BQ11" i="17" a="1"/>
  <c r="BQ11" i="17" s="1"/>
  <c r="BR11" i="17" s="1"/>
  <c r="BS11" i="17" s="1"/>
  <c r="BO11" i="17" a="1"/>
  <c r="BO11" i="17" s="1"/>
  <c r="BM11" i="17"/>
  <c r="BQ10" i="17" a="1"/>
  <c r="BQ10" i="17" s="1"/>
  <c r="BR10" i="17" s="1"/>
  <c r="BS10" i="17" s="1"/>
  <c r="BO10" i="17" a="1"/>
  <c r="BO10" i="17" s="1"/>
  <c r="BM10" i="17"/>
  <c r="BQ9" i="17" a="1"/>
  <c r="BQ9" i="17" s="1"/>
  <c r="BO9" i="17" a="1"/>
  <c r="BO9" i="17" s="1"/>
  <c r="BM9" i="17"/>
  <c r="BQ8" i="17" a="1"/>
  <c r="BQ8" i="17" s="1"/>
  <c r="BO8" i="17" a="1"/>
  <c r="BO8" i="17" s="1"/>
  <c r="BM8" i="17"/>
  <c r="BQ7" i="17" a="1"/>
  <c r="BQ7" i="17" s="1"/>
  <c r="BO7" i="17" a="1"/>
  <c r="BO7" i="17" s="1"/>
  <c r="BM7" i="17"/>
  <c r="BO6" i="17" a="1"/>
  <c r="BO6" i="17" s="1"/>
  <c r="BM6" i="17"/>
  <c r="BI24" i="17" a="1"/>
  <c r="BI24" i="17" s="1"/>
  <c r="BG24" i="17" a="1"/>
  <c r="BG24" i="17" s="1"/>
  <c r="BE24" i="17"/>
  <c r="BI23" i="17" a="1"/>
  <c r="BI23" i="17" s="1"/>
  <c r="BG23" i="17" a="1"/>
  <c r="BG23" i="17" s="1"/>
  <c r="BE23" i="17"/>
  <c r="BI22" i="17" a="1"/>
  <c r="BI22" i="17" s="1"/>
  <c r="BG22" i="17" a="1"/>
  <c r="BG22" i="17" s="1"/>
  <c r="BE22" i="17"/>
  <c r="BI21" i="17" a="1"/>
  <c r="BI21" i="17" s="1"/>
  <c r="BG21" i="17" a="1"/>
  <c r="BG21" i="17" s="1"/>
  <c r="BE21" i="17"/>
  <c r="BI20" i="17" a="1"/>
  <c r="BI20" i="17" s="1"/>
  <c r="BG20" i="17" a="1"/>
  <c r="BG20" i="17" s="1"/>
  <c r="BE20" i="17"/>
  <c r="BG19" i="17" a="1"/>
  <c r="BG19" i="17" s="1"/>
  <c r="BE19" i="17"/>
  <c r="BG18" i="17" a="1"/>
  <c r="BG18" i="17" s="1"/>
  <c r="BE18" i="17"/>
  <c r="BI17" i="17" a="1"/>
  <c r="BI17" i="17" s="1"/>
  <c r="BG17" i="17" a="1"/>
  <c r="BG17" i="17" s="1"/>
  <c r="BE17" i="17"/>
  <c r="BI16" i="17" a="1"/>
  <c r="BI16" i="17" s="1"/>
  <c r="BG16" i="17" a="1"/>
  <c r="BG16" i="17" s="1"/>
  <c r="BE16" i="17"/>
  <c r="BI15" i="17" a="1"/>
  <c r="BI15" i="17" s="1"/>
  <c r="BG15" i="17" a="1"/>
  <c r="BG15" i="17" s="1"/>
  <c r="BE15" i="17"/>
  <c r="BG14" i="17" a="1"/>
  <c r="BG14" i="17" s="1"/>
  <c r="BE14" i="17"/>
  <c r="BI13" i="17" a="1"/>
  <c r="BI13" i="17" s="1"/>
  <c r="BJ13" i="17" s="1"/>
  <c r="BK13" i="17" s="1"/>
  <c r="BG13" i="17" a="1"/>
  <c r="BG13" i="17" s="1"/>
  <c r="BE13" i="17"/>
  <c r="BI12" i="17" a="1"/>
  <c r="BI12" i="17" s="1"/>
  <c r="BG12" i="17" a="1"/>
  <c r="BG12" i="17" s="1"/>
  <c r="BE12" i="17"/>
  <c r="BI11" i="17" a="1"/>
  <c r="BI11" i="17" s="1"/>
  <c r="BJ11" i="17" s="1"/>
  <c r="BK11" i="17" s="1"/>
  <c r="BG11" i="17" a="1"/>
  <c r="BG11" i="17" s="1"/>
  <c r="BE11" i="17"/>
  <c r="BI10" i="17" a="1"/>
  <c r="BI10" i="17" s="1"/>
  <c r="BJ10" i="17" s="1"/>
  <c r="BK10" i="17" s="1"/>
  <c r="BG10" i="17" a="1"/>
  <c r="BG10" i="17" s="1"/>
  <c r="BE10" i="17"/>
  <c r="BI9" i="17" a="1"/>
  <c r="BI9" i="17" s="1"/>
  <c r="BG9" i="17" a="1"/>
  <c r="BG9" i="17" s="1"/>
  <c r="BE9" i="17"/>
  <c r="BI8" i="17" a="1"/>
  <c r="BI8" i="17" s="1"/>
  <c r="BG8" i="17" a="1"/>
  <c r="BG8" i="17" s="1"/>
  <c r="BE8" i="17"/>
  <c r="BI7" i="17" a="1"/>
  <c r="BI7" i="17" s="1"/>
  <c r="BG7" i="17" a="1"/>
  <c r="BG7" i="17" s="1"/>
  <c r="BE7" i="17"/>
  <c r="BG6" i="17" a="1"/>
  <c r="BG6" i="17" s="1"/>
  <c r="BE6" i="17"/>
  <c r="BA24" i="17" a="1"/>
  <c r="BA24" i="17" s="1"/>
  <c r="AY24" i="17" a="1"/>
  <c r="AY24" i="17" s="1"/>
  <c r="AW24" i="17"/>
  <c r="BA23" i="17" a="1"/>
  <c r="BA23" i="17" s="1"/>
  <c r="AY23" i="17" a="1"/>
  <c r="AY23" i="17" s="1"/>
  <c r="AW23" i="17"/>
  <c r="BA22" i="17" a="1"/>
  <c r="BA22" i="17" s="1"/>
  <c r="AY22" i="17" a="1"/>
  <c r="AY22" i="17" s="1"/>
  <c r="AW22" i="17"/>
  <c r="BA21" i="17" a="1"/>
  <c r="BA21" i="17" s="1"/>
  <c r="AY21" i="17" a="1"/>
  <c r="AY21" i="17" s="1"/>
  <c r="AW21" i="17"/>
  <c r="BA20" i="17" a="1"/>
  <c r="BA20" i="17" s="1"/>
  <c r="AY20" i="17" a="1"/>
  <c r="AY20" i="17" s="1"/>
  <c r="AW20" i="17"/>
  <c r="BA19" i="17" a="1"/>
  <c r="BA19" i="17" s="1"/>
  <c r="AY19" i="17" a="1"/>
  <c r="AY19" i="17" s="1"/>
  <c r="AW19" i="17"/>
  <c r="AY18" i="17" a="1"/>
  <c r="AY18" i="17" s="1"/>
  <c r="AW18" i="17"/>
  <c r="BA17" i="17" a="1"/>
  <c r="BA17" i="17" s="1"/>
  <c r="AY17" i="17" a="1"/>
  <c r="AY17" i="17" s="1"/>
  <c r="AW17" i="17"/>
  <c r="BA16" i="17" a="1"/>
  <c r="BA16" i="17" s="1"/>
  <c r="AY16" i="17" a="1"/>
  <c r="AY16" i="17" s="1"/>
  <c r="AW16" i="17"/>
  <c r="BA15" i="17" a="1"/>
  <c r="BA15" i="17" s="1"/>
  <c r="AY15" i="17" a="1"/>
  <c r="AY15" i="17" s="1"/>
  <c r="AW15" i="17"/>
  <c r="AY14" i="17" a="1"/>
  <c r="AY14" i="17" s="1"/>
  <c r="AW14" i="17"/>
  <c r="BA13" i="17" a="1"/>
  <c r="BA13" i="17" s="1"/>
  <c r="BB13" i="17" s="1"/>
  <c r="BC13" i="17" s="1"/>
  <c r="AY13" i="17" a="1"/>
  <c r="AY13" i="17" s="1"/>
  <c r="AW13" i="17"/>
  <c r="BA12" i="17" a="1"/>
  <c r="BA12" i="17" s="1"/>
  <c r="AY12" i="17" a="1"/>
  <c r="AY12" i="17" s="1"/>
  <c r="AW12" i="17"/>
  <c r="BA11" i="17" a="1"/>
  <c r="BA11" i="17" s="1"/>
  <c r="BB11" i="17" s="1"/>
  <c r="BC11" i="17" s="1"/>
  <c r="AY11" i="17" a="1"/>
  <c r="AY11" i="17" s="1"/>
  <c r="AW11" i="17"/>
  <c r="BA10" i="17" a="1"/>
  <c r="BA10" i="17" s="1"/>
  <c r="BB10" i="17" s="1"/>
  <c r="BC10" i="17" s="1"/>
  <c r="AY10" i="17" a="1"/>
  <c r="AY10" i="17" s="1"/>
  <c r="AW10" i="17"/>
  <c r="BA9" i="17" a="1"/>
  <c r="BA9" i="17" s="1"/>
  <c r="AY9" i="17" a="1"/>
  <c r="AY9" i="17" s="1"/>
  <c r="AW9" i="17"/>
  <c r="BA8" i="17" a="1"/>
  <c r="BA8" i="17" s="1"/>
  <c r="AY8" i="17" a="1"/>
  <c r="AY8" i="17" s="1"/>
  <c r="AW8" i="17"/>
  <c r="BA7" i="17" a="1"/>
  <c r="BA7" i="17" s="1"/>
  <c r="AY7" i="17" a="1"/>
  <c r="AY7" i="17" s="1"/>
  <c r="AW7" i="17"/>
  <c r="AY6" i="17" a="1"/>
  <c r="AY6" i="17" s="1"/>
  <c r="AW6" i="17"/>
  <c r="AS7" i="17" a="1"/>
  <c r="AS7" i="17" s="1"/>
  <c r="AS8" i="17" a="1"/>
  <c r="AS8" i="17" s="1"/>
  <c r="AS9" i="17" a="1"/>
  <c r="AS9" i="17" s="1"/>
  <c r="AS12" i="17" a="1"/>
  <c r="AS12" i="17" s="1"/>
  <c r="AS15" i="17" a="1"/>
  <c r="AS15" i="17" s="1"/>
  <c r="AS16" i="17" a="1"/>
  <c r="AS16" i="17" s="1"/>
  <c r="AS17" i="17" a="1"/>
  <c r="AS17" i="17" s="1"/>
  <c r="AS20" i="17" a="1"/>
  <c r="AS20" i="17" s="1"/>
  <c r="AS21" i="17" a="1"/>
  <c r="AS21" i="17" s="1"/>
  <c r="AS22" i="17" a="1"/>
  <c r="AS22" i="17" s="1"/>
  <c r="AS23" i="17" a="1"/>
  <c r="AS23" i="17" s="1"/>
  <c r="AS24" i="17" a="1"/>
  <c r="AS24" i="17" s="1"/>
  <c r="AQ7" i="17" a="1"/>
  <c r="AQ7" i="17" s="1"/>
  <c r="AQ8" i="17" a="1"/>
  <c r="AQ8" i="17" s="1"/>
  <c r="AQ9" i="17" a="1"/>
  <c r="AQ9" i="17" s="1"/>
  <c r="AQ10" i="17" a="1"/>
  <c r="AQ10" i="17" s="1"/>
  <c r="AQ11" i="17" a="1"/>
  <c r="AQ11" i="17" s="1"/>
  <c r="AQ12" i="17" a="1"/>
  <c r="AQ12" i="17" s="1"/>
  <c r="AQ13" i="17" a="1"/>
  <c r="AQ13" i="17" s="1"/>
  <c r="AQ14" i="17" a="1"/>
  <c r="AQ14" i="17" s="1"/>
  <c r="AQ15" i="17" a="1"/>
  <c r="AQ15" i="17" s="1"/>
  <c r="AQ16" i="17" a="1"/>
  <c r="AQ16" i="17" s="1"/>
  <c r="AQ17" i="17" a="1"/>
  <c r="AQ17" i="17" s="1"/>
  <c r="AQ18" i="17" a="1"/>
  <c r="AQ18" i="17" s="1"/>
  <c r="AQ19" i="17" a="1"/>
  <c r="AQ19" i="17" s="1"/>
  <c r="AQ20" i="17" a="1"/>
  <c r="AQ20" i="17" s="1"/>
  <c r="AQ21" i="17" a="1"/>
  <c r="AQ21" i="17" s="1"/>
  <c r="AQ22" i="17" a="1"/>
  <c r="AQ22" i="17" s="1"/>
  <c r="AQ23" i="17" a="1"/>
  <c r="AQ23" i="17" s="1"/>
  <c r="AQ24" i="17" a="1"/>
  <c r="AQ24" i="17" s="1"/>
  <c r="AQ6" i="17" a="1"/>
  <c r="AQ6" i="17" s="1"/>
  <c r="AO7" i="17"/>
  <c r="AO8" i="17"/>
  <c r="AO9" i="17"/>
  <c r="AO10" i="17"/>
  <c r="AO11" i="17"/>
  <c r="AO12" i="17"/>
  <c r="AO13" i="17"/>
  <c r="AO14" i="17"/>
  <c r="AO15" i="17"/>
  <c r="AO16" i="17"/>
  <c r="AO17" i="17"/>
  <c r="AO18" i="17"/>
  <c r="AO19" i="17"/>
  <c r="AO20" i="17"/>
  <c r="AO21" i="17"/>
  <c r="AO22" i="17"/>
  <c r="AO23" i="17"/>
  <c r="AO24" i="17"/>
  <c r="AO6" i="17"/>
  <c r="Y86" i="17" l="1"/>
  <c r="Y85" i="17"/>
  <c r="Y88" i="17" s="1"/>
  <c r="H20" i="17"/>
  <c r="CG20" i="17" s="1" a="1"/>
  <c r="CG20" i="17" s="1"/>
  <c r="D26" i="17"/>
  <c r="E19" i="17" s="1"/>
  <c r="BI19" i="17" s="1" a="1"/>
  <c r="BI19" i="17" s="1"/>
  <c r="D6" i="17"/>
  <c r="BA6" i="17" s="1" a="1"/>
  <c r="BA6" i="17" s="1"/>
  <c r="E6" i="17"/>
  <c r="BI6" i="17" s="1" a="1"/>
  <c r="BI6" i="17" s="1"/>
  <c r="F6" i="17"/>
  <c r="BQ6" i="17" s="1" a="1"/>
  <c r="BQ6" i="17" s="1"/>
  <c r="G6" i="17"/>
  <c r="BY6" i="17" s="1" a="1"/>
  <c r="BY6" i="17" s="1"/>
  <c r="H6" i="17"/>
  <c r="CG6" i="17" s="1" a="1"/>
  <c r="CG6" i="17" s="1"/>
  <c r="C6" i="17"/>
  <c r="AS6" i="17" s="1" a="1"/>
  <c r="AS6" i="17" s="1"/>
  <c r="D18" i="17"/>
  <c r="BA18" i="17" s="1" a="1"/>
  <c r="BA18" i="17" s="1"/>
  <c r="E18" i="17"/>
  <c r="BI18" i="17" s="1" a="1"/>
  <c r="BI18" i="17" s="1"/>
  <c r="F18" i="17"/>
  <c r="BQ18" i="17" s="1" a="1"/>
  <c r="BQ18" i="17" s="1"/>
  <c r="G18" i="17"/>
  <c r="BY18" i="17" s="1" a="1"/>
  <c r="BY18" i="17" s="1"/>
  <c r="H18" i="17"/>
  <c r="CG18" i="17" s="1" a="1"/>
  <c r="CG18" i="17" s="1"/>
  <c r="C18" i="17"/>
  <c r="AS18" i="17" s="1" a="1"/>
  <c r="AS18" i="17" s="1"/>
  <c r="AA70" i="17" l="1"/>
  <c r="AA72" i="17"/>
  <c r="AA80" i="17"/>
  <c r="AA82" i="17"/>
  <c r="AA83" i="17"/>
  <c r="AA81" i="17"/>
  <c r="AA79" i="17"/>
  <c r="AA73" i="17"/>
  <c r="AA88" i="17"/>
  <c r="AA89" i="17" s="1"/>
  <c r="AA71" i="17"/>
  <c r="H21" i="17"/>
  <c r="CG21" i="17" s="1" a="1"/>
  <c r="CG21" i="17" s="1"/>
  <c r="BY20" i="17" a="1"/>
  <c r="BY20" i="17" s="1"/>
  <c r="C19" i="17"/>
  <c r="AS19" i="17" s="1" a="1"/>
  <c r="AS19" i="17" s="1"/>
  <c r="H19" i="17"/>
  <c r="BN6" i="19"/>
  <c r="BN7" i="19" s="1"/>
  <c r="BN8" i="19" s="1"/>
  <c r="BN9" i="19" s="1"/>
  <c r="BN10" i="19" s="1"/>
  <c r="BN11" i="19" s="1"/>
  <c r="BN12" i="19" s="1"/>
  <c r="BN13" i="19" s="1"/>
  <c r="BN14" i="19" s="1"/>
  <c r="BN15" i="19" s="1"/>
  <c r="BN16" i="19" s="1"/>
  <c r="BN17" i="19" s="1"/>
  <c r="BN18" i="19" s="1"/>
  <c r="BN19" i="19" s="1"/>
  <c r="BN20" i="19" s="1"/>
  <c r="BN21" i="19" s="1"/>
  <c r="BN22" i="19" s="1"/>
  <c r="BN23" i="19" s="1"/>
  <c r="BN24" i="19" s="1"/>
  <c r="BN25" i="19" s="1"/>
  <c r="BN26" i="19" s="1"/>
  <c r="BN27" i="19" s="1"/>
  <c r="BN28" i="19" s="1"/>
  <c r="BN29" i="19" s="1"/>
  <c r="BN30" i="19" s="1"/>
  <c r="BN31" i="19" s="1"/>
  <c r="BN32" i="19" s="1"/>
  <c r="BN33" i="19" s="1"/>
  <c r="BN34" i="19" s="1"/>
  <c r="BN35" i="19" s="1"/>
  <c r="BN36" i="19" s="1"/>
  <c r="BN37" i="19" s="1"/>
  <c r="BN38" i="19" s="1"/>
  <c r="BN39" i="19" s="1"/>
  <c r="BN40" i="19" s="1"/>
  <c r="BN41" i="19" s="1"/>
  <c r="BN42" i="19" s="1"/>
  <c r="BN43" i="19" s="1"/>
  <c r="BN44" i="19" s="1"/>
  <c r="BN45" i="19" s="1"/>
  <c r="BR45" i="19"/>
  <c r="BQ45" i="19"/>
  <c r="BL45" i="19"/>
  <c r="BR44" i="19"/>
  <c r="BQ44" i="19"/>
  <c r="BL44" i="19"/>
  <c r="BR43" i="19"/>
  <c r="BQ43" i="19"/>
  <c r="BL43" i="19"/>
  <c r="BR42" i="19"/>
  <c r="BQ42" i="19"/>
  <c r="BL42" i="19"/>
  <c r="BR41" i="19"/>
  <c r="BQ41" i="19"/>
  <c r="BL41" i="19"/>
  <c r="BR40" i="19"/>
  <c r="BQ40" i="19"/>
  <c r="BL40" i="19"/>
  <c r="BR39" i="19"/>
  <c r="BQ39" i="19"/>
  <c r="BL39" i="19"/>
  <c r="BR38" i="19"/>
  <c r="BQ38" i="19"/>
  <c r="BL38" i="19"/>
  <c r="BR37" i="19"/>
  <c r="BQ37" i="19"/>
  <c r="BL37" i="19"/>
  <c r="BR36" i="19"/>
  <c r="BQ36" i="19"/>
  <c r="BL36" i="19"/>
  <c r="BR35" i="19"/>
  <c r="BQ35" i="19"/>
  <c r="BL35" i="19"/>
  <c r="BR34" i="19"/>
  <c r="BQ34" i="19"/>
  <c r="BL34" i="19"/>
  <c r="BR33" i="19"/>
  <c r="BQ33" i="19"/>
  <c r="BL33" i="19"/>
  <c r="BR32" i="19"/>
  <c r="BQ32" i="19"/>
  <c r="BL32" i="19"/>
  <c r="BR31" i="19"/>
  <c r="BQ31" i="19"/>
  <c r="BL31" i="19"/>
  <c r="BR30" i="19"/>
  <c r="BQ30" i="19"/>
  <c r="BL30" i="19"/>
  <c r="BR23" i="19"/>
  <c r="BQ23" i="19"/>
  <c r="BR22" i="19"/>
  <c r="BQ22" i="19"/>
  <c r="BR21" i="19"/>
  <c r="BQ21" i="19"/>
  <c r="BR20" i="19"/>
  <c r="BQ20" i="19"/>
  <c r="BR19" i="19"/>
  <c r="BQ19" i="19"/>
  <c r="BR18" i="19"/>
  <c r="BQ18" i="19"/>
  <c r="BR17" i="19"/>
  <c r="BQ17" i="19"/>
  <c r="BR12" i="19"/>
  <c r="BQ12" i="19"/>
  <c r="BR11" i="19"/>
  <c r="BQ11" i="19"/>
  <c r="BR10" i="19"/>
  <c r="BQ10" i="19"/>
  <c r="BR9" i="19"/>
  <c r="BQ9" i="19"/>
  <c r="BR8" i="19"/>
  <c r="BQ8" i="19"/>
  <c r="BR7" i="19"/>
  <c r="BQ7" i="19"/>
  <c r="BR6" i="19"/>
  <c r="BQ6" i="19"/>
  <c r="BF6" i="19"/>
  <c r="BH3" i="19" s="1"/>
  <c r="BJ45" i="19"/>
  <c r="BI45" i="19"/>
  <c r="BD45" i="19"/>
  <c r="BJ44" i="19"/>
  <c r="BI44" i="19"/>
  <c r="BD44" i="19"/>
  <c r="BJ43" i="19"/>
  <c r="BI43" i="19"/>
  <c r="BD43" i="19"/>
  <c r="BJ42" i="19"/>
  <c r="BI42" i="19"/>
  <c r="BD42" i="19"/>
  <c r="BJ41" i="19"/>
  <c r="BI41" i="19"/>
  <c r="BD41" i="19"/>
  <c r="BJ40" i="19"/>
  <c r="BI40" i="19"/>
  <c r="BD40" i="19"/>
  <c r="BJ39" i="19"/>
  <c r="BI39" i="19"/>
  <c r="BD39" i="19"/>
  <c r="BJ38" i="19"/>
  <c r="BI38" i="19"/>
  <c r="BD38" i="19"/>
  <c r="BJ37" i="19"/>
  <c r="BI37" i="19"/>
  <c r="BD37" i="19"/>
  <c r="BJ36" i="19"/>
  <c r="BI36" i="19"/>
  <c r="BD36" i="19"/>
  <c r="BJ35" i="19"/>
  <c r="BI35" i="19"/>
  <c r="BD35" i="19"/>
  <c r="BJ34" i="19"/>
  <c r="BI34" i="19"/>
  <c r="BD34" i="19"/>
  <c r="BJ33" i="19"/>
  <c r="BI33" i="19"/>
  <c r="BD33" i="19"/>
  <c r="BJ32" i="19"/>
  <c r="BI32" i="19"/>
  <c r="BD32" i="19"/>
  <c r="BJ31" i="19"/>
  <c r="BI31" i="19"/>
  <c r="BD31" i="19"/>
  <c r="BJ30" i="19"/>
  <c r="BI30" i="19"/>
  <c r="BD30" i="19"/>
  <c r="BJ23" i="19"/>
  <c r="BI23" i="19"/>
  <c r="BJ22" i="19"/>
  <c r="BI22" i="19"/>
  <c r="BJ21" i="19"/>
  <c r="BI21" i="19"/>
  <c r="BJ20" i="19"/>
  <c r="BI20" i="19"/>
  <c r="BJ19" i="19"/>
  <c r="BI19" i="19"/>
  <c r="BJ18" i="19"/>
  <c r="BI18" i="19"/>
  <c r="BJ17" i="19"/>
  <c r="BI17" i="19"/>
  <c r="BJ12" i="19"/>
  <c r="BI12" i="19"/>
  <c r="BJ11" i="19"/>
  <c r="BI11" i="19"/>
  <c r="BJ10" i="19"/>
  <c r="BI10" i="19"/>
  <c r="BJ9" i="19"/>
  <c r="BI9" i="19"/>
  <c r="BJ8" i="19"/>
  <c r="BI8" i="19"/>
  <c r="BJ7" i="19"/>
  <c r="BI7" i="19"/>
  <c r="BJ6" i="19"/>
  <c r="BI6" i="19"/>
  <c r="AX6" i="19"/>
  <c r="AZ3" i="19" s="1"/>
  <c r="BB45" i="19"/>
  <c r="BA45" i="19"/>
  <c r="AV45" i="19"/>
  <c r="BB44" i="19"/>
  <c r="BA44" i="19"/>
  <c r="AV44" i="19"/>
  <c r="BB43" i="19"/>
  <c r="BA43" i="19"/>
  <c r="AV43" i="19"/>
  <c r="BB42" i="19"/>
  <c r="BA42" i="19"/>
  <c r="AV42" i="19"/>
  <c r="BB41" i="19"/>
  <c r="BA41" i="19"/>
  <c r="AV41" i="19"/>
  <c r="BB40" i="19"/>
  <c r="BA40" i="19"/>
  <c r="AV40" i="19"/>
  <c r="BB39" i="19"/>
  <c r="BA39" i="19"/>
  <c r="AV39" i="19"/>
  <c r="BB38" i="19"/>
  <c r="BA38" i="19"/>
  <c r="AV38" i="19"/>
  <c r="BB37" i="19"/>
  <c r="BA37" i="19"/>
  <c r="AV37" i="19"/>
  <c r="BB36" i="19"/>
  <c r="BA36" i="19"/>
  <c r="AV36" i="19"/>
  <c r="BB35" i="19"/>
  <c r="BA35" i="19"/>
  <c r="AV35" i="19"/>
  <c r="BB34" i="19"/>
  <c r="BA34" i="19"/>
  <c r="AV34" i="19"/>
  <c r="BB33" i="19"/>
  <c r="BA33" i="19"/>
  <c r="AV33" i="19"/>
  <c r="BB32" i="19"/>
  <c r="BA32" i="19"/>
  <c r="AV32" i="19"/>
  <c r="BB31" i="19"/>
  <c r="BA31" i="19"/>
  <c r="AV31" i="19"/>
  <c r="BB30" i="19"/>
  <c r="BA30" i="19"/>
  <c r="AV30" i="19"/>
  <c r="BB23" i="19"/>
  <c r="BA23" i="19"/>
  <c r="BB22" i="19"/>
  <c r="BA22" i="19"/>
  <c r="BB21" i="19"/>
  <c r="BA21" i="19"/>
  <c r="BB20" i="19"/>
  <c r="BA20" i="19"/>
  <c r="BB19" i="19"/>
  <c r="BA19" i="19"/>
  <c r="BB18" i="19"/>
  <c r="BA18" i="19"/>
  <c r="BB17" i="19"/>
  <c r="BA17" i="19"/>
  <c r="BB12" i="19"/>
  <c r="BA12" i="19"/>
  <c r="BB11" i="19"/>
  <c r="BA11" i="19"/>
  <c r="BB10" i="19"/>
  <c r="BA10" i="19"/>
  <c r="BB9" i="19"/>
  <c r="BA9" i="19"/>
  <c r="BB8" i="19"/>
  <c r="BA8" i="19"/>
  <c r="BB7" i="19"/>
  <c r="BA7" i="19"/>
  <c r="BB6" i="19"/>
  <c r="BA6" i="19"/>
  <c r="AN30" i="19"/>
  <c r="AS30" i="19"/>
  <c r="AT30" i="19"/>
  <c r="AN31" i="19"/>
  <c r="AS31" i="19"/>
  <c r="AT31" i="19"/>
  <c r="AN32" i="19"/>
  <c r="AS32" i="19"/>
  <c r="AT32" i="19"/>
  <c r="AN33" i="19"/>
  <c r="AS33" i="19"/>
  <c r="AT33" i="19"/>
  <c r="AN34" i="19"/>
  <c r="AS34" i="19"/>
  <c r="AT34" i="19"/>
  <c r="AN35" i="19"/>
  <c r="AS35" i="19"/>
  <c r="AT35" i="19"/>
  <c r="AN36" i="19"/>
  <c r="AS36" i="19"/>
  <c r="AT36" i="19"/>
  <c r="AN37" i="19"/>
  <c r="AS37" i="19"/>
  <c r="AT37" i="19"/>
  <c r="AN38" i="19"/>
  <c r="AS38" i="19"/>
  <c r="AT38" i="19"/>
  <c r="AN39" i="19"/>
  <c r="AS39" i="19"/>
  <c r="AT39" i="19"/>
  <c r="AN40" i="19"/>
  <c r="AS40" i="19"/>
  <c r="AT40" i="19"/>
  <c r="AN41" i="19"/>
  <c r="AS41" i="19"/>
  <c r="AT41" i="19"/>
  <c r="AN42" i="19"/>
  <c r="AS42" i="19"/>
  <c r="AT42" i="19"/>
  <c r="AN43" i="19"/>
  <c r="AS43" i="19"/>
  <c r="AT43" i="19"/>
  <c r="AN44" i="19"/>
  <c r="AS44" i="19"/>
  <c r="AT44" i="19"/>
  <c r="AN45" i="19"/>
  <c r="AS45" i="19"/>
  <c r="AT45"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6" i="19"/>
  <c r="AK30" i="19"/>
  <c r="AL30" i="19"/>
  <c r="AK31" i="19"/>
  <c r="AL31" i="19"/>
  <c r="AK32" i="19"/>
  <c r="AL32" i="19"/>
  <c r="AK33" i="19"/>
  <c r="AL33" i="19"/>
  <c r="AK34" i="19"/>
  <c r="AL34" i="19"/>
  <c r="AK35" i="19"/>
  <c r="AL35" i="19"/>
  <c r="AK36" i="19"/>
  <c r="AL36" i="19"/>
  <c r="AK37" i="19"/>
  <c r="AL37" i="19"/>
  <c r="AK38" i="19"/>
  <c r="AL38" i="19"/>
  <c r="AK39" i="19"/>
  <c r="AL39" i="19"/>
  <c r="AK40" i="19"/>
  <c r="AL40" i="19"/>
  <c r="AK41" i="19"/>
  <c r="AL41" i="19"/>
  <c r="AK42" i="19"/>
  <c r="AL42" i="19"/>
  <c r="AK43" i="19"/>
  <c r="AL43" i="19"/>
  <c r="AK44" i="19"/>
  <c r="AL44" i="19"/>
  <c r="AK45" i="19"/>
  <c r="AL45" i="19"/>
  <c r="R32" i="19" a="1"/>
  <c r="R32" i="19" s="1"/>
  <c r="R33" i="19" s="1"/>
  <c r="R34" i="19" s="1"/>
  <c r="R35" i="19" s="1"/>
  <c r="R36" i="19" s="1"/>
  <c r="R37" i="19" s="1"/>
  <c r="R38" i="19" s="1"/>
  <c r="R39" i="19" s="1"/>
  <c r="R40" i="19" s="1"/>
  <c r="R41" i="19" s="1"/>
  <c r="R42" i="19" s="1"/>
  <c r="R43" i="19" s="1"/>
  <c r="R44" i="19" s="1"/>
  <c r="R45" i="19" s="1"/>
  <c r="R30" i="19" a="1"/>
  <c r="R30" i="19" s="1"/>
  <c r="R31" i="19" s="1"/>
  <c r="F59" i="25"/>
  <c r="F60" i="25"/>
  <c r="F61" i="25"/>
  <c r="F62" i="25"/>
  <c r="F58" i="25"/>
  <c r="D42" i="25"/>
  <c r="F26" i="25"/>
  <c r="G16" i="25"/>
  <c r="G14" i="25"/>
  <c r="G15" i="25" s="1"/>
  <c r="G13" i="25"/>
  <c r="G12" i="25"/>
  <c r="H11" i="25"/>
  <c r="K15" i="25" s="1"/>
  <c r="G11" i="25"/>
  <c r="G10" i="25"/>
  <c r="G9" i="25" s="1"/>
  <c r="AD80" i="17" l="1"/>
  <c r="AF80" i="17" s="1"/>
  <c r="I14" i="17" s="1"/>
  <c r="CO14" i="17" s="1" a="1"/>
  <c r="CO14" i="17" s="1"/>
  <c r="CP14" i="17" s="1"/>
  <c r="CQ14" i="17" s="1"/>
  <c r="AD72" i="17"/>
  <c r="AF72" i="17" s="1"/>
  <c r="E14" i="17" s="1"/>
  <c r="BI14" i="17" s="1" a="1"/>
  <c r="BI14" i="17" s="1"/>
  <c r="BJ14" i="17" s="1"/>
  <c r="BK14" i="17" s="1"/>
  <c r="F31" i="25"/>
  <c r="F45" i="25" s="1"/>
  <c r="AD83" i="17"/>
  <c r="AF83" i="17" s="1"/>
  <c r="AD79" i="17"/>
  <c r="AF79" i="17" s="1"/>
  <c r="L14" i="17" s="1"/>
  <c r="DO14" i="17" s="1" a="1"/>
  <c r="DO14" i="17" s="1"/>
  <c r="DP14" i="17" s="1"/>
  <c r="DQ14" i="17" s="1"/>
  <c r="AD71" i="17"/>
  <c r="AF71" i="17" s="1"/>
  <c r="H14" i="17" s="1"/>
  <c r="CG14" i="17" s="1" a="1"/>
  <c r="CG14" i="17" s="1"/>
  <c r="CH14" i="17" s="1"/>
  <c r="CI14" i="17" s="1"/>
  <c r="AD73" i="17"/>
  <c r="AF73" i="17" s="1"/>
  <c r="G14" i="17" s="1"/>
  <c r="BY14" i="17" s="1" a="1"/>
  <c r="BY14" i="17" s="1"/>
  <c r="BZ14" i="17" s="1"/>
  <c r="CA14" i="17" s="1"/>
  <c r="AD70" i="17"/>
  <c r="AF70" i="17" s="1"/>
  <c r="C14" i="17" s="1"/>
  <c r="AS14" i="17" s="1" a="1"/>
  <c r="AS14" i="17" s="1"/>
  <c r="AT14" i="17" s="1"/>
  <c r="AU14" i="17" s="1"/>
  <c r="AD82" i="17"/>
  <c r="AF82" i="17" s="1"/>
  <c r="J14" i="17" s="1"/>
  <c r="CX14" i="17" s="1" a="1"/>
  <c r="CX14" i="17" s="1"/>
  <c r="CY14" i="17" s="1"/>
  <c r="CZ14" i="17" s="1"/>
  <c r="BY19" i="17" a="1"/>
  <c r="BY19" i="17" s="1"/>
  <c r="CG19" i="17" a="1"/>
  <c r="CG19" i="17" s="1"/>
  <c r="AD81" i="17"/>
  <c r="AF81" i="17" s="1"/>
  <c r="K14" i="17" s="1"/>
  <c r="DF14" i="17" s="1" a="1"/>
  <c r="DF14" i="17" s="1"/>
  <c r="DG14" i="17" s="1"/>
  <c r="DH14" i="17" s="1"/>
  <c r="H22" i="17"/>
  <c r="CG22" i="17" s="1" a="1"/>
  <c r="CG22" i="17" s="1"/>
  <c r="BY21" i="17" a="1"/>
  <c r="BY21" i="17" s="1"/>
  <c r="BP3" i="19"/>
  <c r="L15" i="25"/>
  <c r="M15" i="25"/>
  <c r="L11" i="25"/>
  <c r="L12" i="25"/>
  <c r="M12" i="25"/>
  <c r="K11" i="25"/>
  <c r="K14" i="25"/>
  <c r="M9" i="25"/>
  <c r="L14" i="25"/>
  <c r="BF7" i="19"/>
  <c r="BF8" i="19" s="1"/>
  <c r="BF9" i="19" s="1"/>
  <c r="BF10" i="19" s="1"/>
  <c r="BF11" i="19" s="1"/>
  <c r="BF12" i="19" s="1"/>
  <c r="BF13" i="19" s="1"/>
  <c r="BF14" i="19" s="1"/>
  <c r="BF15" i="19" s="1"/>
  <c r="BF16" i="19" s="1"/>
  <c r="BF17" i="19" s="1"/>
  <c r="BF18" i="19" s="1"/>
  <c r="BF19" i="19" s="1"/>
  <c r="BF20" i="19" s="1"/>
  <c r="BF21" i="19" s="1"/>
  <c r="BF22" i="19" s="1"/>
  <c r="BF23" i="19" s="1"/>
  <c r="BF24" i="19" s="1"/>
  <c r="BF25" i="19" s="1"/>
  <c r="BF26" i="19" s="1"/>
  <c r="BF27" i="19" s="1"/>
  <c r="BF28" i="19" s="1"/>
  <c r="BF29" i="19" s="1"/>
  <c r="BF30" i="19" s="1"/>
  <c r="BF31" i="19" s="1"/>
  <c r="BF32" i="19" s="1"/>
  <c r="BF33" i="19" s="1"/>
  <c r="BF34" i="19" s="1"/>
  <c r="BF35" i="19" s="1"/>
  <c r="BF36" i="19" s="1"/>
  <c r="BF37" i="19" s="1"/>
  <c r="BF38" i="19" s="1"/>
  <c r="BF39" i="19" s="1"/>
  <c r="BF40" i="19" s="1"/>
  <c r="BF41" i="19" s="1"/>
  <c r="BF42" i="19" s="1"/>
  <c r="BF43" i="19" s="1"/>
  <c r="BF44" i="19" s="1"/>
  <c r="BF45" i="19" s="1"/>
  <c r="AZ10" i="19" a="1"/>
  <c r="AZ10" i="19" s="1"/>
  <c r="AX7" i="19"/>
  <c r="AX8" i="19" s="1"/>
  <c r="AX9" i="19" s="1"/>
  <c r="AX10" i="19" s="1"/>
  <c r="AX11" i="19" s="1"/>
  <c r="AX12" i="19" s="1"/>
  <c r="AX13" i="19" s="1"/>
  <c r="AX14" i="19" s="1"/>
  <c r="AX15" i="19" s="1"/>
  <c r="AX16" i="19" s="1"/>
  <c r="AX17" i="19" s="1"/>
  <c r="AX18" i="19" s="1"/>
  <c r="AX19" i="19" s="1"/>
  <c r="AX20" i="19" s="1"/>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V32" i="19"/>
  <c r="V33" i="19" s="1"/>
  <c r="V34" i="19" s="1"/>
  <c r="V35" i="19" s="1"/>
  <c r="V36" i="19" s="1"/>
  <c r="V37" i="19" s="1"/>
  <c r="V38" i="19" s="1"/>
  <c r="V39" i="19" s="1"/>
  <c r="V40" i="19" s="1"/>
  <c r="V41" i="19" s="1"/>
  <c r="V42" i="19" s="1"/>
  <c r="V43" i="19" s="1"/>
  <c r="V44" i="19" s="1"/>
  <c r="V45" i="19" s="1"/>
  <c r="U32" i="19"/>
  <c r="U33" i="19" s="1"/>
  <c r="U34" i="19" s="1"/>
  <c r="U35" i="19" s="1"/>
  <c r="U36" i="19" s="1"/>
  <c r="U37" i="19" s="1"/>
  <c r="U38" i="19" s="1"/>
  <c r="U39" i="19" s="1"/>
  <c r="U40" i="19" s="1"/>
  <c r="U41" i="19" s="1"/>
  <c r="U42" i="19" s="1"/>
  <c r="U43" i="19" s="1"/>
  <c r="U44" i="19" s="1"/>
  <c r="U45" i="19" s="1"/>
  <c r="BH45" i="19" s="1" a="1"/>
  <c r="BH45" i="19" s="1"/>
  <c r="T32" i="19"/>
  <c r="T33" i="19" s="1"/>
  <c r="T34" i="19" s="1"/>
  <c r="T35" i="19" s="1"/>
  <c r="T36" i="19" s="1"/>
  <c r="T37" i="19" s="1"/>
  <c r="T38" i="19" s="1"/>
  <c r="T39" i="19" s="1"/>
  <c r="T40" i="19" s="1"/>
  <c r="T41" i="19" s="1"/>
  <c r="T42" i="19" s="1"/>
  <c r="T43" i="19" s="1"/>
  <c r="T44" i="19" s="1"/>
  <c r="T45" i="19" s="1"/>
  <c r="AZ45" i="19" s="1" a="1"/>
  <c r="AZ45" i="19" s="1"/>
  <c r="S32" i="19"/>
  <c r="S33" i="19" s="1"/>
  <c r="S34" i="19" s="1"/>
  <c r="S35" i="19" s="1"/>
  <c r="S36" i="19" s="1"/>
  <c r="S37" i="19" s="1"/>
  <c r="S38" i="19" s="1"/>
  <c r="S39" i="19" s="1"/>
  <c r="S40" i="19" s="1"/>
  <c r="S41" i="19" s="1"/>
  <c r="S42" i="19" s="1"/>
  <c r="S43" i="19" s="1"/>
  <c r="S44" i="19" s="1"/>
  <c r="S45" i="19" s="1"/>
  <c r="T30" i="19"/>
  <c r="T31" i="19" s="1"/>
  <c r="AZ31" i="19" s="1" a="1"/>
  <c r="AZ31" i="19" s="1"/>
  <c r="U30" i="19"/>
  <c r="U31" i="19" s="1"/>
  <c r="BH31" i="19" s="1" a="1"/>
  <c r="BH31" i="19" s="1"/>
  <c r="S30" i="19"/>
  <c r="S31" i="19" s="1"/>
  <c r="V30" i="19"/>
  <c r="V31" i="19" s="1"/>
  <c r="F29" i="25"/>
  <c r="F43" i="25" s="1"/>
  <c r="F28" i="25"/>
  <c r="F42" i="25" s="1"/>
  <c r="F27" i="25"/>
  <c r="F41" i="25" s="1"/>
  <c r="K10" i="25"/>
  <c r="K16" i="25"/>
  <c r="L10" i="25"/>
  <c r="K13" i="25"/>
  <c r="M10" i="25"/>
  <c r="L13" i="25"/>
  <c r="L16" i="25"/>
  <c r="M13" i="25"/>
  <c r="M16" i="25"/>
  <c r="M11" i="25"/>
  <c r="M14" i="25"/>
  <c r="F30" i="25"/>
  <c r="F44" i="25" s="1"/>
  <c r="K9" i="25"/>
  <c r="L9" i="25"/>
  <c r="K12" i="25"/>
  <c r="W11" i="19"/>
  <c r="BP45" i="19" l="1" a="1"/>
  <c r="BP45" i="19" s="1"/>
  <c r="BP30" i="19" a="1"/>
  <c r="BP30" i="19" s="1"/>
  <c r="AZ34" i="19" a="1"/>
  <c r="AZ34" i="19" s="1"/>
  <c r="AZ36" i="19" a="1"/>
  <c r="AZ36" i="19" s="1"/>
  <c r="BP31" i="19" a="1"/>
  <c r="BP31" i="19" s="1"/>
  <c r="AZ33" i="19" a="1"/>
  <c r="AZ33" i="19" s="1"/>
  <c r="BP10" i="19" a="1"/>
  <c r="BP10" i="19" s="1"/>
  <c r="H23" i="17"/>
  <c r="CG23" i="17" s="1" a="1"/>
  <c r="CG23" i="17" s="1"/>
  <c r="BY22" i="17" a="1"/>
  <c r="BY22" i="17" s="1"/>
  <c r="AZ35" i="19" a="1"/>
  <c r="AZ35" i="19" s="1"/>
  <c r="AZ43" i="19" a="1"/>
  <c r="AZ43" i="19" s="1"/>
  <c r="BH44" i="19" a="1"/>
  <c r="BH44" i="19" s="1"/>
  <c r="BH38" i="19" a="1"/>
  <c r="BH38" i="19" s="1"/>
  <c r="AZ30" i="19" a="1"/>
  <c r="AZ30" i="19" s="1"/>
  <c r="AZ32" i="19" a="1"/>
  <c r="AZ32" i="19" s="1"/>
  <c r="AZ38" i="19" a="1"/>
  <c r="AZ38" i="19" s="1"/>
  <c r="BH42" i="19" a="1"/>
  <c r="BH42" i="19" s="1"/>
  <c r="AZ40" i="19" a="1"/>
  <c r="AZ40" i="19" s="1"/>
  <c r="BH40" i="19" a="1"/>
  <c r="BH40" i="19" s="1"/>
  <c r="BP43" i="19" a="1"/>
  <c r="BP43" i="19" s="1"/>
  <c r="BP32" i="19" a="1"/>
  <c r="BP32" i="19" s="1"/>
  <c r="BP34" i="19" a="1"/>
  <c r="BP34" i="19" s="1"/>
  <c r="BP41" i="19" a="1"/>
  <c r="BP41" i="19" s="1"/>
  <c r="BP36" i="19" a="1"/>
  <c r="BP36" i="19" s="1"/>
  <c r="BP38" i="19" a="1"/>
  <c r="BP38" i="19" s="1"/>
  <c r="BH33" i="19" a="1"/>
  <c r="BH33" i="19" s="1"/>
  <c r="BP40" i="19" a="1"/>
  <c r="BP40" i="19" s="1"/>
  <c r="BH32" i="19" a="1"/>
  <c r="BH32" i="19" s="1"/>
  <c r="BH35" i="19" a="1"/>
  <c r="BH35" i="19" s="1"/>
  <c r="BP42" i="19" a="1"/>
  <c r="BP42" i="19" s="1"/>
  <c r="BH30" i="19" a="1"/>
  <c r="BH30" i="19" s="1"/>
  <c r="BH37" i="19" a="1"/>
  <c r="BH37" i="19" s="1"/>
  <c r="BP44" i="19" a="1"/>
  <c r="BP44" i="19" s="1"/>
  <c r="BP33" i="19" a="1"/>
  <c r="BP33" i="19" s="1"/>
  <c r="AZ42" i="19" a="1"/>
  <c r="AZ42" i="19" s="1"/>
  <c r="AZ37" i="19" a="1"/>
  <c r="AZ37" i="19" s="1"/>
  <c r="BH39" i="19" a="1"/>
  <c r="BH39" i="19" s="1"/>
  <c r="BP35" i="19" a="1"/>
  <c r="BP35" i="19" s="1"/>
  <c r="AZ44" i="19" a="1"/>
  <c r="AZ44" i="19" s="1"/>
  <c r="AZ39" i="19" a="1"/>
  <c r="AZ39" i="19" s="1"/>
  <c r="BH34" i="19" a="1"/>
  <c r="BH34" i="19" s="1"/>
  <c r="BH41" i="19" a="1"/>
  <c r="BH41" i="19" s="1"/>
  <c r="BP37" i="19" a="1"/>
  <c r="BP37" i="19" s="1"/>
  <c r="AZ41" i="19" a="1"/>
  <c r="AZ41" i="19" s="1"/>
  <c r="BH36" i="19" a="1"/>
  <c r="BH36" i="19" s="1"/>
  <c r="BH43" i="19" a="1"/>
  <c r="BH43" i="19" s="1"/>
  <c r="BP39" i="19" a="1"/>
  <c r="BP39" i="19" s="1"/>
  <c r="W19" i="19"/>
  <c r="W21" i="19" s="1"/>
  <c r="W22" i="19" s="1"/>
  <c r="W23" i="19" s="1"/>
  <c r="W53" i="24"/>
  <c r="V53" i="24"/>
  <c r="U53" i="24"/>
  <c r="T53" i="24"/>
  <c r="S53" i="24"/>
  <c r="W52" i="24"/>
  <c r="V52" i="24"/>
  <c r="U52" i="24"/>
  <c r="T52" i="24"/>
  <c r="S52" i="24"/>
  <c r="W51" i="24"/>
  <c r="V51" i="24"/>
  <c r="U51" i="24"/>
  <c r="T51" i="24"/>
  <c r="S51" i="24"/>
  <c r="W50" i="24"/>
  <c r="V50" i="24"/>
  <c r="U50" i="24"/>
  <c r="T50" i="24"/>
  <c r="S50" i="24"/>
  <c r="W49" i="24"/>
  <c r="V49" i="24"/>
  <c r="U49" i="24"/>
  <c r="T49" i="24"/>
  <c r="S49" i="24"/>
  <c r="W48" i="24"/>
  <c r="V48" i="24"/>
  <c r="U48" i="24"/>
  <c r="T48" i="24"/>
  <c r="S48" i="24"/>
  <c r="AD16" i="24"/>
  <c r="AD15" i="24"/>
  <c r="AD11" i="24"/>
  <c r="P24" i="23"/>
  <c r="E22" i="23"/>
  <c r="R17" i="23"/>
  <c r="G16" i="23"/>
  <c r="R15" i="23"/>
  <c r="R13" i="23"/>
  <c r="R12" i="23"/>
  <c r="G12" i="23"/>
  <c r="R11" i="23"/>
  <c r="G11" i="23"/>
  <c r="R10" i="23"/>
  <c r="P23" i="23" s="1"/>
  <c r="G10" i="23"/>
  <c r="G9" i="23"/>
  <c r="E23" i="23" s="1"/>
  <c r="R12" i="19" a="1"/>
  <c r="R12" i="19" s="1"/>
  <c r="H24" i="22"/>
  <c r="H25" i="22"/>
  <c r="H26" i="22"/>
  <c r="H27" i="22"/>
  <c r="H23" i="22"/>
  <c r="H24" i="17" l="1"/>
  <c r="BY23" i="17" a="1"/>
  <c r="BY23" i="17" s="1"/>
  <c r="X50" i="24"/>
  <c r="X53" i="24"/>
  <c r="X51" i="24"/>
  <c r="X49" i="24"/>
  <c r="X52" i="24"/>
  <c r="X48" i="24"/>
  <c r="E24" i="23"/>
  <c r="R17" i="19" s="1" a="1"/>
  <c r="E25" i="23"/>
  <c r="P25" i="23"/>
  <c r="E26" i="23"/>
  <c r="P26" i="23"/>
  <c r="P22" i="23"/>
  <c r="R6" i="19" s="1" a="1"/>
  <c r="U12" i="19"/>
  <c r="BH12" i="19" s="1" a="1"/>
  <c r="BH12" i="19" s="1"/>
  <c r="T12" i="19"/>
  <c r="AZ12" i="19" s="1" a="1"/>
  <c r="AZ12" i="19" s="1"/>
  <c r="V12" i="19"/>
  <c r="BP12" i="19" s="1" a="1"/>
  <c r="BP12" i="19" s="1"/>
  <c r="S12" i="19"/>
  <c r="BY24" i="17" l="1" a="1"/>
  <c r="BY24" i="17" s="1"/>
  <c r="CG24" i="17" a="1"/>
  <c r="CG24" i="17" s="1"/>
  <c r="R17" i="19"/>
  <c r="U17" i="19"/>
  <c r="V17" i="19"/>
  <c r="T17" i="19"/>
  <c r="AZ17" i="19" s="1" a="1"/>
  <c r="AZ17" i="19" s="1"/>
  <c r="S17" i="19"/>
  <c r="S19" i="19" s="1"/>
  <c r="R6" i="19"/>
  <c r="R7" i="19" s="1"/>
  <c r="R8" i="19" s="1"/>
  <c r="T6" i="19"/>
  <c r="S6" i="19"/>
  <c r="S7" i="19" s="1"/>
  <c r="S8" i="19" s="1"/>
  <c r="V6" i="19"/>
  <c r="U6" i="19"/>
  <c r="T18" i="19" l="1"/>
  <c r="AZ18" i="19" s="1" a="1"/>
  <c r="AZ18" i="19" s="1"/>
  <c r="T19" i="19"/>
  <c r="AZ19" i="19" s="1" a="1"/>
  <c r="AZ19" i="19" s="1"/>
  <c r="U7" i="19"/>
  <c r="BH6" i="19" a="1"/>
  <c r="BH6" i="19" s="1"/>
  <c r="V7" i="19"/>
  <c r="BP6" i="19" a="1"/>
  <c r="BP6" i="19" s="1"/>
  <c r="T7" i="19"/>
  <c r="AZ6" i="19" a="1"/>
  <c r="AZ6" i="19" s="1"/>
  <c r="V19" i="19"/>
  <c r="BP19" i="19" s="1" a="1"/>
  <c r="BP19" i="19" s="1"/>
  <c r="BP17" i="19" a="1"/>
  <c r="BP17" i="19" s="1"/>
  <c r="U19" i="19"/>
  <c r="BH19" i="19" s="1" a="1"/>
  <c r="BH19" i="19" s="1"/>
  <c r="BH17" i="19" a="1"/>
  <c r="BH17" i="19" s="1"/>
  <c r="S18" i="19"/>
  <c r="S11" i="19"/>
  <c r="S9" i="19"/>
  <c r="R11" i="19"/>
  <c r="R9" i="19"/>
  <c r="V18" i="19"/>
  <c r="BP18" i="19" s="1" a="1"/>
  <c r="BP18" i="19" s="1"/>
  <c r="U18" i="19"/>
  <c r="BH18" i="19" s="1" a="1"/>
  <c r="BH18" i="19" s="1"/>
  <c r="R19" i="19"/>
  <c r="R18" i="19"/>
  <c r="S21" i="19"/>
  <c r="S22" i="19" s="1"/>
  <c r="S23" i="19" s="1"/>
  <c r="S20" i="19"/>
  <c r="T20" i="19" l="1"/>
  <c r="AZ20" i="19" s="1" a="1"/>
  <c r="AZ20" i="19" s="1"/>
  <c r="T21" i="19"/>
  <c r="AZ21" i="19" s="1" a="1"/>
  <c r="AZ21" i="19" s="1"/>
  <c r="V21" i="19"/>
  <c r="V8" i="19"/>
  <c r="BP7" i="19" a="1"/>
  <c r="BP7" i="19" s="1"/>
  <c r="U21" i="19"/>
  <c r="V20" i="19"/>
  <c r="BP20" i="19" s="1" a="1"/>
  <c r="BP20" i="19" s="1"/>
  <c r="T8" i="19"/>
  <c r="AZ7" i="19" a="1"/>
  <c r="AZ7" i="19" s="1"/>
  <c r="U20" i="19"/>
  <c r="BH20" i="19" s="1" a="1"/>
  <c r="BH20" i="19" s="1"/>
  <c r="U8" i="19"/>
  <c r="BH7" i="19" a="1"/>
  <c r="BH7" i="19" s="1"/>
  <c r="R20" i="19"/>
  <c r="R21" i="19"/>
  <c r="R22" i="19" s="1"/>
  <c r="R23" i="19" s="1"/>
  <c r="AP6" i="19"/>
  <c r="AP7" i="19" s="1"/>
  <c r="AP8" i="19" s="1"/>
  <c r="AP9" i="19" s="1"/>
  <c r="AP10" i="19" s="1"/>
  <c r="AP11" i="19" s="1"/>
  <c r="AP12" i="19" s="1"/>
  <c r="AP13" i="19" s="1"/>
  <c r="AP14" i="19" s="1"/>
  <c r="AP15" i="19" s="1"/>
  <c r="AP16" i="19" s="1"/>
  <c r="AP17" i="19" s="1"/>
  <c r="AP18" i="19" s="1"/>
  <c r="AP19" i="19" s="1"/>
  <c r="AP20" i="19" s="1"/>
  <c r="AP21" i="19" s="1"/>
  <c r="AP22" i="19" s="1"/>
  <c r="AP23" i="19" s="1"/>
  <c r="AP24" i="19" s="1"/>
  <c r="AP25" i="19" s="1"/>
  <c r="AP26" i="19" s="1"/>
  <c r="AP27" i="19" s="1"/>
  <c r="AP28" i="19" s="1"/>
  <c r="AP29" i="19" s="1"/>
  <c r="AP30" i="19" s="1"/>
  <c r="AP31" i="19" s="1"/>
  <c r="AP32" i="19" s="1"/>
  <c r="AP33" i="19" s="1"/>
  <c r="AP34" i="19" s="1"/>
  <c r="AP35" i="19" s="1"/>
  <c r="AP36" i="19" s="1"/>
  <c r="AP37" i="19" s="1"/>
  <c r="AP38" i="19" s="1"/>
  <c r="AP39" i="19" s="1"/>
  <c r="AP40" i="19" s="1"/>
  <c r="AP41" i="19" s="1"/>
  <c r="AP42" i="19" s="1"/>
  <c r="AP43" i="19" s="1"/>
  <c r="AP44" i="19" s="1"/>
  <c r="AP45" i="19" s="1"/>
  <c r="AT23" i="19"/>
  <c r="AT22" i="19"/>
  <c r="AT21" i="19"/>
  <c r="AT20" i="19"/>
  <c r="AT19" i="19"/>
  <c r="AT18" i="19"/>
  <c r="AT17" i="19"/>
  <c r="AT12" i="19"/>
  <c r="AT11" i="19"/>
  <c r="AT10" i="19"/>
  <c r="AT9" i="19"/>
  <c r="AT8" i="19"/>
  <c r="AT7" i="19"/>
  <c r="AT6" i="19"/>
  <c r="AL7" i="19"/>
  <c r="AL8" i="19"/>
  <c r="AL9" i="19"/>
  <c r="AL10" i="19"/>
  <c r="AL11" i="19"/>
  <c r="AL12" i="19"/>
  <c r="AL17" i="19"/>
  <c r="AL18" i="19"/>
  <c r="AL19" i="19"/>
  <c r="AL20" i="19"/>
  <c r="AL21" i="19"/>
  <c r="AL22" i="19"/>
  <c r="AL23" i="19"/>
  <c r="AL6" i="19"/>
  <c r="AS23" i="19"/>
  <c r="AS22" i="19"/>
  <c r="AS21" i="19"/>
  <c r="AS20" i="19"/>
  <c r="AS19" i="19"/>
  <c r="AS18" i="19"/>
  <c r="AS17" i="19"/>
  <c r="AS12" i="19"/>
  <c r="AS11" i="19"/>
  <c r="AS10" i="19"/>
  <c r="AS9" i="19"/>
  <c r="AS8" i="19"/>
  <c r="AS7" i="19"/>
  <c r="AS6" i="19"/>
  <c r="AK7" i="19"/>
  <c r="AK8" i="19"/>
  <c r="AK9" i="19"/>
  <c r="AK10" i="19"/>
  <c r="AK11" i="19"/>
  <c r="AK12" i="19"/>
  <c r="AK17" i="19"/>
  <c r="AK18" i="19"/>
  <c r="AK19" i="19"/>
  <c r="AK20" i="19"/>
  <c r="AK21" i="19"/>
  <c r="AK22" i="19"/>
  <c r="AK23" i="19"/>
  <c r="AK6" i="19"/>
  <c r="AH6" i="19"/>
  <c r="AJ3" i="19" s="1"/>
  <c r="T22" i="19" l="1"/>
  <c r="AZ8" i="19" a="1"/>
  <c r="AZ8" i="19" s="1"/>
  <c r="T9" i="19"/>
  <c r="AZ9" i="19" s="1" a="1"/>
  <c r="AZ9" i="19" s="1"/>
  <c r="T11" i="19"/>
  <c r="AZ11" i="19" s="1" a="1"/>
  <c r="AZ11" i="19" s="1"/>
  <c r="AJ30" i="19" a="1"/>
  <c r="AJ30" i="19" s="1"/>
  <c r="AJ37" i="19" a="1"/>
  <c r="AJ37" i="19" s="1"/>
  <c r="AJ40" i="19" a="1"/>
  <c r="AJ40" i="19" s="1"/>
  <c r="AJ44" i="19" a="1"/>
  <c r="AJ44" i="19" s="1"/>
  <c r="AJ34" i="19" a="1"/>
  <c r="AJ34" i="19" s="1"/>
  <c r="AJ41" i="19" a="1"/>
  <c r="AJ41" i="19" s="1"/>
  <c r="AJ45" i="19" a="1"/>
  <c r="AJ45" i="19" s="1"/>
  <c r="AJ31" i="19" a="1"/>
  <c r="AJ31" i="19" s="1"/>
  <c r="AJ32" i="19" a="1"/>
  <c r="AJ32" i="19" s="1"/>
  <c r="AJ33" i="19" a="1"/>
  <c r="AJ33" i="19" s="1"/>
  <c r="AJ39" i="19" a="1"/>
  <c r="AJ39" i="19" s="1"/>
  <c r="AJ38" i="19" a="1"/>
  <c r="AJ38" i="19" s="1"/>
  <c r="AJ35" i="19" a="1"/>
  <c r="AJ35" i="19" s="1"/>
  <c r="AJ42" i="19" a="1"/>
  <c r="AJ42" i="19" s="1"/>
  <c r="AJ43" i="19" a="1"/>
  <c r="AJ43" i="19" s="1"/>
  <c r="AJ36" i="19" a="1"/>
  <c r="AJ36" i="19" s="1"/>
  <c r="U22" i="19"/>
  <c r="BH21" i="19" a="1"/>
  <c r="BH21" i="19" s="1"/>
  <c r="BH8" i="19" a="1"/>
  <c r="BH8" i="19" s="1"/>
  <c r="U11" i="19"/>
  <c r="BH11" i="19" s="1" a="1"/>
  <c r="BH11" i="19" s="1"/>
  <c r="U9" i="19"/>
  <c r="T23" i="19"/>
  <c r="AZ23" i="19" s="1" a="1"/>
  <c r="AZ23" i="19" s="1"/>
  <c r="AZ22" i="19" a="1"/>
  <c r="AZ22" i="19" s="1"/>
  <c r="BP8" i="19" a="1"/>
  <c r="BP8" i="19" s="1"/>
  <c r="V9" i="19"/>
  <c r="BP9" i="19" s="1" a="1"/>
  <c r="BP9" i="19" s="1"/>
  <c r="V11" i="19"/>
  <c r="BP11" i="19" s="1" a="1"/>
  <c r="BP11" i="19" s="1"/>
  <c r="V22" i="19"/>
  <c r="BP21" i="19" a="1"/>
  <c r="BP21" i="19" s="1"/>
  <c r="AJ18" i="19" a="1"/>
  <c r="AJ18" i="19" s="1"/>
  <c r="AJ11" i="19" a="1"/>
  <c r="AJ11" i="19" s="1"/>
  <c r="AJ17" i="19" a="1"/>
  <c r="AJ17" i="19" s="1"/>
  <c r="AJ19" i="19" a="1"/>
  <c r="AJ19" i="19" s="1"/>
  <c r="AJ7" i="19" a="1"/>
  <c r="AJ7" i="19" s="1"/>
  <c r="AJ20" i="19" a="1"/>
  <c r="AJ20" i="19" s="1"/>
  <c r="AJ23" i="19" a="1"/>
  <c r="AJ23" i="19" s="1"/>
  <c r="AJ8" i="19" a="1"/>
  <c r="AJ8" i="19" s="1"/>
  <c r="AJ21" i="19" a="1"/>
  <c r="AJ21" i="19" s="1"/>
  <c r="AJ9" i="19" a="1"/>
  <c r="AJ9" i="19" s="1"/>
  <c r="AJ22" i="19" a="1"/>
  <c r="AJ22" i="19" s="1"/>
  <c r="AJ10" i="19" a="1"/>
  <c r="AJ10" i="19" s="1"/>
  <c r="AJ6" i="19" a="1"/>
  <c r="AJ6" i="19" s="1"/>
  <c r="AJ12" i="19" a="1"/>
  <c r="AJ12" i="19" s="1"/>
  <c r="AH7" i="19"/>
  <c r="AH8" i="19" s="1"/>
  <c r="AH9" i="19" s="1"/>
  <c r="AH10" i="19" s="1"/>
  <c r="AH11" i="19" s="1"/>
  <c r="AH12" i="19" s="1"/>
  <c r="AH13" i="19" s="1"/>
  <c r="AH14" i="19" s="1"/>
  <c r="AH15" i="19" s="1"/>
  <c r="AH16" i="19" s="1"/>
  <c r="AH17" i="19" s="1"/>
  <c r="AH18" i="19" s="1"/>
  <c r="AH19" i="19" s="1"/>
  <c r="AH20" i="19" s="1"/>
  <c r="AH21" i="19" s="1"/>
  <c r="AH22" i="19" s="1"/>
  <c r="AH23" i="19" s="1"/>
  <c r="AH24" i="19" s="1"/>
  <c r="AH25" i="19" s="1"/>
  <c r="AH26" i="19" s="1"/>
  <c r="AH27" i="19" s="1"/>
  <c r="AH28" i="19" s="1"/>
  <c r="AH29" i="19" s="1"/>
  <c r="AH30" i="19" s="1"/>
  <c r="AH31" i="19" s="1"/>
  <c r="AH32" i="19" s="1"/>
  <c r="AH33" i="19" s="1"/>
  <c r="AH34" i="19" s="1"/>
  <c r="AH35" i="19" s="1"/>
  <c r="AH36" i="19" s="1"/>
  <c r="AH37" i="19" s="1"/>
  <c r="AH38" i="19" s="1"/>
  <c r="AH39" i="19" s="1"/>
  <c r="AH40" i="19" s="1"/>
  <c r="AH41" i="19" s="1"/>
  <c r="AH42" i="19" s="1"/>
  <c r="AH43" i="19" s="1"/>
  <c r="AH44" i="19" s="1"/>
  <c r="AH45" i="19" s="1"/>
  <c r="AR3" i="19"/>
  <c r="U23" i="19" l="1"/>
  <c r="BH23" i="19" s="1" a="1"/>
  <c r="BH23" i="19" s="1"/>
  <c r="BH22" i="19" a="1"/>
  <c r="BH22" i="19" s="1"/>
  <c r="V23" i="19"/>
  <c r="BP23" i="19" s="1" a="1"/>
  <c r="BP23" i="19" s="1"/>
  <c r="BP22" i="19" a="1"/>
  <c r="BP22" i="19" s="1"/>
  <c r="AR32" i="19" a="1"/>
  <c r="AR32" i="19" s="1"/>
  <c r="AR35" i="19" a="1"/>
  <c r="AR35" i="19" s="1"/>
  <c r="AR38" i="19" a="1"/>
  <c r="AR38" i="19" s="1"/>
  <c r="AR41" i="19" a="1"/>
  <c r="AR41" i="19" s="1"/>
  <c r="AR44" i="19" a="1"/>
  <c r="AR44" i="19" s="1"/>
  <c r="AR30" i="19" a="1"/>
  <c r="AR30" i="19" s="1"/>
  <c r="AR33" i="19" a="1"/>
  <c r="AR33" i="19" s="1"/>
  <c r="AR36" i="19" a="1"/>
  <c r="AR36" i="19" s="1"/>
  <c r="AR39" i="19" a="1"/>
  <c r="AR39" i="19" s="1"/>
  <c r="AR42" i="19" a="1"/>
  <c r="AR42" i="19" s="1"/>
  <c r="AR45" i="19" a="1"/>
  <c r="AR45" i="19" s="1"/>
  <c r="AR31" i="19" a="1"/>
  <c r="AR31" i="19" s="1"/>
  <c r="AR34" i="19" a="1"/>
  <c r="AR34" i="19" s="1"/>
  <c r="AR37" i="19" a="1"/>
  <c r="AR37" i="19" s="1"/>
  <c r="AR40" i="19" a="1"/>
  <c r="AR40" i="19" s="1"/>
  <c r="AR43" i="19" a="1"/>
  <c r="AR43" i="19" s="1"/>
  <c r="U10" i="19"/>
  <c r="BH10" i="19" s="1" a="1"/>
  <c r="BH10" i="19" s="1"/>
  <c r="BH9" i="19" a="1"/>
  <c r="BH9" i="19" s="1"/>
  <c r="AR20" i="19" a="1"/>
  <c r="AR20" i="19" s="1"/>
  <c r="AR8" i="19" a="1"/>
  <c r="AR8" i="19" s="1"/>
  <c r="AR23" i="19" a="1"/>
  <c r="AR23" i="19" s="1"/>
  <c r="AR21" i="19" a="1"/>
  <c r="AR21" i="19" s="1"/>
  <c r="AR19" i="19" a="1"/>
  <c r="AR19" i="19" s="1"/>
  <c r="AR17" i="19" a="1"/>
  <c r="AR17" i="19" s="1"/>
  <c r="AR11" i="19" a="1"/>
  <c r="AR11" i="19" s="1"/>
  <c r="AR9" i="19" a="1"/>
  <c r="AR9" i="19" s="1"/>
  <c r="AR7" i="19" a="1"/>
  <c r="AR7" i="19" s="1"/>
  <c r="AR18" i="19" a="1"/>
  <c r="AR18" i="19" s="1"/>
  <c r="AR12" i="19" a="1"/>
  <c r="AR12" i="19" s="1"/>
  <c r="AR6" i="19" a="1"/>
  <c r="AR6" i="19" s="1"/>
  <c r="AR22" i="19" a="1"/>
  <c r="AR22" i="19" s="1"/>
  <c r="AR10" i="19" a="1"/>
  <c r="AR10" i="19" s="1"/>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9" i="19"/>
  <c r="S80" i="19"/>
  <c r="S81" i="19" s="1"/>
  <c r="S82" i="19" s="1"/>
  <c r="S83" i="19" s="1"/>
  <c r="S84" i="19" s="1"/>
  <c r="S100" i="19"/>
  <c r="S101" i="19" s="1"/>
  <c r="U101" i="19" s="1"/>
  <c r="T100" i="19"/>
  <c r="Y100" i="19"/>
  <c r="Y101" i="19" s="1"/>
  <c r="Z100" i="19"/>
  <c r="AD100" i="19"/>
  <c r="AD101" i="19" s="1"/>
  <c r="AD102" i="19" s="1"/>
  <c r="AD103" i="19" s="1"/>
  <c r="AD104" i="19" s="1"/>
  <c r="T101" i="19"/>
  <c r="Z101" i="19"/>
  <c r="T102" i="19"/>
  <c r="Z102" i="19"/>
  <c r="T103" i="19"/>
  <c r="Z103" i="19"/>
  <c r="T104" i="19"/>
  <c r="Z104" i="19"/>
  <c r="T105" i="19"/>
  <c r="Z105" i="19"/>
  <c r="T106" i="19"/>
  <c r="Z106" i="19"/>
  <c r="T107" i="19"/>
  <c r="Z107" i="19"/>
  <c r="T108" i="19"/>
  <c r="T109" i="19"/>
  <c r="R69" i="19" a="1"/>
  <c r="R69" i="19" s="1"/>
  <c r="R24" i="19" s="1"/>
  <c r="AJ24" i="19" s="1" a="1"/>
  <c r="AJ24" i="19" s="1"/>
  <c r="AK24" i="19" s="1"/>
  <c r="AL24" i="19" s="1"/>
  <c r="Q69" i="19"/>
  <c r="R64" i="19" a="1"/>
  <c r="R64" i="19" s="1"/>
  <c r="R65" i="19" s="1"/>
  <c r="R59" i="19" a="1"/>
  <c r="R59" i="19" s="1"/>
  <c r="B6" i="21"/>
  <c r="H6" i="21"/>
  <c r="J6" i="21"/>
  <c r="B7" i="21"/>
  <c r="H7" i="21"/>
  <c r="J7" i="21"/>
  <c r="B8" i="21"/>
  <c r="H8" i="21"/>
  <c r="J8" i="21"/>
  <c r="M8" i="21"/>
  <c r="N8" i="21"/>
  <c r="O8" i="21"/>
  <c r="P8" i="21"/>
  <c r="B9" i="21"/>
  <c r="J9" i="21"/>
  <c r="P9" i="21"/>
  <c r="I10" i="21"/>
  <c r="J10" i="21"/>
  <c r="L10" i="21" s="1"/>
  <c r="P10" i="21"/>
  <c r="B15" i="21"/>
  <c r="C19" i="21"/>
  <c r="S167" i="21" s="1"/>
  <c r="C20" i="21"/>
  <c r="C21" i="21"/>
  <c r="D21" i="21"/>
  <c r="C22" i="21"/>
  <c r="C23" i="21"/>
  <c r="C26" i="21"/>
  <c r="D26" i="21"/>
  <c r="E26" i="21"/>
  <c r="C27" i="21"/>
  <c r="D27" i="21"/>
  <c r="E27" i="21"/>
  <c r="C31" i="21"/>
  <c r="D31" i="21"/>
  <c r="E31" i="21"/>
  <c r="C32" i="21"/>
  <c r="D32" i="21"/>
  <c r="E32" i="21"/>
  <c r="C33" i="21"/>
  <c r="D33" i="21"/>
  <c r="E33" i="21"/>
  <c r="K182" i="21" s="1"/>
  <c r="K255" i="21" s="1"/>
  <c r="C36" i="21"/>
  <c r="D36" i="21"/>
  <c r="E36" i="21"/>
  <c r="C37" i="21"/>
  <c r="D37" i="21"/>
  <c r="E37" i="21"/>
  <c r="C38" i="21"/>
  <c r="D38" i="21"/>
  <c r="E38" i="21"/>
  <c r="K169" i="21" s="1"/>
  <c r="K251" i="21" s="1"/>
  <c r="M45" i="21"/>
  <c r="M46" i="21"/>
  <c r="M47" i="21"/>
  <c r="P50" i="21"/>
  <c r="Q44" i="21" s="1"/>
  <c r="C82" i="21" s="1"/>
  <c r="J56" i="21"/>
  <c r="K53" i="21" s="1"/>
  <c r="D60" i="21"/>
  <c r="D61" i="21"/>
  <c r="D62" i="21"/>
  <c r="D63" i="21"/>
  <c r="D64" i="21"/>
  <c r="D65" i="21"/>
  <c r="D66" i="21"/>
  <c r="D67" i="21"/>
  <c r="C68" i="21"/>
  <c r="E62" i="21" s="1"/>
  <c r="C99" i="21" s="1"/>
  <c r="D69" i="21"/>
  <c r="X130" i="21" s="1"/>
  <c r="R136" i="21" s="1"/>
  <c r="D70" i="21"/>
  <c r="X170" i="21" s="1"/>
  <c r="D71" i="21"/>
  <c r="D72" i="21"/>
  <c r="C11" i="21" s="1"/>
  <c r="D73" i="21"/>
  <c r="B82" i="21"/>
  <c r="B224" i="21" s="1"/>
  <c r="K82" i="21"/>
  <c r="K224" i="21" s="1"/>
  <c r="AF82" i="21"/>
  <c r="B83" i="21"/>
  <c r="B225" i="21" s="1"/>
  <c r="H83" i="21"/>
  <c r="H84" i="21" s="1"/>
  <c r="K83" i="21"/>
  <c r="K225" i="21" s="1"/>
  <c r="AB83" i="21"/>
  <c r="B84" i="21"/>
  <c r="B226" i="21" s="1"/>
  <c r="K84" i="21"/>
  <c r="K226" i="21" s="1"/>
  <c r="B85" i="21"/>
  <c r="B227" i="21" s="1"/>
  <c r="H85" i="21"/>
  <c r="H227" i="21" s="1"/>
  <c r="M86" i="21"/>
  <c r="L86" i="21" s="1"/>
  <c r="M87" i="21"/>
  <c r="L87" i="21" s="1"/>
  <c r="R87" i="21"/>
  <c r="V87" i="21"/>
  <c r="Z87" i="21"/>
  <c r="M88" i="21"/>
  <c r="L88" i="21" s="1"/>
  <c r="AF88" i="21"/>
  <c r="M89" i="21"/>
  <c r="L89" i="21" s="1"/>
  <c r="I90" i="21"/>
  <c r="K90" i="21"/>
  <c r="M90" i="21"/>
  <c r="L90" i="21" s="1"/>
  <c r="P90" i="21"/>
  <c r="P91" i="21" s="1"/>
  <c r="P92" i="21" s="1"/>
  <c r="R90" i="21"/>
  <c r="AF90" i="21"/>
  <c r="R91" i="21"/>
  <c r="R92" i="21" s="1"/>
  <c r="D91" i="21" s="1"/>
  <c r="B97" i="21"/>
  <c r="B113" i="21" s="1"/>
  <c r="B238" i="21" s="1"/>
  <c r="S97" i="21"/>
  <c r="B98" i="21"/>
  <c r="B230" i="21" s="1"/>
  <c r="S98" i="21"/>
  <c r="W98" i="21"/>
  <c r="X98" i="21"/>
  <c r="AA98" i="21"/>
  <c r="AC98" i="21"/>
  <c r="B99" i="21"/>
  <c r="B231" i="21" s="1"/>
  <c r="B100" i="21"/>
  <c r="B116" i="21" s="1"/>
  <c r="B241" i="21" s="1"/>
  <c r="B101" i="21"/>
  <c r="B233" i="21" s="1"/>
  <c r="B102" i="21"/>
  <c r="B118" i="21" s="1"/>
  <c r="B243" i="21" s="1"/>
  <c r="R102" i="21"/>
  <c r="V102" i="21"/>
  <c r="Z102" i="21"/>
  <c r="AB102" i="21"/>
  <c r="B103" i="21"/>
  <c r="B235" i="21" s="1"/>
  <c r="H103" i="21"/>
  <c r="H235" i="21" s="1"/>
  <c r="B104" i="21"/>
  <c r="B236" i="21" s="1"/>
  <c r="H104" i="21"/>
  <c r="H236" i="21" s="1"/>
  <c r="P105" i="21"/>
  <c r="P106" i="21" s="1"/>
  <c r="P107" i="21" s="1"/>
  <c r="R105" i="21"/>
  <c r="R106" i="21"/>
  <c r="R107" i="21" s="1"/>
  <c r="D106" i="21" s="1"/>
  <c r="S114" i="21"/>
  <c r="W114" i="21"/>
  <c r="X114" i="21"/>
  <c r="AA114" i="21"/>
  <c r="AC114" i="21"/>
  <c r="R118" i="21"/>
  <c r="V118" i="21"/>
  <c r="Z118" i="21"/>
  <c r="AB118" i="21"/>
  <c r="H119" i="21"/>
  <c r="H120" i="21"/>
  <c r="P121" i="21"/>
  <c r="P122" i="21" s="1"/>
  <c r="P123" i="21" s="1"/>
  <c r="R121" i="21"/>
  <c r="R122" i="21"/>
  <c r="R123" i="21" s="1"/>
  <c r="D122" i="21" s="1"/>
  <c r="H127" i="21"/>
  <c r="AB127" i="21"/>
  <c r="K130" i="21"/>
  <c r="R130" i="21"/>
  <c r="R135" i="21" s="1"/>
  <c r="I9" i="21" s="1"/>
  <c r="K131" i="21"/>
  <c r="K132" i="21"/>
  <c r="K133" i="21"/>
  <c r="K134" i="21"/>
  <c r="K135" i="21"/>
  <c r="P135" i="21"/>
  <c r="P136" i="21" s="1"/>
  <c r="P137" i="21" s="1"/>
  <c r="C136" i="21"/>
  <c r="D159" i="21"/>
  <c r="E159" i="21"/>
  <c r="D160" i="21"/>
  <c r="E160" i="21"/>
  <c r="D161" i="21"/>
  <c r="E161" i="21"/>
  <c r="D162" i="21"/>
  <c r="E162" i="21"/>
  <c r="AD167" i="21"/>
  <c r="H169" i="21"/>
  <c r="K170" i="21"/>
  <c r="K252" i="21" s="1"/>
  <c r="H171" i="21"/>
  <c r="H253" i="21" s="1"/>
  <c r="K172" i="21"/>
  <c r="R172" i="21"/>
  <c r="V172" i="21"/>
  <c r="K173" i="21"/>
  <c r="AD173" i="21"/>
  <c r="K174" i="21"/>
  <c r="AD174" i="21"/>
  <c r="K175" i="21"/>
  <c r="P175" i="21"/>
  <c r="P176" i="21" s="1"/>
  <c r="R175" i="21"/>
  <c r="AD175" i="21"/>
  <c r="C176" i="21"/>
  <c r="R176" i="21"/>
  <c r="R177" i="21" s="1"/>
  <c r="D176" i="21" s="1"/>
  <c r="D170" i="21" s="1"/>
  <c r="C182" i="21"/>
  <c r="H182" i="21"/>
  <c r="H255" i="21" s="1"/>
  <c r="C183" i="21"/>
  <c r="C256" i="21" s="1"/>
  <c r="K183" i="21"/>
  <c r="K256" i="21" s="1"/>
  <c r="C184" i="21"/>
  <c r="C257" i="21" s="1"/>
  <c r="H184" i="21"/>
  <c r="C185" i="21"/>
  <c r="C258" i="21" s="1"/>
  <c r="H185" i="21"/>
  <c r="H258" i="21" s="1"/>
  <c r="C186" i="21"/>
  <c r="C259" i="21" s="1"/>
  <c r="H186" i="21"/>
  <c r="H259" i="21" s="1"/>
  <c r="C187" i="21"/>
  <c r="H187" i="21"/>
  <c r="H189" i="21" s="1"/>
  <c r="H262" i="21" s="1"/>
  <c r="R187" i="21"/>
  <c r="C188" i="21"/>
  <c r="H188" i="21"/>
  <c r="H261" i="21" s="1"/>
  <c r="K190" i="21"/>
  <c r="K263" i="21" s="1"/>
  <c r="P190" i="21"/>
  <c r="P192" i="21" s="1"/>
  <c r="P193" i="21" s="1"/>
  <c r="R190" i="21"/>
  <c r="H198" i="21"/>
  <c r="H266" i="21" s="1"/>
  <c r="K199" i="21"/>
  <c r="K267" i="21" s="1"/>
  <c r="H200" i="21"/>
  <c r="H268" i="21" s="1"/>
  <c r="H201" i="21"/>
  <c r="H269" i="21" s="1"/>
  <c r="V201" i="21"/>
  <c r="C12" i="21" s="1"/>
  <c r="K202" i="21"/>
  <c r="K203" i="21"/>
  <c r="R203" i="21"/>
  <c r="K204" i="21"/>
  <c r="K205" i="21"/>
  <c r="K206" i="21"/>
  <c r="P206" i="21"/>
  <c r="P207" i="21" s="1"/>
  <c r="P208" i="21" s="1"/>
  <c r="R206" i="21"/>
  <c r="C207" i="21"/>
  <c r="A224" i="21"/>
  <c r="E224" i="21"/>
  <c r="F224" i="21"/>
  <c r="G224" i="21"/>
  <c r="J224" i="21"/>
  <c r="E225" i="21"/>
  <c r="F225" i="21"/>
  <c r="G225" i="21"/>
  <c r="J225" i="21"/>
  <c r="E226" i="21"/>
  <c r="F226" i="21"/>
  <c r="G226" i="21"/>
  <c r="J226" i="21"/>
  <c r="E227" i="21"/>
  <c r="F227" i="21"/>
  <c r="G227" i="21"/>
  <c r="J227" i="21"/>
  <c r="A228" i="21"/>
  <c r="B229" i="21"/>
  <c r="E229" i="21"/>
  <c r="F229" i="21"/>
  <c r="G229" i="21"/>
  <c r="H229" i="21"/>
  <c r="I229" i="21"/>
  <c r="J229" i="21"/>
  <c r="K229" i="21"/>
  <c r="E230" i="21"/>
  <c r="F230" i="21"/>
  <c r="G230" i="21"/>
  <c r="H230" i="21"/>
  <c r="J230" i="21"/>
  <c r="E231" i="21"/>
  <c r="F231" i="21"/>
  <c r="G231" i="21"/>
  <c r="J231" i="21"/>
  <c r="E232" i="21"/>
  <c r="F232" i="21"/>
  <c r="G232" i="21"/>
  <c r="I232" i="21"/>
  <c r="J232" i="21"/>
  <c r="K232" i="21"/>
  <c r="E233" i="21"/>
  <c r="F233" i="21"/>
  <c r="G233" i="21"/>
  <c r="I233" i="21"/>
  <c r="J233" i="21"/>
  <c r="K233" i="21"/>
  <c r="E234" i="21"/>
  <c r="F234" i="21"/>
  <c r="G234" i="21"/>
  <c r="I234" i="21"/>
  <c r="J234" i="21"/>
  <c r="K234" i="21"/>
  <c r="E235" i="21"/>
  <c r="F235" i="21"/>
  <c r="G235" i="21"/>
  <c r="J235" i="21"/>
  <c r="E236" i="21"/>
  <c r="F236" i="21"/>
  <c r="G236" i="21"/>
  <c r="J236" i="21"/>
  <c r="A237" i="21"/>
  <c r="E238" i="21"/>
  <c r="F238" i="21"/>
  <c r="G238" i="21"/>
  <c r="I238" i="21"/>
  <c r="J238" i="21"/>
  <c r="K238" i="21"/>
  <c r="E239" i="21"/>
  <c r="F239" i="21"/>
  <c r="G239" i="21"/>
  <c r="H239" i="21"/>
  <c r="J239" i="21"/>
  <c r="E240" i="21"/>
  <c r="F240" i="21"/>
  <c r="G240" i="21"/>
  <c r="J240" i="21"/>
  <c r="E241" i="21"/>
  <c r="F241" i="21"/>
  <c r="G241" i="21"/>
  <c r="I241" i="21"/>
  <c r="J241" i="21"/>
  <c r="K241" i="21"/>
  <c r="E242" i="21"/>
  <c r="F242" i="21"/>
  <c r="G242" i="21"/>
  <c r="I242" i="21"/>
  <c r="J242" i="21"/>
  <c r="K242" i="21"/>
  <c r="E243" i="21"/>
  <c r="F243" i="21"/>
  <c r="G243" i="21"/>
  <c r="I243" i="21"/>
  <c r="J243" i="21"/>
  <c r="K243" i="21"/>
  <c r="E244" i="21"/>
  <c r="F244" i="21"/>
  <c r="G244" i="21"/>
  <c r="J244" i="21"/>
  <c r="E245" i="21"/>
  <c r="F245" i="21"/>
  <c r="G245" i="21"/>
  <c r="J245" i="21"/>
  <c r="A246" i="21"/>
  <c r="B247" i="21"/>
  <c r="C247" i="21"/>
  <c r="E247" i="21"/>
  <c r="F247" i="21"/>
  <c r="G247" i="21"/>
  <c r="J247" i="21"/>
  <c r="A248" i="21"/>
  <c r="B249" i="21"/>
  <c r="C249" i="21"/>
  <c r="E249" i="21"/>
  <c r="F249" i="21"/>
  <c r="G249" i="21"/>
  <c r="H249" i="21"/>
  <c r="J249" i="21"/>
  <c r="B250" i="21"/>
  <c r="C250" i="21"/>
  <c r="E250" i="21"/>
  <c r="F250" i="21"/>
  <c r="G250" i="21"/>
  <c r="H250" i="21"/>
  <c r="J250" i="21"/>
  <c r="B251" i="21"/>
  <c r="C251" i="21"/>
  <c r="E251" i="21"/>
  <c r="F251" i="21"/>
  <c r="G251" i="21"/>
  <c r="J251" i="21"/>
  <c r="B252" i="21"/>
  <c r="C252" i="21"/>
  <c r="E252" i="21"/>
  <c r="F252" i="21"/>
  <c r="G252" i="21"/>
  <c r="H252" i="21"/>
  <c r="J252" i="21"/>
  <c r="B253" i="21"/>
  <c r="C253" i="21"/>
  <c r="E253" i="21"/>
  <c r="F253" i="21"/>
  <c r="G253" i="21"/>
  <c r="J253" i="21"/>
  <c r="A254" i="21"/>
  <c r="B255" i="21"/>
  <c r="C255" i="21"/>
  <c r="E255" i="21"/>
  <c r="F255" i="21"/>
  <c r="G255" i="21"/>
  <c r="J255" i="21"/>
  <c r="B256" i="21"/>
  <c r="E256" i="21"/>
  <c r="F256" i="21"/>
  <c r="G256" i="21"/>
  <c r="J256" i="21"/>
  <c r="B257" i="21"/>
  <c r="E257" i="21"/>
  <c r="F257" i="21"/>
  <c r="G257" i="21"/>
  <c r="J257" i="21"/>
  <c r="B258" i="21"/>
  <c r="E258" i="21"/>
  <c r="F258" i="21"/>
  <c r="G258" i="21"/>
  <c r="J258" i="21"/>
  <c r="B259" i="21"/>
  <c r="E259" i="21"/>
  <c r="F259" i="21"/>
  <c r="G259" i="21"/>
  <c r="J259" i="21"/>
  <c r="B260" i="21"/>
  <c r="E260" i="21"/>
  <c r="F260" i="21"/>
  <c r="G260" i="21"/>
  <c r="J260" i="21"/>
  <c r="B261" i="21"/>
  <c r="C261" i="21"/>
  <c r="E261" i="21"/>
  <c r="F261" i="21"/>
  <c r="G261" i="21"/>
  <c r="J261" i="21"/>
  <c r="B262" i="21"/>
  <c r="C262" i="21"/>
  <c r="E262" i="21"/>
  <c r="F262" i="21"/>
  <c r="G262" i="21"/>
  <c r="J262" i="21"/>
  <c r="B263" i="21"/>
  <c r="C263" i="21"/>
  <c r="E263" i="21"/>
  <c r="F263" i="21"/>
  <c r="G263" i="21"/>
  <c r="J263" i="21"/>
  <c r="B264" i="21"/>
  <c r="C264" i="21"/>
  <c r="E264" i="21"/>
  <c r="F264" i="21"/>
  <c r="G264" i="21"/>
  <c r="J264" i="21"/>
  <c r="A265" i="21"/>
  <c r="B266" i="21"/>
  <c r="C266" i="21"/>
  <c r="E266" i="21"/>
  <c r="F266" i="21"/>
  <c r="G266" i="21"/>
  <c r="J266" i="21"/>
  <c r="B267" i="21"/>
  <c r="C267" i="21"/>
  <c r="E267" i="21"/>
  <c r="F267" i="21"/>
  <c r="G267" i="21"/>
  <c r="I267" i="21"/>
  <c r="J267" i="21"/>
  <c r="B268" i="21"/>
  <c r="C268" i="21"/>
  <c r="E268" i="21"/>
  <c r="F268" i="21"/>
  <c r="G268" i="21"/>
  <c r="J268" i="21"/>
  <c r="B269" i="21"/>
  <c r="C269" i="21"/>
  <c r="E269" i="21"/>
  <c r="F269" i="21"/>
  <c r="G269" i="21"/>
  <c r="J269" i="21"/>
  <c r="O274" i="21"/>
  <c r="H278" i="21"/>
  <c r="H320" i="21"/>
  <c r="K47" i="21" l="1"/>
  <c r="K127" i="21"/>
  <c r="K247" i="21" s="1"/>
  <c r="AA100" i="19"/>
  <c r="B117" i="21"/>
  <c r="B242" i="21" s="1"/>
  <c r="B115" i="21"/>
  <c r="B240" i="21" s="1"/>
  <c r="M51" i="21"/>
  <c r="N49" i="21" s="1"/>
  <c r="B114" i="21"/>
  <c r="B239" i="21" s="1"/>
  <c r="F162" i="21"/>
  <c r="D12" i="21"/>
  <c r="H9" i="21"/>
  <c r="K9" i="21" s="1"/>
  <c r="K187" i="21"/>
  <c r="K260" i="21" s="1"/>
  <c r="B232" i="21"/>
  <c r="K6" i="21"/>
  <c r="B234" i="21"/>
  <c r="I8" i="21"/>
  <c r="L8" i="21" s="1"/>
  <c r="E28" i="21"/>
  <c r="K104" i="21" s="1"/>
  <c r="K236" i="21" s="1"/>
  <c r="F161" i="21"/>
  <c r="B119" i="21"/>
  <c r="B244" i="21" s="1"/>
  <c r="K48" i="21"/>
  <c r="J13" i="21"/>
  <c r="R207" i="21"/>
  <c r="R208" i="21" s="1"/>
  <c r="D207" i="21" s="1"/>
  <c r="D206" i="21" s="1"/>
  <c r="V185" i="21"/>
  <c r="Q50" i="21"/>
  <c r="Q48" i="21"/>
  <c r="K8" i="21"/>
  <c r="D28" i="21"/>
  <c r="K168" i="21"/>
  <c r="K250" i="21" s="1"/>
  <c r="K167" i="21"/>
  <c r="K249" i="21" s="1"/>
  <c r="I6" i="21"/>
  <c r="L6" i="21" s="1"/>
  <c r="D15" i="21"/>
  <c r="K171" i="21"/>
  <c r="K253" i="21" s="1"/>
  <c r="C28" i="21"/>
  <c r="AV6" i="19"/>
  <c r="BL6" i="19"/>
  <c r="BD6" i="19"/>
  <c r="BL18" i="19"/>
  <c r="BD18" i="19"/>
  <c r="AV18" i="19"/>
  <c r="AV28" i="19"/>
  <c r="BL28" i="19"/>
  <c r="BD28" i="19"/>
  <c r="BL16" i="19"/>
  <c r="AV16" i="19"/>
  <c r="BD16" i="19"/>
  <c r="BD27" i="19"/>
  <c r="AV27" i="19"/>
  <c r="BL27" i="19"/>
  <c r="AV15" i="19"/>
  <c r="BL15" i="19"/>
  <c r="BD15" i="19"/>
  <c r="BL26" i="19"/>
  <c r="BD26" i="19"/>
  <c r="AV26" i="19"/>
  <c r="AV14" i="19"/>
  <c r="BL14" i="19"/>
  <c r="BD14" i="19"/>
  <c r="AV25" i="19"/>
  <c r="BL25" i="19"/>
  <c r="BD25" i="19"/>
  <c r="AV13" i="19"/>
  <c r="BD13" i="19"/>
  <c r="BL13" i="19"/>
  <c r="AV24" i="19"/>
  <c r="BL24" i="19"/>
  <c r="BD24" i="19"/>
  <c r="BD12" i="19"/>
  <c r="AV12" i="19"/>
  <c r="BL12" i="19"/>
  <c r="BD23" i="19"/>
  <c r="AV23" i="19"/>
  <c r="BL23" i="19"/>
  <c r="BD11" i="19"/>
  <c r="AV11" i="19"/>
  <c r="BL11" i="19"/>
  <c r="BD22" i="19"/>
  <c r="BL22" i="19"/>
  <c r="AV22" i="19"/>
  <c r="BL10" i="19"/>
  <c r="AV10" i="19"/>
  <c r="BD10" i="19"/>
  <c r="AV29" i="19"/>
  <c r="BL29" i="19"/>
  <c r="BD29" i="19"/>
  <c r="BL21" i="19"/>
  <c r="AV21" i="19"/>
  <c r="BD21" i="19"/>
  <c r="AV9" i="19"/>
  <c r="BD9" i="19"/>
  <c r="BL9" i="19"/>
  <c r="BL17" i="19"/>
  <c r="BD17" i="19"/>
  <c r="AV17" i="19"/>
  <c r="AV20" i="19"/>
  <c r="BL20" i="19"/>
  <c r="BD20" i="19"/>
  <c r="BD8" i="19"/>
  <c r="AV8" i="19"/>
  <c r="BL8" i="19"/>
  <c r="BD19" i="19"/>
  <c r="AV19" i="19"/>
  <c r="BL19" i="19"/>
  <c r="BL7" i="19"/>
  <c r="BD7" i="19"/>
  <c r="AV7" i="19"/>
  <c r="F160" i="21"/>
  <c r="F159" i="21"/>
  <c r="D68" i="21"/>
  <c r="D74" i="21" s="1"/>
  <c r="B120" i="21"/>
  <c r="B245" i="21" s="1"/>
  <c r="N274" i="21"/>
  <c r="K45" i="21"/>
  <c r="K54" i="21"/>
  <c r="K44" i="21"/>
  <c r="K52" i="21"/>
  <c r="K51" i="21"/>
  <c r="H10" i="21"/>
  <c r="K10" i="21" s="1"/>
  <c r="K7" i="21"/>
  <c r="V203" i="21"/>
  <c r="K189" i="21"/>
  <c r="K262" i="21" s="1"/>
  <c r="K185" i="21"/>
  <c r="K258" i="21" s="1"/>
  <c r="H260" i="21"/>
  <c r="M312" i="21" s="1"/>
  <c r="K188" i="21"/>
  <c r="K261" i="21" s="1"/>
  <c r="K184" i="21"/>
  <c r="K257" i="21" s="1"/>
  <c r="I15" i="21"/>
  <c r="R137" i="21"/>
  <c r="D136" i="21" s="1"/>
  <c r="D130" i="21" s="1"/>
  <c r="D11" i="21"/>
  <c r="K191" i="21"/>
  <c r="K264" i="21" s="1"/>
  <c r="K186" i="21"/>
  <c r="K259" i="21" s="1"/>
  <c r="U100" i="19"/>
  <c r="AN6" i="19"/>
  <c r="AN18" i="19"/>
  <c r="AN17" i="19"/>
  <c r="AN28" i="19"/>
  <c r="AN16" i="19"/>
  <c r="AN29" i="19"/>
  <c r="AN27" i="19"/>
  <c r="AN15" i="19"/>
  <c r="AN26" i="19"/>
  <c r="AN14" i="19"/>
  <c r="AN25" i="19"/>
  <c r="AN13" i="19"/>
  <c r="AN24" i="19"/>
  <c r="AN12" i="19"/>
  <c r="AN11" i="19"/>
  <c r="AN22" i="19"/>
  <c r="AN10" i="19"/>
  <c r="AN23" i="19"/>
  <c r="AN21" i="19"/>
  <c r="AN9" i="19"/>
  <c r="AN20" i="19"/>
  <c r="AN8" i="19"/>
  <c r="AN19" i="19"/>
  <c r="AN7" i="19"/>
  <c r="AA101" i="19"/>
  <c r="Y102" i="19"/>
  <c r="S102" i="19"/>
  <c r="V69" i="19"/>
  <c r="V24" i="19" s="1"/>
  <c r="BP24" i="19" s="1" a="1"/>
  <c r="BP24" i="19" s="1"/>
  <c r="BQ24" i="19" s="1"/>
  <c r="BR24" i="19" s="1"/>
  <c r="U69" i="19"/>
  <c r="U24" i="19" s="1"/>
  <c r="BH24" i="19" s="1" a="1"/>
  <c r="BH24" i="19" s="1"/>
  <c r="BI24" i="19" s="1"/>
  <c r="BJ24" i="19" s="1"/>
  <c r="T69" i="19"/>
  <c r="T24" i="19" s="1"/>
  <c r="AZ24" i="19" s="1" a="1"/>
  <c r="AZ24" i="19" s="1"/>
  <c r="BA24" i="19" s="1"/>
  <c r="BB24" i="19" s="1"/>
  <c r="S69" i="19"/>
  <c r="S24" i="19" s="1"/>
  <c r="AR24" i="19" s="1" a="1"/>
  <c r="AR24" i="19" s="1"/>
  <c r="AS24" i="19" s="1"/>
  <c r="AT24" i="19" s="1"/>
  <c r="R27" i="19"/>
  <c r="AJ27" i="19" s="1" a="1"/>
  <c r="AJ27" i="19" s="1"/>
  <c r="AK27" i="19" s="1"/>
  <c r="AL27" i="19" s="1"/>
  <c r="R25" i="19"/>
  <c r="AJ25" i="19" s="1" a="1"/>
  <c r="AJ25" i="19" s="1"/>
  <c r="AK25" i="19" s="1"/>
  <c r="AL25" i="19" s="1"/>
  <c r="R29" i="19"/>
  <c r="AJ29" i="19" s="1" a="1"/>
  <c r="AJ29" i="19" s="1"/>
  <c r="AK29" i="19" s="1"/>
  <c r="AL29" i="19" s="1"/>
  <c r="R26" i="19"/>
  <c r="AJ26" i="19" s="1" a="1"/>
  <c r="AJ26" i="19" s="1"/>
  <c r="AK26" i="19" s="1"/>
  <c r="AL26" i="19" s="1"/>
  <c r="R28" i="19"/>
  <c r="AJ28" i="19" s="1" a="1"/>
  <c r="AJ28" i="19" s="1"/>
  <c r="AK28" i="19" s="1"/>
  <c r="AL28" i="19" s="1"/>
  <c r="V64" i="19"/>
  <c r="V65" i="19" s="1"/>
  <c r="U64" i="19"/>
  <c r="U65" i="19" s="1"/>
  <c r="T64" i="19"/>
  <c r="T65" i="19" s="1"/>
  <c r="S64" i="19"/>
  <c r="S65" i="19" s="1"/>
  <c r="V59" i="19"/>
  <c r="U59" i="19"/>
  <c r="T59" i="19"/>
  <c r="S59" i="19"/>
  <c r="C8" i="21"/>
  <c r="D121" i="21"/>
  <c r="M121" i="21" s="1"/>
  <c r="L121" i="21" s="1"/>
  <c r="I170" i="21"/>
  <c r="I252" i="21" s="1"/>
  <c r="M170" i="21"/>
  <c r="D252" i="21"/>
  <c r="M300" i="21"/>
  <c r="M289" i="21"/>
  <c r="D174" i="21"/>
  <c r="D168" i="21"/>
  <c r="C10" i="21"/>
  <c r="D10" i="21" s="1"/>
  <c r="D167" i="21"/>
  <c r="D169" i="21"/>
  <c r="D171" i="21"/>
  <c r="D173" i="21"/>
  <c r="D175" i="21"/>
  <c r="C6" i="21"/>
  <c r="D6" i="21" s="1"/>
  <c r="M113" i="21"/>
  <c r="C224" i="21"/>
  <c r="D82" i="21"/>
  <c r="C7" i="21"/>
  <c r="D105" i="21"/>
  <c r="M105" i="21" s="1"/>
  <c r="L105" i="21" s="1"/>
  <c r="L9" i="21"/>
  <c r="D172" i="21"/>
  <c r="C115" i="21"/>
  <c r="D99" i="21"/>
  <c r="C231" i="21"/>
  <c r="C192" i="21"/>
  <c r="C260" i="21"/>
  <c r="E61" i="21"/>
  <c r="C98" i="21" s="1"/>
  <c r="X85" i="21"/>
  <c r="X87" i="21" s="1"/>
  <c r="E66" i="21"/>
  <c r="C103" i="21" s="1"/>
  <c r="E60" i="21"/>
  <c r="Q46" i="21"/>
  <c r="C84" i="21" s="1"/>
  <c r="E67" i="21"/>
  <c r="C104" i="21" s="1"/>
  <c r="C74" i="21"/>
  <c r="K50" i="21"/>
  <c r="I7" i="21"/>
  <c r="E65" i="21"/>
  <c r="C102" i="21" s="1"/>
  <c r="Q49" i="21"/>
  <c r="I11" i="21"/>
  <c r="I14" i="21" s="1"/>
  <c r="H191" i="21"/>
  <c r="K46" i="21"/>
  <c r="J14" i="21"/>
  <c r="E64" i="21"/>
  <c r="C101" i="21" s="1"/>
  <c r="K55" i="21"/>
  <c r="K49" i="21"/>
  <c r="Q45" i="21"/>
  <c r="C83" i="21" s="1"/>
  <c r="E63" i="21"/>
  <c r="C100" i="21" s="1"/>
  <c r="Q47" i="21"/>
  <c r="C85" i="21" s="1"/>
  <c r="C6" i="20"/>
  <c r="L6" i="20"/>
  <c r="S6" i="20"/>
  <c r="C7" i="20"/>
  <c r="L7" i="20"/>
  <c r="S7" i="20"/>
  <c r="C8" i="20"/>
  <c r="L8" i="20"/>
  <c r="N8" i="20"/>
  <c r="P8" i="20"/>
  <c r="Q8" i="20"/>
  <c r="S8" i="20"/>
  <c r="S9" i="20" s="1"/>
  <c r="C9" i="20"/>
  <c r="L9" i="20"/>
  <c r="C10" i="20"/>
  <c r="L10" i="20"/>
  <c r="N10" i="20"/>
  <c r="O10" i="20"/>
  <c r="P10" i="20"/>
  <c r="Q10" i="20"/>
  <c r="S10" i="20"/>
  <c r="D16" i="20"/>
  <c r="T257" i="20" s="1"/>
  <c r="D17" i="20"/>
  <c r="J74" i="20" s="1"/>
  <c r="D18" i="20"/>
  <c r="F18" i="20"/>
  <c r="D19" i="20"/>
  <c r="J8" i="20" s="1"/>
  <c r="M8" i="20" s="1"/>
  <c r="D22" i="20"/>
  <c r="E22" i="20"/>
  <c r="F22" i="20"/>
  <c r="D23" i="20"/>
  <c r="E23" i="20"/>
  <c r="F23" i="20"/>
  <c r="D24" i="20"/>
  <c r="E24" i="20"/>
  <c r="F24" i="20"/>
  <c r="M93" i="20" s="1"/>
  <c r="N207" i="20" s="1"/>
  <c r="D27" i="20"/>
  <c r="E27" i="20"/>
  <c r="F27" i="20"/>
  <c r="D28" i="20"/>
  <c r="E28" i="20"/>
  <c r="F28" i="20"/>
  <c r="D29" i="20"/>
  <c r="E29" i="20"/>
  <c r="F29" i="20"/>
  <c r="M146" i="20" s="1"/>
  <c r="N225" i="20" s="1"/>
  <c r="D32" i="20"/>
  <c r="E32" i="20"/>
  <c r="F32" i="20"/>
  <c r="D33" i="20"/>
  <c r="E33" i="20"/>
  <c r="F33" i="20"/>
  <c r="D34" i="20"/>
  <c r="E34" i="20"/>
  <c r="F34" i="20"/>
  <c r="R7" i="20" s="1"/>
  <c r="D62" i="20"/>
  <c r="F45" i="20" s="1"/>
  <c r="G62" i="20"/>
  <c r="I41" i="20" s="1"/>
  <c r="I65" i="20" s="1"/>
  <c r="J62" i="20"/>
  <c r="K46" i="20" s="1"/>
  <c r="L62" i="20"/>
  <c r="M42" i="20" s="1"/>
  <c r="M70" i="20" s="1"/>
  <c r="C64" i="20"/>
  <c r="G64" i="20"/>
  <c r="J64" i="20"/>
  <c r="L64" i="20"/>
  <c r="C65" i="20"/>
  <c r="G65" i="20"/>
  <c r="J65" i="20"/>
  <c r="L65" i="20"/>
  <c r="W163" i="20" s="1"/>
  <c r="S169" i="20" s="1"/>
  <c r="S170" i="20" s="1"/>
  <c r="F169" i="20" s="1"/>
  <c r="C66" i="20"/>
  <c r="G66" i="20"/>
  <c r="J66" i="20"/>
  <c r="L66" i="20"/>
  <c r="M67" i="20"/>
  <c r="L67" i="20" s="1"/>
  <c r="G68" i="20"/>
  <c r="J68" i="20"/>
  <c r="L68" i="20"/>
  <c r="G69" i="20"/>
  <c r="J69" i="20"/>
  <c r="L69" i="20"/>
  <c r="G70" i="20"/>
  <c r="J70" i="20"/>
  <c r="L70" i="20"/>
  <c r="J76" i="20"/>
  <c r="D83" i="20"/>
  <c r="D85" i="20" s="1"/>
  <c r="F83" i="20"/>
  <c r="D108" i="20" s="1"/>
  <c r="D208" i="20" s="1"/>
  <c r="C93" i="20"/>
  <c r="C207" i="20" s="1"/>
  <c r="J93" i="20"/>
  <c r="J207" i="20" s="1"/>
  <c r="M94" i="20"/>
  <c r="AC94" i="20"/>
  <c r="AE94" i="20"/>
  <c r="M95" i="20"/>
  <c r="M96" i="20"/>
  <c r="M97" i="20"/>
  <c r="M98" i="20"/>
  <c r="S98" i="20"/>
  <c r="M99" i="20"/>
  <c r="M100" i="20"/>
  <c r="Y100" i="20"/>
  <c r="M101" i="20"/>
  <c r="R101" i="20"/>
  <c r="R102" i="20" s="1"/>
  <c r="R103" i="20" s="1"/>
  <c r="S101" i="20"/>
  <c r="D102" i="20"/>
  <c r="F103" i="20"/>
  <c r="C108" i="20"/>
  <c r="C208" i="20" s="1"/>
  <c r="J108" i="20"/>
  <c r="J208" i="20" s="1"/>
  <c r="C109" i="20"/>
  <c r="C209" i="20" s="1"/>
  <c r="J109" i="20"/>
  <c r="J209" i="20" s="1"/>
  <c r="S109" i="20"/>
  <c r="M110" i="20"/>
  <c r="M111" i="20"/>
  <c r="M112" i="20"/>
  <c r="M113" i="20"/>
  <c r="S113" i="20"/>
  <c r="M114" i="20"/>
  <c r="M115" i="20"/>
  <c r="M116" i="20"/>
  <c r="R116" i="20"/>
  <c r="R117" i="20" s="1"/>
  <c r="R118" i="20" s="1"/>
  <c r="S116" i="20"/>
  <c r="C123" i="20"/>
  <c r="C210" i="20" s="1"/>
  <c r="J123" i="20"/>
  <c r="J210" i="20" s="1"/>
  <c r="C124" i="20"/>
  <c r="C211" i="20" s="1"/>
  <c r="J124" i="20"/>
  <c r="AD124" i="20"/>
  <c r="C125" i="20"/>
  <c r="AG125" i="20"/>
  <c r="C126" i="20"/>
  <c r="J126" i="20"/>
  <c r="J213" i="20" s="1"/>
  <c r="AG126" i="20"/>
  <c r="C127" i="20"/>
  <c r="C214" i="20" s="1"/>
  <c r="M127" i="20"/>
  <c r="N214" i="20" s="1"/>
  <c r="AG127" i="20"/>
  <c r="C128" i="20"/>
  <c r="C215" i="20" s="1"/>
  <c r="J128" i="20"/>
  <c r="J215" i="20" s="1"/>
  <c r="S128" i="20"/>
  <c r="C129" i="20"/>
  <c r="C216" i="20" s="1"/>
  <c r="J129" i="20"/>
  <c r="J216" i="20" s="1"/>
  <c r="C130" i="20"/>
  <c r="C217" i="20" s="1"/>
  <c r="C131" i="20"/>
  <c r="C218" i="20" s="1"/>
  <c r="M131" i="20"/>
  <c r="N218" i="20" s="1"/>
  <c r="R131" i="20"/>
  <c r="R132" i="20" s="1"/>
  <c r="R133" i="20" s="1"/>
  <c r="S131" i="20"/>
  <c r="C132" i="20"/>
  <c r="C219" i="20" s="1"/>
  <c r="J132" i="20"/>
  <c r="J219" i="20" s="1"/>
  <c r="C133" i="20"/>
  <c r="C220" i="20" s="1"/>
  <c r="J133" i="20"/>
  <c r="J220" i="20" s="1"/>
  <c r="C134" i="20"/>
  <c r="C221" i="20" s="1"/>
  <c r="J134" i="20"/>
  <c r="J221" i="20" s="1"/>
  <c r="C135" i="20"/>
  <c r="C222" i="20" s="1"/>
  <c r="M135" i="20"/>
  <c r="N222" i="20" s="1"/>
  <c r="C136" i="20"/>
  <c r="C223" i="20" s="1"/>
  <c r="J136" i="20"/>
  <c r="J223" i="20" s="1"/>
  <c r="M137" i="20"/>
  <c r="M138" i="20"/>
  <c r="F139" i="20"/>
  <c r="F137" i="20" s="1"/>
  <c r="C145" i="20"/>
  <c r="J145" i="20"/>
  <c r="K145" i="20" s="1"/>
  <c r="C146" i="20"/>
  <c r="C225" i="20" s="1"/>
  <c r="J146" i="20"/>
  <c r="K146" i="20" s="1"/>
  <c r="M147" i="20"/>
  <c r="M148" i="20"/>
  <c r="M149" i="20"/>
  <c r="M150" i="20"/>
  <c r="S150" i="20"/>
  <c r="W150" i="20"/>
  <c r="M151" i="20"/>
  <c r="M152" i="20"/>
  <c r="M153" i="20"/>
  <c r="R153" i="20"/>
  <c r="R154" i="20" s="1"/>
  <c r="R155" i="20" s="1"/>
  <c r="S153" i="20"/>
  <c r="F154" i="20"/>
  <c r="D9" i="20" s="1"/>
  <c r="M160" i="20"/>
  <c r="N226" i="20" s="1"/>
  <c r="J161" i="20"/>
  <c r="J227" i="20" s="1"/>
  <c r="AG161" i="20"/>
  <c r="J162" i="20"/>
  <c r="J228" i="20" s="1"/>
  <c r="S165" i="20"/>
  <c r="M168" i="20"/>
  <c r="N234" i="20" s="1"/>
  <c r="R168" i="20"/>
  <c r="R169" i="20" s="1"/>
  <c r="R170" i="20" s="1"/>
  <c r="S168" i="20"/>
  <c r="D169" i="20"/>
  <c r="L180" i="20"/>
  <c r="L182" i="20" s="1"/>
  <c r="L183" i="20" s="1"/>
  <c r="D182" i="20"/>
  <c r="D184" i="20" s="1"/>
  <c r="H183" i="20"/>
  <c r="D189" i="20"/>
  <c r="E189" i="20"/>
  <c r="D190" i="20"/>
  <c r="F190" i="20" s="1"/>
  <c r="C205" i="20"/>
  <c r="C206" i="20"/>
  <c r="A207" i="20"/>
  <c r="D207" i="20"/>
  <c r="E207" i="20"/>
  <c r="G207" i="20"/>
  <c r="I207" i="20"/>
  <c r="M207" i="20"/>
  <c r="A208" i="20"/>
  <c r="E208" i="20"/>
  <c r="G208" i="20"/>
  <c r="I208" i="20"/>
  <c r="M208" i="20"/>
  <c r="E209" i="20"/>
  <c r="G209" i="20"/>
  <c r="I209" i="20"/>
  <c r="M209" i="20"/>
  <c r="A210" i="20"/>
  <c r="E210" i="20"/>
  <c r="G210" i="20"/>
  <c r="I210" i="20"/>
  <c r="M210" i="20"/>
  <c r="E211" i="20"/>
  <c r="G211" i="20"/>
  <c r="I211" i="20"/>
  <c r="J211" i="20"/>
  <c r="M211" i="20"/>
  <c r="C212" i="20"/>
  <c r="E212" i="20"/>
  <c r="G212" i="20"/>
  <c r="I212" i="20"/>
  <c r="J212" i="20"/>
  <c r="L212" i="20"/>
  <c r="M212" i="20"/>
  <c r="N212" i="20"/>
  <c r="C213" i="20"/>
  <c r="E213" i="20"/>
  <c r="G213" i="20"/>
  <c r="I213" i="20"/>
  <c r="M213" i="20"/>
  <c r="E214" i="20"/>
  <c r="G214" i="20"/>
  <c r="I214" i="20"/>
  <c r="J214" i="20"/>
  <c r="M214" i="20"/>
  <c r="E215" i="20"/>
  <c r="G215" i="20"/>
  <c r="I215" i="20"/>
  <c r="M215" i="20"/>
  <c r="E216" i="20"/>
  <c r="G216" i="20"/>
  <c r="I216" i="20"/>
  <c r="M216" i="20"/>
  <c r="E217" i="20"/>
  <c r="G217" i="20"/>
  <c r="I217" i="20"/>
  <c r="J217" i="20"/>
  <c r="L217" i="20"/>
  <c r="M217" i="20"/>
  <c r="N217" i="20"/>
  <c r="E218" i="20"/>
  <c r="G218" i="20"/>
  <c r="I218" i="20"/>
  <c r="J218" i="20"/>
  <c r="M218" i="20"/>
  <c r="E219" i="20"/>
  <c r="G219" i="20"/>
  <c r="I219" i="20"/>
  <c r="M219" i="20"/>
  <c r="E220" i="20"/>
  <c r="G220" i="20"/>
  <c r="I220" i="20"/>
  <c r="M220" i="20"/>
  <c r="E221" i="20"/>
  <c r="G221" i="20"/>
  <c r="I221" i="20"/>
  <c r="M221" i="20"/>
  <c r="E222" i="20"/>
  <c r="G222" i="20"/>
  <c r="I222" i="20"/>
  <c r="J222" i="20"/>
  <c r="M222" i="20"/>
  <c r="E223" i="20"/>
  <c r="G223" i="20"/>
  <c r="I223" i="20"/>
  <c r="M223" i="20"/>
  <c r="A224" i="20"/>
  <c r="C224" i="20"/>
  <c r="E224" i="20"/>
  <c r="F224" i="20"/>
  <c r="G224" i="20"/>
  <c r="I224" i="20"/>
  <c r="M224" i="20"/>
  <c r="E225" i="20"/>
  <c r="F225" i="20"/>
  <c r="G225" i="20"/>
  <c r="I225" i="20"/>
  <c r="M225" i="20"/>
  <c r="C226" i="20"/>
  <c r="D226" i="20"/>
  <c r="E226" i="20"/>
  <c r="G226" i="20"/>
  <c r="I226" i="20"/>
  <c r="J226" i="20"/>
  <c r="M226" i="20"/>
  <c r="C227" i="20"/>
  <c r="D227" i="20"/>
  <c r="E227" i="20"/>
  <c r="G227" i="20"/>
  <c r="I227" i="20"/>
  <c r="M227" i="20"/>
  <c r="C228" i="20"/>
  <c r="D228" i="20"/>
  <c r="E228" i="20"/>
  <c r="G228" i="20"/>
  <c r="I228" i="20"/>
  <c r="M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J266" i="20"/>
  <c r="J267" i="20"/>
  <c r="J268" i="20"/>
  <c r="J270" i="20"/>
  <c r="Q60" i="19"/>
  <c r="N44" i="21" l="1"/>
  <c r="N50" i="21"/>
  <c r="N45" i="21"/>
  <c r="N48" i="21"/>
  <c r="N47" i="21"/>
  <c r="N46" i="21"/>
  <c r="J224" i="20"/>
  <c r="F85" i="20"/>
  <c r="D109" i="20"/>
  <c r="D209" i="20" s="1"/>
  <c r="K119" i="21"/>
  <c r="K244" i="21" s="1"/>
  <c r="K198" i="21"/>
  <c r="K266" i="21" s="1"/>
  <c r="D199" i="21"/>
  <c r="M199" i="21" s="1"/>
  <c r="M133" i="20"/>
  <c r="N220" i="20" s="1"/>
  <c r="K200" i="21"/>
  <c r="K268" i="21" s="1"/>
  <c r="D201" i="21"/>
  <c r="I201" i="21" s="1"/>
  <c r="I269" i="21" s="1"/>
  <c r="M123" i="20"/>
  <c r="N210" i="20" s="1"/>
  <c r="D205" i="21"/>
  <c r="D198" i="21"/>
  <c r="D266" i="21" s="1"/>
  <c r="D204" i="21"/>
  <c r="M204" i="21" s="1"/>
  <c r="L204" i="21" s="1"/>
  <c r="K99" i="21"/>
  <c r="K231" i="21" s="1"/>
  <c r="K201" i="21"/>
  <c r="K269" i="21" s="1"/>
  <c r="D202" i="21"/>
  <c r="I202" i="21" s="1"/>
  <c r="M57" i="20"/>
  <c r="K85" i="21"/>
  <c r="K227" i="21" s="1"/>
  <c r="K114" i="21"/>
  <c r="K239" i="21" s="1"/>
  <c r="K120" i="21"/>
  <c r="K245" i="21" s="1"/>
  <c r="K103" i="21"/>
  <c r="K235" i="21" s="1"/>
  <c r="K98" i="21"/>
  <c r="K230" i="21" s="1"/>
  <c r="N70" i="20"/>
  <c r="K115" i="21"/>
  <c r="K240" i="21" s="1"/>
  <c r="D203" i="21"/>
  <c r="I203" i="21" s="1"/>
  <c r="N289" i="21"/>
  <c r="D200" i="21"/>
  <c r="D268" i="21" s="1"/>
  <c r="N300" i="21"/>
  <c r="F148" i="20"/>
  <c r="K148" i="20" s="1"/>
  <c r="M40" i="20"/>
  <c r="M64" i="20" s="1"/>
  <c r="F163" i="21"/>
  <c r="G15" i="21" s="1"/>
  <c r="F15" i="21" s="1"/>
  <c r="C9" i="21"/>
  <c r="D9" i="21" s="1"/>
  <c r="V187" i="21"/>
  <c r="R192" i="21"/>
  <c r="R193" i="21" s="1"/>
  <c r="D192" i="21" s="1"/>
  <c r="N312" i="21"/>
  <c r="H13" i="21"/>
  <c r="K13" i="21" s="1"/>
  <c r="W126" i="20"/>
  <c r="S132" i="20" s="1"/>
  <c r="I52" i="20"/>
  <c r="M44" i="20"/>
  <c r="M41" i="20"/>
  <c r="M65" i="20" s="1"/>
  <c r="H14" i="21"/>
  <c r="K14" i="21" s="1"/>
  <c r="D133" i="21"/>
  <c r="I133" i="21" s="1"/>
  <c r="N67" i="20"/>
  <c r="D128" i="21"/>
  <c r="M128" i="21" s="1"/>
  <c r="L128" i="21" s="1"/>
  <c r="D131" i="21"/>
  <c r="I131" i="21" s="1"/>
  <c r="D135" i="21"/>
  <c r="M135" i="21" s="1"/>
  <c r="L135" i="21" s="1"/>
  <c r="D127" i="21"/>
  <c r="D247" i="21" s="1"/>
  <c r="N65" i="20"/>
  <c r="D129" i="21"/>
  <c r="M129" i="21" s="1"/>
  <c r="L129" i="21" s="1"/>
  <c r="M126" i="20"/>
  <c r="N213" i="20" s="1"/>
  <c r="M134" i="20"/>
  <c r="N221" i="20" s="1"/>
  <c r="N66" i="20"/>
  <c r="M129" i="20"/>
  <c r="N216" i="20" s="1"/>
  <c r="M145" i="20"/>
  <c r="N224" i="20" s="1"/>
  <c r="L74" i="20"/>
  <c r="F189" i="20"/>
  <c r="D132" i="21"/>
  <c r="M132" i="21" s="1"/>
  <c r="L132" i="21" s="1"/>
  <c r="D134" i="21"/>
  <c r="I134" i="21" s="1"/>
  <c r="E9" i="20"/>
  <c r="N68" i="20"/>
  <c r="R10" i="20"/>
  <c r="M283" i="21"/>
  <c r="N283" i="21" s="1"/>
  <c r="M303" i="21"/>
  <c r="N303" i="21" s="1"/>
  <c r="M285" i="21"/>
  <c r="N285" i="21" s="1"/>
  <c r="M305" i="21"/>
  <c r="N305" i="21" s="1"/>
  <c r="P6" i="21"/>
  <c r="AF89" i="21" s="1"/>
  <c r="M308" i="21"/>
  <c r="N308" i="21" s="1"/>
  <c r="M296" i="21"/>
  <c r="N296" i="21" s="1"/>
  <c r="M311" i="21"/>
  <c r="N311" i="21" s="1"/>
  <c r="M310" i="21"/>
  <c r="N310" i="21" s="1"/>
  <c r="M288" i="21"/>
  <c r="N288" i="21" s="1"/>
  <c r="M291" i="21"/>
  <c r="N291" i="21" s="1"/>
  <c r="M290" i="21"/>
  <c r="N290" i="21" s="1"/>
  <c r="M276" i="21"/>
  <c r="N276" i="21" s="1"/>
  <c r="M301" i="21"/>
  <c r="N301" i="21" s="1"/>
  <c r="M281" i="21"/>
  <c r="N281" i="21" s="1"/>
  <c r="K56" i="21"/>
  <c r="M306" i="21"/>
  <c r="N306" i="21" s="1"/>
  <c r="M293" i="21"/>
  <c r="N293" i="21" s="1"/>
  <c r="M280" i="21"/>
  <c r="N280" i="21" s="1"/>
  <c r="M286" i="21"/>
  <c r="N286" i="21" s="1"/>
  <c r="M292" i="21"/>
  <c r="N292" i="21" s="1"/>
  <c r="M313" i="21"/>
  <c r="N313" i="21" s="1"/>
  <c r="M309" i="21"/>
  <c r="N309" i="21" s="1"/>
  <c r="K49" i="20"/>
  <c r="K48" i="20"/>
  <c r="D8" i="20"/>
  <c r="E8" i="20" s="1"/>
  <c r="K40" i="20"/>
  <c r="K64" i="20" s="1"/>
  <c r="K61" i="20"/>
  <c r="I48" i="20"/>
  <c r="G71" i="20"/>
  <c r="F61" i="20"/>
  <c r="M45" i="20"/>
  <c r="F84" i="20"/>
  <c r="W111" i="20" s="1"/>
  <c r="K60" i="20"/>
  <c r="K45" i="20"/>
  <c r="W96" i="20"/>
  <c r="D6" i="20" s="1"/>
  <c r="K57" i="20"/>
  <c r="K44" i="20"/>
  <c r="K66" i="20" s="1"/>
  <c r="J71" i="20"/>
  <c r="J75" i="20" s="1"/>
  <c r="L75" i="20" s="1"/>
  <c r="F57" i="20"/>
  <c r="K42" i="20"/>
  <c r="K70" i="20" s="1"/>
  <c r="K56" i="20"/>
  <c r="K53" i="20"/>
  <c r="K41" i="20"/>
  <c r="K65" i="20" s="1"/>
  <c r="K52" i="20"/>
  <c r="F41" i="20"/>
  <c r="F65" i="20" s="1"/>
  <c r="M109" i="20"/>
  <c r="N209" i="20" s="1"/>
  <c r="M161" i="20"/>
  <c r="N227" i="20" s="1"/>
  <c r="M108" i="20"/>
  <c r="N208" i="20" s="1"/>
  <c r="U243" i="20"/>
  <c r="M136" i="20"/>
  <c r="N223" i="20" s="1"/>
  <c r="M132" i="20"/>
  <c r="N219" i="20" s="1"/>
  <c r="M128" i="20"/>
  <c r="N215" i="20" s="1"/>
  <c r="M162" i="20"/>
  <c r="N228" i="20" s="1"/>
  <c r="M124" i="20"/>
  <c r="N211" i="20" s="1"/>
  <c r="L76" i="20"/>
  <c r="AB93" i="20"/>
  <c r="J225" i="20"/>
  <c r="AA102" i="19"/>
  <c r="Y103" i="19"/>
  <c r="S103" i="19"/>
  <c r="U102" i="19"/>
  <c r="U27" i="19"/>
  <c r="BH27" i="19" s="1" a="1"/>
  <c r="BH27" i="19" s="1"/>
  <c r="BI27" i="19" s="1"/>
  <c r="BJ27" i="19" s="1"/>
  <c r="U26" i="19"/>
  <c r="BH26" i="19" s="1" a="1"/>
  <c r="BH26" i="19" s="1"/>
  <c r="BI26" i="19" s="1"/>
  <c r="BJ26" i="19" s="1"/>
  <c r="U29" i="19"/>
  <c r="BH29" i="19" s="1" a="1"/>
  <c r="BH29" i="19" s="1"/>
  <c r="BI29" i="19" s="1"/>
  <c r="BJ29" i="19" s="1"/>
  <c r="U25" i="19"/>
  <c r="BH25" i="19" s="1" a="1"/>
  <c r="BH25" i="19" s="1"/>
  <c r="BI25" i="19" s="1"/>
  <c r="BJ25" i="19" s="1"/>
  <c r="U28" i="19"/>
  <c r="BH28" i="19" s="1" a="1"/>
  <c r="BH28" i="19" s="1"/>
  <c r="BI28" i="19" s="1"/>
  <c r="BJ28" i="19" s="1"/>
  <c r="S25" i="19"/>
  <c r="AR25" i="19" s="1" a="1"/>
  <c r="AR25" i="19" s="1"/>
  <c r="AS25" i="19" s="1"/>
  <c r="AT25" i="19" s="1"/>
  <c r="S28" i="19"/>
  <c r="AR28" i="19" s="1" a="1"/>
  <c r="AR28" i="19" s="1"/>
  <c r="AS28" i="19" s="1"/>
  <c r="AT28" i="19" s="1"/>
  <c r="S26" i="19"/>
  <c r="AR26" i="19" s="1" a="1"/>
  <c r="AR26" i="19" s="1"/>
  <c r="AS26" i="19" s="1"/>
  <c r="AT26" i="19" s="1"/>
  <c r="S29" i="19"/>
  <c r="AR29" i="19" s="1" a="1"/>
  <c r="AR29" i="19" s="1"/>
  <c r="AS29" i="19" s="1"/>
  <c r="AT29" i="19" s="1"/>
  <c r="S27" i="19"/>
  <c r="AR27" i="19" s="1" a="1"/>
  <c r="AR27" i="19" s="1"/>
  <c r="AS27" i="19" s="1"/>
  <c r="AT27" i="19" s="1"/>
  <c r="V26" i="19"/>
  <c r="BP26" i="19" s="1" a="1"/>
  <c r="BP26" i="19" s="1"/>
  <c r="BQ26" i="19" s="1"/>
  <c r="BR26" i="19" s="1"/>
  <c r="V29" i="19"/>
  <c r="BP29" i="19" s="1" a="1"/>
  <c r="BP29" i="19" s="1"/>
  <c r="BQ29" i="19" s="1"/>
  <c r="BR29" i="19" s="1"/>
  <c r="V27" i="19"/>
  <c r="BP27" i="19" s="1" a="1"/>
  <c r="BP27" i="19" s="1"/>
  <c r="BQ27" i="19" s="1"/>
  <c r="BR27" i="19" s="1"/>
  <c r="V25" i="19"/>
  <c r="BP25" i="19" s="1" a="1"/>
  <c r="BP25" i="19" s="1"/>
  <c r="BQ25" i="19" s="1"/>
  <c r="BR25" i="19" s="1"/>
  <c r="V28" i="19"/>
  <c r="BP28" i="19" s="1" a="1"/>
  <c r="BP28" i="19" s="1"/>
  <c r="BQ28" i="19" s="1"/>
  <c r="BR28" i="19" s="1"/>
  <c r="T25" i="19"/>
  <c r="AZ25" i="19" s="1" a="1"/>
  <c r="AZ25" i="19" s="1"/>
  <c r="BA25" i="19" s="1"/>
  <c r="BB25" i="19" s="1"/>
  <c r="T28" i="19"/>
  <c r="AZ28" i="19" s="1" a="1"/>
  <c r="AZ28" i="19" s="1"/>
  <c r="BA28" i="19" s="1"/>
  <c r="BB28" i="19" s="1"/>
  <c r="T26" i="19"/>
  <c r="AZ26" i="19" s="1" a="1"/>
  <c r="AZ26" i="19" s="1"/>
  <c r="BA26" i="19" s="1"/>
  <c r="BB26" i="19" s="1"/>
  <c r="T29" i="19"/>
  <c r="AZ29" i="19" s="1" a="1"/>
  <c r="AZ29" i="19" s="1"/>
  <c r="BA29" i="19" s="1"/>
  <c r="BB29" i="19" s="1"/>
  <c r="T27" i="19"/>
  <c r="AZ27" i="19" s="1" a="1"/>
  <c r="AZ27" i="19" s="1"/>
  <c r="BA27" i="19" s="1"/>
  <c r="BB27" i="19" s="1"/>
  <c r="C232" i="21"/>
  <c r="C116" i="21"/>
  <c r="D100" i="21"/>
  <c r="C234" i="21"/>
  <c r="C118" i="21"/>
  <c r="D102" i="21"/>
  <c r="I168" i="21"/>
  <c r="I250" i="21" s="1"/>
  <c r="D250" i="21"/>
  <c r="I13" i="21"/>
  <c r="L13" i="21" s="1"/>
  <c r="L7" i="21"/>
  <c r="D7" i="21"/>
  <c r="I174" i="21"/>
  <c r="M174" i="21"/>
  <c r="L174" i="21" s="1"/>
  <c r="I82" i="21"/>
  <c r="I224" i="21" s="1"/>
  <c r="M82" i="21"/>
  <c r="D224" i="21"/>
  <c r="D83" i="21"/>
  <c r="C225" i="21"/>
  <c r="C117" i="21"/>
  <c r="D101" i="21"/>
  <c r="C233" i="21"/>
  <c r="I206" i="21"/>
  <c r="M206" i="21"/>
  <c r="L206" i="21" s="1"/>
  <c r="L14" i="21"/>
  <c r="C120" i="21"/>
  <c r="C236" i="21"/>
  <c r="D104" i="21"/>
  <c r="C91" i="21"/>
  <c r="I175" i="21"/>
  <c r="M175" i="21"/>
  <c r="L175" i="21" s="1"/>
  <c r="L170" i="21"/>
  <c r="L252" i="21" s="1"/>
  <c r="M252" i="21"/>
  <c r="E68" i="21"/>
  <c r="C97" i="21"/>
  <c r="I99" i="21"/>
  <c r="I231" i="21" s="1"/>
  <c r="D231" i="21"/>
  <c r="I171" i="21"/>
  <c r="I253" i="21" s="1"/>
  <c r="D253" i="21"/>
  <c r="D84" i="21"/>
  <c r="C226" i="21"/>
  <c r="M238" i="21"/>
  <c r="I173" i="21"/>
  <c r="M173" i="21"/>
  <c r="L173" i="21" s="1"/>
  <c r="I172" i="21"/>
  <c r="M172" i="21"/>
  <c r="L172" i="21" s="1"/>
  <c r="I130" i="21"/>
  <c r="M130" i="21"/>
  <c r="L130" i="21" s="1"/>
  <c r="I167" i="21"/>
  <c r="I249" i="21" s="1"/>
  <c r="D249" i="21"/>
  <c r="D269" i="21"/>
  <c r="D8" i="21"/>
  <c r="C119" i="21"/>
  <c r="C235" i="21"/>
  <c r="D103" i="21"/>
  <c r="D115" i="21"/>
  <c r="C240" i="21"/>
  <c r="I169" i="21"/>
  <c r="I251" i="21" s="1"/>
  <c r="D251" i="21"/>
  <c r="D85" i="21"/>
  <c r="C227" i="21"/>
  <c r="C114" i="21"/>
  <c r="D98" i="21"/>
  <c r="C230" i="21"/>
  <c r="M205" i="21"/>
  <c r="L205" i="21" s="1"/>
  <c r="I205" i="21"/>
  <c r="L224" i="20"/>
  <c r="K137" i="20"/>
  <c r="O137" i="20"/>
  <c r="N137" i="20" s="1"/>
  <c r="F164" i="20"/>
  <c r="F160" i="20"/>
  <c r="F162" i="20"/>
  <c r="F167" i="20"/>
  <c r="F166" i="20"/>
  <c r="F165" i="20"/>
  <c r="D10" i="20"/>
  <c r="E10" i="20" s="1"/>
  <c r="F168" i="20"/>
  <c r="F161" i="20"/>
  <c r="F163" i="20"/>
  <c r="O146" i="20"/>
  <c r="L225" i="20"/>
  <c r="U256" i="20"/>
  <c r="F152" i="20"/>
  <c r="F150" i="20"/>
  <c r="L71" i="20"/>
  <c r="I60" i="20"/>
  <c r="I56" i="20"/>
  <c r="F52" i="20"/>
  <c r="F48" i="20"/>
  <c r="I44" i="20"/>
  <c r="R8" i="20"/>
  <c r="F60" i="20"/>
  <c r="F56" i="20"/>
  <c r="M51" i="20"/>
  <c r="M69" i="20" s="1"/>
  <c r="M47" i="20"/>
  <c r="M68" i="20" s="1"/>
  <c r="F44" i="20"/>
  <c r="I40" i="20"/>
  <c r="I64" i="20" s="1"/>
  <c r="R9" i="20"/>
  <c r="T256" i="20"/>
  <c r="E185" i="20"/>
  <c r="H184" i="20" s="1"/>
  <c r="F138" i="20"/>
  <c r="N69" i="20"/>
  <c r="K62" i="20"/>
  <c r="K59" i="20"/>
  <c r="K55" i="20"/>
  <c r="K51" i="20"/>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46" i="20"/>
  <c r="J10" i="20"/>
  <c r="M10" i="20" s="1"/>
  <c r="J7" i="20"/>
  <c r="M7" i="20" s="1"/>
  <c r="U258" i="20"/>
  <c r="P245" i="20"/>
  <c r="E274" i="20" s="1"/>
  <c r="F58" i="20"/>
  <c r="F54" i="20"/>
  <c r="F50" i="20"/>
  <c r="F42" i="20"/>
  <c r="T243" i="20"/>
  <c r="U244" i="20"/>
  <c r="F153" i="20"/>
  <c r="T244" i="20"/>
  <c r="I53" i="20"/>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I56" i="18"/>
  <c r="Q76" i="18"/>
  <c r="D117" i="20" l="1"/>
  <c r="M203" i="21"/>
  <c r="L203" i="21" s="1"/>
  <c r="I198" i="21"/>
  <c r="I266" i="21" s="1"/>
  <c r="I204" i="21"/>
  <c r="D267" i="21"/>
  <c r="I200" i="21"/>
  <c r="I268" i="21" s="1"/>
  <c r="M202" i="21"/>
  <c r="L202" i="21" s="1"/>
  <c r="D14" i="21"/>
  <c r="C14" i="21"/>
  <c r="C13" i="21"/>
  <c r="O148" i="20"/>
  <c r="N148" i="20" s="1"/>
  <c r="S102" i="20"/>
  <c r="S103" i="20" s="1"/>
  <c r="F102" i="20" s="1"/>
  <c r="F93" i="20" s="1"/>
  <c r="D13" i="21"/>
  <c r="O145" i="20"/>
  <c r="P224" i="20" s="1"/>
  <c r="M131" i="21"/>
  <c r="L131" i="21" s="1"/>
  <c r="M133" i="21"/>
  <c r="L133" i="21" s="1"/>
  <c r="M134" i="21"/>
  <c r="L134" i="21" s="1"/>
  <c r="M66" i="20"/>
  <c r="M71" i="20" s="1"/>
  <c r="I68" i="20"/>
  <c r="K69" i="20"/>
  <c r="K71" i="20" s="1"/>
  <c r="I135" i="21"/>
  <c r="I132" i="21"/>
  <c r="I127" i="21"/>
  <c r="I247" i="21" s="1"/>
  <c r="D188" i="21"/>
  <c r="D190" i="21"/>
  <c r="D182" i="21"/>
  <c r="D184" i="21"/>
  <c r="D189" i="21"/>
  <c r="D191" i="21"/>
  <c r="D186" i="21"/>
  <c r="D183" i="21"/>
  <c r="D185" i="21"/>
  <c r="D187" i="21"/>
  <c r="M167" i="21"/>
  <c r="L167" i="21" s="1"/>
  <c r="L249" i="21" s="1"/>
  <c r="S117" i="20"/>
  <c r="S118" i="20" s="1"/>
  <c r="F117" i="20" s="1"/>
  <c r="F113" i="20" s="1"/>
  <c r="W113" i="20"/>
  <c r="D7" i="20"/>
  <c r="I69" i="20"/>
  <c r="M201" i="21"/>
  <c r="M269" i="21" s="1"/>
  <c r="M99" i="21"/>
  <c r="M231" i="21" s="1"/>
  <c r="M171" i="21"/>
  <c r="L171" i="21" s="1"/>
  <c r="L253" i="21" s="1"/>
  <c r="Y104" i="19"/>
  <c r="AA103" i="19"/>
  <c r="S104" i="19"/>
  <c r="U103" i="19"/>
  <c r="M169" i="21"/>
  <c r="L199" i="21"/>
  <c r="L267" i="21" s="1"/>
  <c r="M267" i="21"/>
  <c r="C245" i="21"/>
  <c r="D120" i="21"/>
  <c r="M168" i="21"/>
  <c r="I115" i="21"/>
  <c r="I240" i="21" s="1"/>
  <c r="D240" i="21"/>
  <c r="D235" i="21"/>
  <c r="I103" i="21"/>
  <c r="I235" i="21" s="1"/>
  <c r="C106" i="21"/>
  <c r="C229" i="21"/>
  <c r="D97" i="21"/>
  <c r="D229" i="21" s="1"/>
  <c r="C113" i="21"/>
  <c r="M83" i="21"/>
  <c r="D225" i="21"/>
  <c r="I83" i="21"/>
  <c r="I225" i="21" s="1"/>
  <c r="L82" i="21"/>
  <c r="L224" i="21" s="1"/>
  <c r="M224" i="21"/>
  <c r="D119" i="21"/>
  <c r="C244" i="21"/>
  <c r="I84" i="21"/>
  <c r="I226" i="21" s="1"/>
  <c r="D226" i="21"/>
  <c r="M84" i="21"/>
  <c r="D234" i="21"/>
  <c r="M102" i="21"/>
  <c r="I98" i="21"/>
  <c r="I230" i="21" s="1"/>
  <c r="D230" i="21"/>
  <c r="D118" i="21"/>
  <c r="C243" i="21"/>
  <c r="D114" i="21"/>
  <c r="C239" i="21"/>
  <c r="M307" i="21"/>
  <c r="N307" i="21" s="1"/>
  <c r="M287" i="21"/>
  <c r="N287" i="21" s="1"/>
  <c r="I85" i="21"/>
  <c r="I227" i="21" s="1"/>
  <c r="D227" i="21"/>
  <c r="I104" i="21"/>
  <c r="I236" i="21" s="1"/>
  <c r="D236" i="21"/>
  <c r="C242" i="21"/>
  <c r="D117" i="21"/>
  <c r="C241" i="21"/>
  <c r="D116" i="21"/>
  <c r="M101" i="21"/>
  <c r="D233" i="21"/>
  <c r="M100" i="21"/>
  <c r="D232" i="21"/>
  <c r="F62" i="20"/>
  <c r="F64" i="20"/>
  <c r="F69" i="20"/>
  <c r="F234" i="20"/>
  <c r="O168" i="20"/>
  <c r="K168" i="20"/>
  <c r="F66" i="20"/>
  <c r="D145" i="20"/>
  <c r="I70" i="20"/>
  <c r="F231" i="20"/>
  <c r="K165" i="20"/>
  <c r="O165" i="20"/>
  <c r="M62" i="20"/>
  <c r="N146" i="20"/>
  <c r="O225" i="20" s="1"/>
  <c r="P225" i="20"/>
  <c r="K166" i="20"/>
  <c r="O166" i="20"/>
  <c r="F232" i="20"/>
  <c r="K167" i="20"/>
  <c r="O167" i="20"/>
  <c r="F233" i="20"/>
  <c r="K150" i="20"/>
  <c r="O150" i="20"/>
  <c r="N150" i="20" s="1"/>
  <c r="F228" i="20"/>
  <c r="K162" i="20"/>
  <c r="L228" i="20" s="1"/>
  <c r="O152" i="20"/>
  <c r="N152" i="20" s="1"/>
  <c r="K152" i="20"/>
  <c r="L184" i="20"/>
  <c r="P195" i="20" s="1"/>
  <c r="P206" i="20" s="1"/>
  <c r="F226" i="20"/>
  <c r="K160" i="20"/>
  <c r="L226" i="20" s="1"/>
  <c r="O160" i="20"/>
  <c r="E184" i="20"/>
  <c r="P194" i="20" s="1"/>
  <c r="P205" i="20" s="1"/>
  <c r="K164" i="20"/>
  <c r="O164" i="20"/>
  <c r="F230" i="20"/>
  <c r="O138" i="20"/>
  <c r="N138" i="20" s="1"/>
  <c r="K138" i="20"/>
  <c r="F96" i="20"/>
  <c r="F70" i="20"/>
  <c r="D11" i="20"/>
  <c r="E6" i="20"/>
  <c r="E11" i="20" s="1"/>
  <c r="K149" i="20"/>
  <c r="O149" i="20"/>
  <c r="N149" i="20" s="1"/>
  <c r="N71" i="20"/>
  <c r="K153" i="20"/>
  <c r="O153" i="20"/>
  <c r="N153" i="20" s="1"/>
  <c r="K151" i="20"/>
  <c r="O151" i="20"/>
  <c r="N151" i="20" s="1"/>
  <c r="K147" i="20"/>
  <c r="O147" i="20"/>
  <c r="N147" i="20" s="1"/>
  <c r="I66" i="20"/>
  <c r="O163" i="20"/>
  <c r="F229" i="20"/>
  <c r="K163" i="20"/>
  <c r="D146" i="20"/>
  <c r="D225" i="20" s="1"/>
  <c r="F68" i="20"/>
  <c r="F227" i="20"/>
  <c r="K161" i="20"/>
  <c r="L227" i="20" s="1"/>
  <c r="E7" i="20"/>
  <c r="E12" i="20" s="1"/>
  <c r="D12" i="20"/>
  <c r="P75" i="18"/>
  <c r="R40" i="18"/>
  <c r="S40" i="18" s="1"/>
  <c r="S42" i="18" s="1"/>
  <c r="S48" i="18" s="1"/>
  <c r="AH51" i="18"/>
  <c r="AH43" i="18"/>
  <c r="AH44" i="18" s="1"/>
  <c r="P74" i="18"/>
  <c r="AH49" i="18"/>
  <c r="AH47" i="18"/>
  <c r="P72" i="18"/>
  <c r="P71" i="18"/>
  <c r="P73" i="18" s="1"/>
  <c r="AH52" i="18"/>
  <c r="Q16" i="17"/>
  <c r="R16" i="17"/>
  <c r="S16" i="17"/>
  <c r="U16" i="17"/>
  <c r="Q17" i="17"/>
  <c r="R17" i="17"/>
  <c r="S17" i="17"/>
  <c r="U17" i="17"/>
  <c r="U15" i="17"/>
  <c r="S15" i="17"/>
  <c r="R15" i="17"/>
  <c r="Q15" i="17"/>
  <c r="M200" i="21" l="1"/>
  <c r="U46" i="18"/>
  <c r="F94" i="20"/>
  <c r="F100" i="20"/>
  <c r="F114" i="20"/>
  <c r="F95" i="20"/>
  <c r="F112" i="20"/>
  <c r="F98" i="20"/>
  <c r="K98" i="20" s="1"/>
  <c r="F97" i="20"/>
  <c r="F116" i="20"/>
  <c r="O116" i="20" s="1"/>
  <c r="N116" i="20" s="1"/>
  <c r="F110" i="20"/>
  <c r="O110" i="20" s="1"/>
  <c r="N110" i="20" s="1"/>
  <c r="F101" i="20"/>
  <c r="K101" i="20" s="1"/>
  <c r="F111" i="20"/>
  <c r="K111" i="20" s="1"/>
  <c r="F99" i="20"/>
  <c r="K99" i="20" s="1"/>
  <c r="F109" i="20"/>
  <c r="M198" i="21"/>
  <c r="M266" i="21" s="1"/>
  <c r="N145" i="20"/>
  <c r="O224" i="20" s="1"/>
  <c r="F108" i="20"/>
  <c r="F115" i="20"/>
  <c r="K115" i="20" s="1"/>
  <c r="D258" i="21"/>
  <c r="I185" i="21"/>
  <c r="M183" i="21"/>
  <c r="D256" i="21"/>
  <c r="I183" i="21"/>
  <c r="I256" i="21" s="1"/>
  <c r="I187" i="21"/>
  <c r="D260" i="21"/>
  <c r="M253" i="21"/>
  <c r="I186" i="21"/>
  <c r="D259" i="21"/>
  <c r="I191" i="21"/>
  <c r="D264" i="21"/>
  <c r="I189" i="21"/>
  <c r="D262" i="21"/>
  <c r="I184" i="21"/>
  <c r="I257" i="21" s="1"/>
  <c r="D257" i="21"/>
  <c r="M127" i="21"/>
  <c r="M136" i="21" s="1"/>
  <c r="I182" i="21"/>
  <c r="D255" i="21"/>
  <c r="I190" i="21"/>
  <c r="I263" i="21" s="1"/>
  <c r="D263" i="21"/>
  <c r="I188" i="21"/>
  <c r="D261" i="21"/>
  <c r="I71" i="20"/>
  <c r="D136" i="20"/>
  <c r="D223" i="20" s="1"/>
  <c r="M249" i="21"/>
  <c r="AH48" i="18"/>
  <c r="AH54" i="18" s="1"/>
  <c r="AH50" i="18"/>
  <c r="M103" i="21"/>
  <c r="L103" i="21" s="1"/>
  <c r="L235" i="21" s="1"/>
  <c r="D123" i="20"/>
  <c r="D210" i="20" s="1"/>
  <c r="L201" i="21"/>
  <c r="L269" i="21" s="1"/>
  <c r="M104" i="21"/>
  <c r="M236" i="21" s="1"/>
  <c r="L99" i="21"/>
  <c r="L231" i="21" s="1"/>
  <c r="O162" i="20"/>
  <c r="P228" i="20" s="1"/>
  <c r="AA104" i="19"/>
  <c r="Y105" i="19"/>
  <c r="U104" i="19"/>
  <c r="S105" i="19"/>
  <c r="M226" i="21"/>
  <c r="L84" i="21"/>
  <c r="L226" i="21" s="1"/>
  <c r="C238" i="21"/>
  <c r="C122" i="21"/>
  <c r="D113" i="21"/>
  <c r="M225" i="21"/>
  <c r="L83" i="21"/>
  <c r="L225" i="21" s="1"/>
  <c r="L168" i="21"/>
  <c r="L250" i="21" s="1"/>
  <c r="M250" i="21"/>
  <c r="M232" i="21"/>
  <c r="L100" i="21"/>
  <c r="L232" i="21" s="1"/>
  <c r="M85" i="21"/>
  <c r="I119" i="21"/>
  <c r="I244" i="21" s="1"/>
  <c r="D244" i="21"/>
  <c r="I120" i="21"/>
  <c r="I245" i="21" s="1"/>
  <c r="D245" i="21"/>
  <c r="M176" i="21"/>
  <c r="D241" i="21"/>
  <c r="M116" i="21"/>
  <c r="M98" i="21"/>
  <c r="M233" i="21"/>
  <c r="L101" i="21"/>
  <c r="L233" i="21" s="1"/>
  <c r="I114" i="21"/>
  <c r="I239" i="21" s="1"/>
  <c r="D239" i="21"/>
  <c r="D243" i="21"/>
  <c r="M118" i="21"/>
  <c r="M234" i="21"/>
  <c r="L102" i="21"/>
  <c r="L234" i="21" s="1"/>
  <c r="D242" i="21"/>
  <c r="M117" i="21"/>
  <c r="M268" i="21"/>
  <c r="L200" i="21"/>
  <c r="L268" i="21" s="1"/>
  <c r="M115" i="21"/>
  <c r="M251" i="21"/>
  <c r="L169" i="21"/>
  <c r="L251" i="21" s="1"/>
  <c r="D129" i="20"/>
  <c r="K93" i="20"/>
  <c r="L207" i="20" s="1"/>
  <c r="F207" i="20"/>
  <c r="K113" i="20"/>
  <c r="O113" i="20"/>
  <c r="N113"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O94" i="20"/>
  <c r="N94" i="20" s="1"/>
  <c r="K94" i="20"/>
  <c r="F208" i="20"/>
  <c r="K108" i="20"/>
  <c r="L208" i="20" s="1"/>
  <c r="D132" i="20"/>
  <c r="K110" i="20"/>
  <c r="D124" i="20"/>
  <c r="P230" i="20"/>
  <c r="N164" i="20"/>
  <c r="O230" i="20" s="1"/>
  <c r="D126" i="20"/>
  <c r="O114" i="20"/>
  <c r="N114" i="20" s="1"/>
  <c r="K114" i="20"/>
  <c r="D128" i="20"/>
  <c r="K100" i="20"/>
  <c r="O100" i="20"/>
  <c r="N100" i="20" s="1"/>
  <c r="N166" i="20"/>
  <c r="O232" i="20" s="1"/>
  <c r="P232" i="20"/>
  <c r="K116" i="20"/>
  <c r="K95" i="20"/>
  <c r="O95" i="20"/>
  <c r="N95" i="20" s="1"/>
  <c r="O154" i="20"/>
  <c r="K97" i="20"/>
  <c r="O97" i="20"/>
  <c r="N97" i="20" s="1"/>
  <c r="D130" i="20"/>
  <c r="F71" i="20"/>
  <c r="P231" i="20"/>
  <c r="N165" i="20"/>
  <c r="O231" i="20" s="1"/>
  <c r="K112" i="20"/>
  <c r="O112" i="20"/>
  <c r="N112" i="20" s="1"/>
  <c r="P226" i="20"/>
  <c r="N160" i="20"/>
  <c r="O226" i="20" s="1"/>
  <c r="F209" i="20"/>
  <c r="K109" i="20"/>
  <c r="L209" i="20" s="1"/>
  <c r="S46" i="18"/>
  <c r="S47" i="18"/>
  <c r="S45" i="18"/>
  <c r="S49" i="18"/>
  <c r="R42" i="18"/>
  <c r="U47" i="18"/>
  <c r="U45" i="18"/>
  <c r="U49" i="18"/>
  <c r="U48" i="18"/>
  <c r="AK12" i="17"/>
  <c r="O115" i="20" l="1"/>
  <c r="N115" i="20" s="1"/>
  <c r="O98" i="20"/>
  <c r="N98" i="20" s="1"/>
  <c r="F136" i="20"/>
  <c r="O101" i="20"/>
  <c r="N101" i="20" s="1"/>
  <c r="AH55" i="18"/>
  <c r="T45" i="18" s="1"/>
  <c r="R52" i="19" s="1" a="1"/>
  <c r="M207" i="21"/>
  <c r="L207" i="21" s="1"/>
  <c r="L198" i="21"/>
  <c r="L266" i="21" s="1"/>
  <c r="O99" i="20"/>
  <c r="N99" i="20" s="1"/>
  <c r="O111" i="20"/>
  <c r="N111" i="20" s="1"/>
  <c r="M235" i="21"/>
  <c r="F123" i="20"/>
  <c r="F210" i="20" s="1"/>
  <c r="N162" i="20"/>
  <c r="O228" i="20" s="1"/>
  <c r="L127" i="21"/>
  <c r="L247" i="21" s="1"/>
  <c r="M247" i="21"/>
  <c r="I264" i="21"/>
  <c r="M191" i="21"/>
  <c r="I259" i="21"/>
  <c r="M186" i="21"/>
  <c r="I255" i="21"/>
  <c r="M182" i="21"/>
  <c r="I261" i="21"/>
  <c r="M188" i="21"/>
  <c r="M184" i="21"/>
  <c r="I260" i="21"/>
  <c r="M187" i="21"/>
  <c r="M256" i="21"/>
  <c r="L183" i="21"/>
  <c r="L256" i="21" s="1"/>
  <c r="I258" i="21"/>
  <c r="M185" i="21"/>
  <c r="I262" i="21"/>
  <c r="M189" i="21"/>
  <c r="D139" i="20"/>
  <c r="L104" i="21"/>
  <c r="L236" i="21" s="1"/>
  <c r="M119" i="21"/>
  <c r="L119" i="21" s="1"/>
  <c r="L244" i="21" s="1"/>
  <c r="O109" i="20"/>
  <c r="P209" i="20" s="1"/>
  <c r="Y106" i="19"/>
  <c r="AA105" i="19"/>
  <c r="S106" i="19"/>
  <c r="U105" i="19"/>
  <c r="M284" i="21"/>
  <c r="N284" i="21" s="1"/>
  <c r="I321" i="21" s="1"/>
  <c r="L118" i="21"/>
  <c r="L243" i="21" s="1"/>
  <c r="M243" i="21"/>
  <c r="M114" i="21"/>
  <c r="AD168" i="21"/>
  <c r="AD169" i="21" s="1"/>
  <c r="AD172" i="21" s="1"/>
  <c r="AD176" i="21" s="1"/>
  <c r="AD177" i="21" s="1"/>
  <c r="E10" i="21"/>
  <c r="L176" i="21"/>
  <c r="M227" i="21"/>
  <c r="L85" i="21"/>
  <c r="L227" i="21" s="1"/>
  <c r="D238" i="21"/>
  <c r="L113" i="21"/>
  <c r="L238" i="21" s="1"/>
  <c r="L116" i="21"/>
  <c r="L241" i="21" s="1"/>
  <c r="M241" i="21"/>
  <c r="L117" i="21"/>
  <c r="L242" i="21" s="1"/>
  <c r="M242" i="21"/>
  <c r="L98" i="21"/>
  <c r="L230" i="21" s="1"/>
  <c r="M230" i="21"/>
  <c r="M120" i="21"/>
  <c r="L115" i="21"/>
  <c r="L240" i="21" s="1"/>
  <c r="M240" i="21"/>
  <c r="M304" i="21" s="1"/>
  <c r="N304" i="21" s="1"/>
  <c r="K321" i="21" s="1"/>
  <c r="M91" i="21"/>
  <c r="E9" i="21"/>
  <c r="L136" i="21"/>
  <c r="T46" i="18"/>
  <c r="N161" i="20"/>
  <c r="O227" i="20" s="1"/>
  <c r="P227" i="20"/>
  <c r="D211" i="20"/>
  <c r="F124" i="20"/>
  <c r="D220" i="20"/>
  <c r="F133"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8" i="18"/>
  <c r="T49" i="18"/>
  <c r="T47" i="18"/>
  <c r="K123" i="20" l="1"/>
  <c r="L210" i="20" s="1"/>
  <c r="E12" i="21"/>
  <c r="F12" i="21" s="1"/>
  <c r="G12" i="21"/>
  <c r="N109" i="20"/>
  <c r="O209" i="20" s="1"/>
  <c r="L187" i="21"/>
  <c r="L260" i="21" s="1"/>
  <c r="M260" i="21"/>
  <c r="M257" i="21"/>
  <c r="L184" i="21"/>
  <c r="L257" i="21" s="1"/>
  <c r="L188" i="21"/>
  <c r="L261" i="21" s="1"/>
  <c r="M261" i="21"/>
  <c r="M255" i="21"/>
  <c r="L182" i="21"/>
  <c r="L255" i="21" s="1"/>
  <c r="M190" i="21"/>
  <c r="M192" i="21" s="1"/>
  <c r="M262" i="21"/>
  <c r="L189" i="21"/>
  <c r="L262" i="21" s="1"/>
  <c r="L186" i="21"/>
  <c r="L259" i="21" s="1"/>
  <c r="M259" i="21"/>
  <c r="L185" i="21"/>
  <c r="L258" i="21" s="1"/>
  <c r="M258" i="21"/>
  <c r="M264" i="21"/>
  <c r="L191" i="21"/>
  <c r="L264" i="21" s="1"/>
  <c r="M278" i="21"/>
  <c r="N278" i="21" s="1"/>
  <c r="I318" i="21" s="1"/>
  <c r="M244" i="21"/>
  <c r="R52" i="19"/>
  <c r="V52" i="19"/>
  <c r="U52" i="19"/>
  <c r="T52" i="19"/>
  <c r="S52" i="19"/>
  <c r="AA106" i="19"/>
  <c r="Y107" i="19"/>
  <c r="AA107" i="19" s="1"/>
  <c r="U106" i="19"/>
  <c r="S107" i="19"/>
  <c r="F9" i="21"/>
  <c r="G9" i="21"/>
  <c r="M239" i="21"/>
  <c r="L114" i="21"/>
  <c r="L239" i="21" s="1"/>
  <c r="M122" i="21"/>
  <c r="AF83" i="21"/>
  <c r="AF84" i="21" s="1"/>
  <c r="AF87" i="21" s="1"/>
  <c r="AF91" i="21" s="1"/>
  <c r="AF92" i="21" s="1"/>
  <c r="E6" i="21"/>
  <c r="L91" i="21"/>
  <c r="M97" i="21"/>
  <c r="L120" i="21"/>
  <c r="L245" i="21" s="1"/>
  <c r="M245" i="21"/>
  <c r="F10" i="21"/>
  <c r="G10" i="21"/>
  <c r="F222" i="20"/>
  <c r="K135" i="20"/>
  <c r="L222" i="20" s="1"/>
  <c r="O135" i="20"/>
  <c r="F211" i="20"/>
  <c r="K124" i="20"/>
  <c r="L211" i="20" s="1"/>
  <c r="K126" i="20"/>
  <c r="L213" i="20" s="1"/>
  <c r="F213" i="20"/>
  <c r="O126" i="20"/>
  <c r="F214" i="20"/>
  <c r="K127" i="20"/>
  <c r="L214" i="20" s="1"/>
  <c r="O127" i="20"/>
  <c r="F221" i="20"/>
  <c r="K134" i="20"/>
  <c r="L221" i="20" s="1"/>
  <c r="O134"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X3" i="17"/>
  <c r="W3" i="17"/>
  <c r="R11" i="17"/>
  <c r="S11" i="17"/>
  <c r="U11" i="17"/>
  <c r="Q12" i="17"/>
  <c r="R12" i="17"/>
  <c r="S12" i="17"/>
  <c r="U12" i="17"/>
  <c r="R13" i="17"/>
  <c r="S13" i="17"/>
  <c r="U13" i="17"/>
  <c r="R10" i="17"/>
  <c r="S10" i="17"/>
  <c r="U10" i="17"/>
  <c r="V3" i="17"/>
  <c r="T3" i="17"/>
  <c r="R5" i="17"/>
  <c r="AB5" i="17" s="1"/>
  <c r="S5" i="17"/>
  <c r="AC5" i="17" s="1"/>
  <c r="T5" i="17"/>
  <c r="AD5" i="17" s="1"/>
  <c r="U5" i="17"/>
  <c r="AE5" i="17" s="1"/>
  <c r="V5" i="17"/>
  <c r="AF5" i="17" s="1"/>
  <c r="W5" i="17"/>
  <c r="AG5" i="17" s="1"/>
  <c r="X5" i="17"/>
  <c r="AH5" i="17" s="1"/>
  <c r="Q5" i="17"/>
  <c r="AA5" i="17" s="1"/>
  <c r="C11" i="17"/>
  <c r="AS11" i="17" s="1" a="1"/>
  <c r="AS11" i="17" s="1"/>
  <c r="AT11" i="17" s="1"/>
  <c r="AU11" i="17" s="1"/>
  <c r="C10" i="17"/>
  <c r="AS10" i="17" s="1" a="1"/>
  <c r="AS10" i="17" s="1"/>
  <c r="AT10" i="17" s="1"/>
  <c r="AU10" i="17" s="1"/>
  <c r="C13" i="17"/>
  <c r="AS13" i="17" s="1" a="1"/>
  <c r="AS13" i="17" s="1"/>
  <c r="AT13" i="17" s="1"/>
  <c r="AU13" i="17" s="1"/>
  <c r="O123" i="20" l="1"/>
  <c r="N123" i="20" s="1"/>
  <c r="O210" i="20" s="1"/>
  <c r="M298" i="21"/>
  <c r="N298" i="21" s="1"/>
  <c r="K318" i="21" s="1"/>
  <c r="M277" i="21"/>
  <c r="N277" i="21" s="1"/>
  <c r="I317" i="21" s="1"/>
  <c r="M297" i="21"/>
  <c r="N297" i="21" s="1"/>
  <c r="K317" i="21" s="1"/>
  <c r="L192" i="21"/>
  <c r="E11" i="21"/>
  <c r="F11" i="21" s="1"/>
  <c r="L190" i="21"/>
  <c r="L263" i="21" s="1"/>
  <c r="M263" i="21"/>
  <c r="M302" i="21"/>
  <c r="N302" i="21" s="1"/>
  <c r="K320" i="21" s="1"/>
  <c r="M282" i="21"/>
  <c r="N282" i="21" s="1"/>
  <c r="I320" i="21" s="1"/>
  <c r="M299" i="21"/>
  <c r="N299" i="21" s="1"/>
  <c r="K319" i="21" s="1"/>
  <c r="M279" i="21"/>
  <c r="N279" i="21" s="1"/>
  <c r="I319" i="21" s="1"/>
  <c r="P210" i="20"/>
  <c r="U240" i="20" s="1"/>
  <c r="O124" i="20"/>
  <c r="P211" i="20" s="1"/>
  <c r="U107" i="19"/>
  <c r="S108" i="19"/>
  <c r="Q13" i="17"/>
  <c r="Q10" i="17"/>
  <c r="Q11" i="17"/>
  <c r="M106" i="21"/>
  <c r="M229" i="21"/>
  <c r="L97" i="21"/>
  <c r="L229" i="21" s="1"/>
  <c r="L122" i="21"/>
  <c r="E8" i="21"/>
  <c r="F6" i="21"/>
  <c r="G6" i="21"/>
  <c r="N128" i="20"/>
  <c r="O215" i="20" s="1"/>
  <c r="P215" i="20"/>
  <c r="P214" i="20"/>
  <c r="N127" i="20"/>
  <c r="O214" i="20" s="1"/>
  <c r="N133" i="20"/>
  <c r="O220" i="20" s="1"/>
  <c r="P220" i="20"/>
  <c r="N132" i="20"/>
  <c r="O219" i="20" s="1"/>
  <c r="P219" i="20"/>
  <c r="N131" i="20"/>
  <c r="O218" i="20" s="1"/>
  <c r="P218" i="20"/>
  <c r="F7" i="20"/>
  <c r="N117" i="20"/>
  <c r="G10" i="20"/>
  <c r="H10" i="20"/>
  <c r="N126" i="20"/>
  <c r="O213" i="20" s="1"/>
  <c r="P213" i="20"/>
  <c r="N130" i="20"/>
  <c r="O217" i="20" s="1"/>
  <c r="P217" i="20"/>
  <c r="N136" i="20"/>
  <c r="O223" i="20" s="1"/>
  <c r="P223" i="20"/>
  <c r="P238" i="20" s="1"/>
  <c r="N125" i="20"/>
  <c r="O212" i="20" s="1"/>
  <c r="P212" i="20"/>
  <c r="N134" i="20"/>
  <c r="O221" i="20" s="1"/>
  <c r="P221" i="20"/>
  <c r="N135" i="20"/>
  <c r="O222" i="20" s="1"/>
  <c r="P222" i="20"/>
  <c r="F6" i="20"/>
  <c r="N102" i="20"/>
  <c r="O129" i="20"/>
  <c r="T10" i="17"/>
  <c r="T15" i="17"/>
  <c r="T17" i="17"/>
  <c r="T16" i="17"/>
  <c r="V11" i="17"/>
  <c r="V16" i="17"/>
  <c r="V17" i="17"/>
  <c r="V15" i="17"/>
  <c r="W11" i="17"/>
  <c r="W15" i="17"/>
  <c r="W16" i="17"/>
  <c r="W17" i="17"/>
  <c r="X12" i="17"/>
  <c r="X16" i="17"/>
  <c r="X15" i="17"/>
  <c r="X17" i="17"/>
  <c r="W13" i="17"/>
  <c r="W12" i="17"/>
  <c r="X11" i="17"/>
  <c r="V10" i="17"/>
  <c r="X13" i="17"/>
  <c r="V12" i="17"/>
  <c r="V13" i="17"/>
  <c r="T11" i="17"/>
  <c r="T12" i="17"/>
  <c r="X10" i="17"/>
  <c r="T13" i="17"/>
  <c r="W10" i="17"/>
  <c r="T31" i="17"/>
  <c r="S31" i="17"/>
  <c r="R31" i="17"/>
  <c r="T32" i="17"/>
  <c r="S32" i="17"/>
  <c r="R32" i="17"/>
  <c r="AW3" i="13"/>
  <c r="AR1" i="13"/>
  <c r="AT16" i="13" s="1"/>
  <c r="AR24" i="13"/>
  <c r="AR23" i="13"/>
  <c r="AR22" i="13"/>
  <c r="AR21" i="13"/>
  <c r="AR20" i="13"/>
  <c r="AR19" i="13"/>
  <c r="AR18" i="13"/>
  <c r="AR17" i="13"/>
  <c r="AR16" i="13"/>
  <c r="AR15" i="13"/>
  <c r="AR14" i="13"/>
  <c r="AR13" i="13"/>
  <c r="AR12" i="13"/>
  <c r="AR11" i="13"/>
  <c r="AR10" i="13"/>
  <c r="AR9" i="13"/>
  <c r="AR8" i="13"/>
  <c r="AR7" i="13"/>
  <c r="AR6" i="13"/>
  <c r="AO3" i="13"/>
  <c r="AJ1" i="13"/>
  <c r="AL16" i="13" s="1"/>
  <c r="AG3" i="13"/>
  <c r="AJ24" i="13"/>
  <c r="AJ23" i="13"/>
  <c r="AJ22" i="13"/>
  <c r="AJ21" i="13"/>
  <c r="AJ20" i="13"/>
  <c r="AJ19" i="13"/>
  <c r="AJ18" i="13"/>
  <c r="AJ17" i="13"/>
  <c r="AJ16" i="13"/>
  <c r="AJ15" i="13"/>
  <c r="AJ14" i="13"/>
  <c r="AJ13" i="13"/>
  <c r="AJ12" i="13"/>
  <c r="AJ11" i="13"/>
  <c r="AJ10" i="13"/>
  <c r="AJ9" i="13"/>
  <c r="AJ8" i="13"/>
  <c r="AJ7" i="13"/>
  <c r="AJ6" i="13"/>
  <c r="AB1" i="13"/>
  <c r="AD12" i="13" s="1"/>
  <c r="AB24" i="13"/>
  <c r="AB23" i="13"/>
  <c r="AB22" i="13"/>
  <c r="AB21" i="13"/>
  <c r="AB20" i="13"/>
  <c r="AB19" i="13"/>
  <c r="AB18" i="13"/>
  <c r="AB17" i="13"/>
  <c r="AB16" i="13"/>
  <c r="AB15" i="13"/>
  <c r="AB14" i="13"/>
  <c r="AB13" i="13"/>
  <c r="AB12" i="13"/>
  <c r="AB11" i="13"/>
  <c r="AB10" i="13"/>
  <c r="AB9" i="13"/>
  <c r="AB8" i="13"/>
  <c r="AB7" i="13"/>
  <c r="AB6" i="13"/>
  <c r="T7" i="13"/>
  <c r="T8" i="13"/>
  <c r="T9" i="13"/>
  <c r="T10" i="13"/>
  <c r="T11" i="13"/>
  <c r="T12" i="13"/>
  <c r="T13" i="13"/>
  <c r="T14" i="13"/>
  <c r="T15" i="13"/>
  <c r="T16" i="13"/>
  <c r="T17" i="13"/>
  <c r="T18" i="13"/>
  <c r="Y3" i="13"/>
  <c r="T19" i="13"/>
  <c r="T20" i="13"/>
  <c r="T21" i="13"/>
  <c r="T22" i="13"/>
  <c r="T23" i="13"/>
  <c r="T24" i="13"/>
  <c r="T6" i="13"/>
  <c r="T1" i="13"/>
  <c r="V8" i="13" s="1"/>
  <c r="Y55" i="13"/>
  <c r="W58" i="13"/>
  <c r="Y58" i="13" s="1"/>
  <c r="W57" i="13"/>
  <c r="Y57" i="13" s="1"/>
  <c r="W56" i="13"/>
  <c r="Y56" i="13" s="1"/>
  <c r="W55" i="13"/>
  <c r="W54" i="13"/>
  <c r="Y54" i="13" s="1"/>
  <c r="W53" i="13"/>
  <c r="Y53" i="13" s="1"/>
  <c r="W52" i="13"/>
  <c r="W51" i="13"/>
  <c r="Y51" i="13" s="1"/>
  <c r="W50" i="13"/>
  <c r="Y50" i="13" s="1"/>
  <c r="W49" i="13"/>
  <c r="W48" i="13"/>
  <c r="Y48" i="13" s="1"/>
  <c r="W47" i="13"/>
  <c r="Y47" i="13" s="1"/>
  <c r="W46" i="13"/>
  <c r="Y46" i="13" s="1"/>
  <c r="T240" i="20" l="1"/>
  <c r="P252" i="20"/>
  <c r="M268" i="20" s="1"/>
  <c r="T252" i="20"/>
  <c r="U252" i="20"/>
  <c r="G11" i="21"/>
  <c r="I322" i="21"/>
  <c r="J317" i="21" s="1"/>
  <c r="J328" i="21" s="1"/>
  <c r="U250" i="20"/>
  <c r="P240" i="20"/>
  <c r="E268" i="20" s="1"/>
  <c r="K322" i="21"/>
  <c r="L317" i="21" s="1"/>
  <c r="L328" i="21" s="1"/>
  <c r="N124" i="20"/>
  <c r="O211" i="20" s="1"/>
  <c r="J319" i="21"/>
  <c r="J320" i="21"/>
  <c r="J327" i="21" s="1"/>
  <c r="T250" i="20"/>
  <c r="P250" i="20"/>
  <c r="U108" i="19"/>
  <c r="S109" i="19"/>
  <c r="U109" i="19" s="1"/>
  <c r="E14" i="21"/>
  <c r="F8" i="21"/>
  <c r="G8" i="21"/>
  <c r="L106" i="21"/>
  <c r="E7" i="21"/>
  <c r="T238" i="20"/>
  <c r="U238" i="20"/>
  <c r="P243" i="20"/>
  <c r="K266" i="20" s="1"/>
  <c r="P255" i="20"/>
  <c r="E266" i="20"/>
  <c r="N129" i="20"/>
  <c r="O216" i="20" s="1"/>
  <c r="P216" i="20"/>
  <c r="U241" i="20" s="1"/>
  <c r="T242" i="20"/>
  <c r="P254" i="20"/>
  <c r="U242" i="20"/>
  <c r="T254" i="20"/>
  <c r="P242" i="20"/>
  <c r="U254" i="20"/>
  <c r="T259" i="20"/>
  <c r="P247" i="20"/>
  <c r="E276" i="20" s="1"/>
  <c r="T247" i="20"/>
  <c r="P259" i="20"/>
  <c r="O139" i="20"/>
  <c r="G6" i="20"/>
  <c r="H6" i="20"/>
  <c r="G7" i="20"/>
  <c r="H7" i="20"/>
  <c r="T246" i="20"/>
  <c r="T258" i="20"/>
  <c r="P258" i="20"/>
  <c r="P246" i="20"/>
  <c r="E275" i="20" s="1"/>
  <c r="V23" i="13"/>
  <c r="V3" i="13"/>
  <c r="V10" i="13"/>
  <c r="V7" i="13"/>
  <c r="V18" i="13"/>
  <c r="V22" i="13"/>
  <c r="V9" i="13"/>
  <c r="V16" i="13"/>
  <c r="V17" i="13"/>
  <c r="V13" i="13"/>
  <c r="V21" i="13"/>
  <c r="V20" i="13"/>
  <c r="V6" i="13"/>
  <c r="V14" i="13"/>
  <c r="V19" i="13"/>
  <c r="V12" i="13"/>
  <c r="V24" i="13"/>
  <c r="V11" i="13"/>
  <c r="V15" i="13"/>
  <c r="AI10" i="17"/>
  <c r="AD10" i="17" s="1"/>
  <c r="AI16" i="17"/>
  <c r="AF16" i="17" s="1"/>
  <c r="AI17" i="17"/>
  <c r="AI15" i="17"/>
  <c r="AH15" i="17" s="1"/>
  <c r="AI11" i="17"/>
  <c r="AF11" i="17" s="1"/>
  <c r="AI13" i="17"/>
  <c r="AD13" i="17" s="1"/>
  <c r="AT23" i="13"/>
  <c r="AT6" i="13"/>
  <c r="AT10" i="13"/>
  <c r="AT12" i="13"/>
  <c r="AT17" i="13"/>
  <c r="AT20" i="13"/>
  <c r="AT24" i="13"/>
  <c r="AT7" i="13"/>
  <c r="AT11" i="13"/>
  <c r="AT13" i="13"/>
  <c r="AT14" i="13"/>
  <c r="AT18" i="13"/>
  <c r="AT21" i="13"/>
  <c r="AT8" i="13"/>
  <c r="AT15" i="13"/>
  <c r="AT22" i="13"/>
  <c r="AT19" i="13"/>
  <c r="AT3" i="13"/>
  <c r="AT9" i="13"/>
  <c r="AL23" i="13"/>
  <c r="AL10" i="13"/>
  <c r="AL20" i="13"/>
  <c r="AL7" i="13"/>
  <c r="AL11" i="13"/>
  <c r="AL13" i="13"/>
  <c r="AL14" i="13"/>
  <c r="AL18" i="13"/>
  <c r="AL21" i="13"/>
  <c r="AL3" i="13"/>
  <c r="AL8" i="13"/>
  <c r="AL15" i="13"/>
  <c r="AL22" i="13"/>
  <c r="AL6" i="13"/>
  <c r="AL12" i="13"/>
  <c r="AL17" i="13"/>
  <c r="AL24" i="13"/>
  <c r="AL19" i="13"/>
  <c r="AL9" i="13"/>
  <c r="AD23" i="13"/>
  <c r="AD6" i="13"/>
  <c r="AD10" i="13"/>
  <c r="AD17" i="13"/>
  <c r="AD20" i="13"/>
  <c r="AD24" i="13"/>
  <c r="AD7" i="13"/>
  <c r="AD11" i="13"/>
  <c r="AD13" i="13"/>
  <c r="AD14" i="13"/>
  <c r="AD18" i="13"/>
  <c r="AD21" i="13"/>
  <c r="AD8" i="13"/>
  <c r="AD15" i="13"/>
  <c r="AD19" i="13"/>
  <c r="AD3" i="13"/>
  <c r="AD22" i="13"/>
  <c r="AD9" i="13"/>
  <c r="AD16" i="13"/>
  <c r="K268" i="20" l="1"/>
  <c r="J318" i="21"/>
  <c r="J326" i="21" s="1"/>
  <c r="J321" i="21"/>
  <c r="J325" i="21" s="1"/>
  <c r="J324" i="21"/>
  <c r="L318" i="21"/>
  <c r="L326" i="21" s="1"/>
  <c r="M266" i="20"/>
  <c r="L324" i="21"/>
  <c r="L320" i="21"/>
  <c r="L327" i="21" s="1"/>
  <c r="L321" i="21"/>
  <c r="L325" i="21" s="1"/>
  <c r="L319" i="21"/>
  <c r="U253" i="20"/>
  <c r="R57" i="19" a="1"/>
  <c r="E272" i="20"/>
  <c r="AK11" i="17"/>
  <c r="AG11" i="17"/>
  <c r="AC11" i="17"/>
  <c r="AB11" i="17"/>
  <c r="E13" i="21"/>
  <c r="F7" i="21"/>
  <c r="G7" i="21"/>
  <c r="F14" i="21"/>
  <c r="G14" i="21"/>
  <c r="F8" i="20"/>
  <c r="N139" i="20"/>
  <c r="T253" i="20"/>
  <c r="P241" i="20"/>
  <c r="P253" i="20"/>
  <c r="T241" i="20"/>
  <c r="K269" i="20"/>
  <c r="E270" i="20"/>
  <c r="M269" i="20"/>
  <c r="AH11" i="17"/>
  <c r="AD15" i="17"/>
  <c r="AH10" i="17"/>
  <c r="AB10" i="17"/>
  <c r="AA11" i="17"/>
  <c r="AB17" i="17"/>
  <c r="AC17" i="17"/>
  <c r="AE17" i="17"/>
  <c r="AA17" i="17"/>
  <c r="AD17" i="17"/>
  <c r="AD16" i="17"/>
  <c r="AH17" i="17"/>
  <c r="AF10" i="17"/>
  <c r="AB16" i="17"/>
  <c r="AC16" i="17"/>
  <c r="AE16" i="17"/>
  <c r="AA16" i="17"/>
  <c r="AG16" i="17"/>
  <c r="AE10" i="17"/>
  <c r="AF17" i="17"/>
  <c r="AK10" i="17"/>
  <c r="AA10" i="17"/>
  <c r="AC10" i="17"/>
  <c r="AG10" i="17"/>
  <c r="AG15" i="17"/>
  <c r="AE15" i="17"/>
  <c r="AA15" i="17"/>
  <c r="AB15" i="17"/>
  <c r="AC15" i="17"/>
  <c r="AF15" i="17"/>
  <c r="AD11" i="17"/>
  <c r="AH16" i="17"/>
  <c r="AG17" i="17"/>
  <c r="AE11" i="17"/>
  <c r="AK13" i="17"/>
  <c r="AC13" i="17"/>
  <c r="AG13" i="17"/>
  <c r="AA13" i="17"/>
  <c r="AB13" i="17"/>
  <c r="AE13" i="17"/>
  <c r="AH13" i="17"/>
  <c r="AF13" i="17"/>
  <c r="R58" i="19" l="1" a="1"/>
  <c r="S58" i="19" s="1"/>
  <c r="S57" i="19"/>
  <c r="U57" i="19"/>
  <c r="V57" i="19"/>
  <c r="T57" i="19"/>
  <c r="R57" i="19"/>
  <c r="F13" i="21"/>
  <c r="G13" i="21"/>
  <c r="M270" i="20"/>
  <c r="M271" i="20" s="1"/>
  <c r="P260" i="20"/>
  <c r="E269" i="20"/>
  <c r="K270" i="20"/>
  <c r="P248" i="20"/>
  <c r="G8" i="20"/>
  <c r="H8" i="20"/>
  <c r="F12" i="20"/>
  <c r="F11" i="20"/>
  <c r="B35" i="13"/>
  <c r="T58" i="19" l="1"/>
  <c r="T60" i="19" s="1"/>
  <c r="T14" i="19" s="1"/>
  <c r="V58" i="19"/>
  <c r="V60" i="19" s="1"/>
  <c r="V14" i="19" s="1"/>
  <c r="R58" i="19"/>
  <c r="U58" i="19"/>
  <c r="U60" i="19" s="1"/>
  <c r="U14" i="19" s="1"/>
  <c r="R60" i="19"/>
  <c r="S60" i="19"/>
  <c r="S14" i="19" s="1"/>
  <c r="N267" i="20"/>
  <c r="N268" i="20"/>
  <c r="N277" i="20" s="1"/>
  <c r="N266" i="20"/>
  <c r="N276" i="20" s="1"/>
  <c r="N269" i="20"/>
  <c r="N274" i="20" s="1"/>
  <c r="G11" i="20"/>
  <c r="H11" i="20"/>
  <c r="G12" i="20"/>
  <c r="H12" i="20"/>
  <c r="E277" i="20"/>
  <c r="F269" i="20" s="1"/>
  <c r="Q264" i="20"/>
  <c r="Q262" i="20"/>
  <c r="Q261" i="20"/>
  <c r="Q263" i="20"/>
  <c r="N270" i="20"/>
  <c r="N275" i="20" s="1"/>
  <c r="K271" i="20"/>
  <c r="L270" i="20" s="1"/>
  <c r="L275" i="20" s="1"/>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s="1"/>
  <c r="I62" i="16"/>
  <c r="J62" i="16" s="1"/>
  <c r="K62" i="16"/>
  <c r="L62" i="16" s="1"/>
  <c r="I63" i="16"/>
  <c r="J63" i="16" s="1"/>
  <c r="K63" i="16"/>
  <c r="L63" i="16" s="1"/>
  <c r="I64" i="16"/>
  <c r="J64" i="16" s="1"/>
  <c r="K64" i="16"/>
  <c r="L64" i="16" s="1"/>
  <c r="I65" i="16"/>
  <c r="J65" i="16" s="1"/>
  <c r="K65" i="16"/>
  <c r="L65" i="16" s="1"/>
  <c r="I66" i="16"/>
  <c r="J66" i="16" s="1"/>
  <c r="K66" i="16"/>
  <c r="L66" i="16" s="1"/>
  <c r="I67" i="16"/>
  <c r="J67" i="16" s="1"/>
  <c r="K67" i="16"/>
  <c r="L67" i="16" s="1"/>
  <c r="I68" i="16"/>
  <c r="J68" i="16" s="1"/>
  <c r="K68" i="16"/>
  <c r="L68" i="16" s="1"/>
  <c r="I69" i="16"/>
  <c r="J69" i="16" s="1"/>
  <c r="K69" i="16"/>
  <c r="L69" i="16" s="1"/>
  <c r="I70" i="16"/>
  <c r="J70" i="16" s="1"/>
  <c r="K70" i="16"/>
  <c r="L70" i="16" s="1"/>
  <c r="I71" i="16"/>
  <c r="J71" i="16" s="1"/>
  <c r="K71" i="16"/>
  <c r="L71" i="16" s="1"/>
  <c r="G77" i="16"/>
  <c r="K77" i="16"/>
  <c r="F82" i="16"/>
  <c r="M82" i="16" s="1"/>
  <c r="G82" i="16"/>
  <c r="H82" i="16" s="1"/>
  <c r="F83" i="16"/>
  <c r="G83" i="16"/>
  <c r="H83" i="16" s="1"/>
  <c r="F84" i="16"/>
  <c r="G84" i="16"/>
  <c r="H84" i="16" s="1"/>
  <c r="F85" i="16"/>
  <c r="M85" i="16" s="1"/>
  <c r="G85" i="16"/>
  <c r="H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N7" i="15"/>
  <c r="N8" i="15"/>
  <c r="N9" i="15"/>
  <c r="D10" i="15"/>
  <c r="S7" i="15" s="1"/>
  <c r="E10" i="15"/>
  <c r="T9" i="15" s="1"/>
  <c r="F10" i="15"/>
  <c r="U9" i="15" s="1"/>
  <c r="G10" i="15"/>
  <c r="H10" i="15"/>
  <c r="I10" i="15"/>
  <c r="X7" i="15" s="1"/>
  <c r="J10" i="15"/>
  <c r="Y6" i="15" s="1"/>
  <c r="K10" i="15"/>
  <c r="L10" i="15"/>
  <c r="AA6" i="15" s="1"/>
  <c r="M10" i="15"/>
  <c r="AB6" i="15" s="1"/>
  <c r="H15" i="15"/>
  <c r="I15" i="15"/>
  <c r="H16" i="15"/>
  <c r="I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6" i="13"/>
  <c r="G7" i="13"/>
  <c r="G8" i="13"/>
  <c r="G9" i="13"/>
  <c r="H9" i="13" s="1"/>
  <c r="G10" i="13"/>
  <c r="G11" i="13"/>
  <c r="G12" i="13"/>
  <c r="G13" i="13"/>
  <c r="G14" i="13"/>
  <c r="G15" i="13"/>
  <c r="G16" i="13"/>
  <c r="G17" i="13"/>
  <c r="G18" i="13"/>
  <c r="M27" i="13"/>
  <c r="Z45" i="13"/>
  <c r="J46" i="13"/>
  <c r="N46" i="13"/>
  <c r="AB46" i="13"/>
  <c r="J47" i="13"/>
  <c r="K47" i="13"/>
  <c r="K48" i="13" s="1"/>
  <c r="N47" i="13"/>
  <c r="AB47" i="13"/>
  <c r="J48" i="13"/>
  <c r="N48" i="13"/>
  <c r="S48" i="13"/>
  <c r="S50" i="13" s="1"/>
  <c r="S52" i="13" s="1"/>
  <c r="S54" i="13" s="1"/>
  <c r="S56" i="13" s="1"/>
  <c r="S58" i="13" s="1"/>
  <c r="S60" i="13" s="1"/>
  <c r="S62" i="13" s="1"/>
  <c r="S64" i="13" s="1"/>
  <c r="S66" i="13" s="1"/>
  <c r="S68" i="13" s="1"/>
  <c r="S70" i="13" s="1"/>
  <c r="S72" i="13" s="1"/>
  <c r="S74" i="13" s="1"/>
  <c r="AB48" i="13"/>
  <c r="J49" i="13"/>
  <c r="L49" i="13" s="1"/>
  <c r="N49" i="13"/>
  <c r="P49" i="13" s="1"/>
  <c r="Q49" i="13" s="1"/>
  <c r="S49" i="13"/>
  <c r="S51" i="13" s="1"/>
  <c r="AB49" i="13"/>
  <c r="J50" i="13"/>
  <c r="K50" i="13"/>
  <c r="K51" i="13" s="1"/>
  <c r="M50" i="13"/>
  <c r="AB50" i="13"/>
  <c r="J51" i="13"/>
  <c r="AB51" i="13"/>
  <c r="J52" i="13"/>
  <c r="N52" i="13"/>
  <c r="O52" i="13" s="1"/>
  <c r="AB52" i="13"/>
  <c r="J53" i="13"/>
  <c r="L53" i="13" s="1"/>
  <c r="M53" i="13"/>
  <c r="M54" i="13" s="1"/>
  <c r="N54" i="13" s="1"/>
  <c r="AB53" i="13"/>
  <c r="J54" i="13"/>
  <c r="L54" i="13" s="1"/>
  <c r="AB54" i="13"/>
  <c r="AB55" i="13"/>
  <c r="AB56" i="13"/>
  <c r="AB57" i="13"/>
  <c r="AB58" i="13"/>
  <c r="Z61" i="13"/>
  <c r="AB61" i="13"/>
  <c r="AC61" i="13" s="1"/>
  <c r="J67" i="13" s="1"/>
  <c r="J68" i="13" s="1"/>
  <c r="Z68" i="13"/>
  <c r="Y69" i="13"/>
  <c r="Z70" i="13"/>
  <c r="Z71" i="13"/>
  <c r="X72" i="13"/>
  <c r="H84" i="13"/>
  <c r="H27" i="13" s="1"/>
  <c r="N96" i="13"/>
  <c r="I97" i="13"/>
  <c r="F99" i="13"/>
  <c r="F100" i="13" s="1"/>
  <c r="Y74" i="13" s="1"/>
  <c r="G99" i="13"/>
  <c r="M99" i="13"/>
  <c r="M100" i="13" s="1"/>
  <c r="H104" i="13"/>
  <c r="G19" i="13" s="1"/>
  <c r="F120" i="13"/>
  <c r="I122" i="13"/>
  <c r="F124" i="13"/>
  <c r="H124" i="13"/>
  <c r="F125" i="13"/>
  <c r="H125" i="13"/>
  <c r="G21" i="13" s="1"/>
  <c r="F126" i="13"/>
  <c r="H126" i="13"/>
  <c r="G22" i="13" s="1"/>
  <c r="R40" i="13" s="1"/>
  <c r="F127" i="13"/>
  <c r="H127" i="13"/>
  <c r="G23" i="13" s="1"/>
  <c r="R39" i="13" s="1"/>
  <c r="F128" i="13"/>
  <c r="H128" i="13"/>
  <c r="G24" i="13" s="1"/>
  <c r="G31" i="15" l="1"/>
  <c r="N53" i="13"/>
  <c r="O53" i="13" s="1"/>
  <c r="I91" i="16"/>
  <c r="I85" i="16"/>
  <c r="X9" i="15"/>
  <c r="X8" i="15"/>
  <c r="I19" i="15"/>
  <c r="X15" i="15" s="1"/>
  <c r="X6" i="15"/>
  <c r="U6" i="15"/>
  <c r="Z16" i="15"/>
  <c r="S13" i="19"/>
  <c r="AR13" i="19" s="1" a="1"/>
  <c r="AR13" i="19" s="1"/>
  <c r="AS13" i="19" s="1"/>
  <c r="AT13" i="19" s="1"/>
  <c r="S15" i="19"/>
  <c r="AR15" i="19" s="1" a="1"/>
  <c r="AR15" i="19" s="1"/>
  <c r="AS15" i="19" s="1"/>
  <c r="AT15" i="19" s="1"/>
  <c r="AR14" i="19" a="1"/>
  <c r="AR14" i="19" s="1"/>
  <c r="AS14" i="19" s="1"/>
  <c r="AT14" i="19" s="1"/>
  <c r="BH14" i="19" a="1"/>
  <c r="BH14" i="19" s="1"/>
  <c r="BI14" i="19" s="1"/>
  <c r="BJ14" i="19" s="1"/>
  <c r="U15" i="19"/>
  <c r="BH15" i="19" s="1" a="1"/>
  <c r="BH15" i="19" s="1"/>
  <c r="BI15" i="19" s="1"/>
  <c r="BJ15" i="19" s="1"/>
  <c r="U13" i="19"/>
  <c r="BH13" i="19" s="1" a="1"/>
  <c r="BH13" i="19" s="1"/>
  <c r="BI13" i="19" s="1"/>
  <c r="BJ13" i="19" s="1"/>
  <c r="BP14" i="19" a="1"/>
  <c r="BP14" i="19" s="1"/>
  <c r="BQ14" i="19" s="1"/>
  <c r="BR14" i="19" s="1"/>
  <c r="V15" i="19"/>
  <c r="BP15" i="19" s="1" a="1"/>
  <c r="BP15" i="19" s="1"/>
  <c r="BQ15" i="19" s="1"/>
  <c r="BR15" i="19" s="1"/>
  <c r="V13" i="19"/>
  <c r="BP13" i="19" s="1" a="1"/>
  <c r="BP13" i="19" s="1"/>
  <c r="BQ13" i="19" s="1"/>
  <c r="BR13" i="19" s="1"/>
  <c r="AZ14" i="19" a="1"/>
  <c r="AZ14" i="19" s="1"/>
  <c r="BA14" i="19" s="1"/>
  <c r="BB14" i="19" s="1"/>
  <c r="T15" i="19"/>
  <c r="AZ15" i="19" s="1" a="1"/>
  <c r="AZ15" i="19" s="1"/>
  <c r="BA15" i="19" s="1"/>
  <c r="BB15" i="19" s="1"/>
  <c r="T13" i="19"/>
  <c r="AZ13" i="19" s="1" a="1"/>
  <c r="AZ13" i="19" s="1"/>
  <c r="BA13" i="19" s="1"/>
  <c r="BB13" i="19" s="1"/>
  <c r="R14" i="19"/>
  <c r="W60" i="19"/>
  <c r="L267" i="20"/>
  <c r="L266" i="20"/>
  <c r="L276" i="20" s="1"/>
  <c r="L268" i="20"/>
  <c r="L277" i="20" s="1"/>
  <c r="L269" i="20"/>
  <c r="L274" i="20" s="1"/>
  <c r="E278" i="20"/>
  <c r="F274" i="20"/>
  <c r="F273" i="20"/>
  <c r="F267" i="20"/>
  <c r="F272" i="20"/>
  <c r="F275" i="20"/>
  <c r="F268" i="20"/>
  <c r="F266" i="20"/>
  <c r="F276" i="20"/>
  <c r="F270" i="20"/>
  <c r="N273" i="20"/>
  <c r="R51" i="19" s="1" a="1"/>
  <c r="S18" i="15"/>
  <c r="S9" i="15"/>
  <c r="O18" i="15"/>
  <c r="AC17" i="15"/>
  <c r="U16" i="15"/>
  <c r="O48" i="13"/>
  <c r="G29" i="15"/>
  <c r="Y17" i="15"/>
  <c r="AC15" i="15"/>
  <c r="U8" i="15"/>
  <c r="S6" i="15"/>
  <c r="AA17" i="15"/>
  <c r="T6" i="15"/>
  <c r="V33" i="15"/>
  <c r="AB15" i="15"/>
  <c r="T8" i="15"/>
  <c r="O16" i="15"/>
  <c r="AC18" i="15"/>
  <c r="U17" i="15"/>
  <c r="U19" i="15" s="1"/>
  <c r="AA15" i="15"/>
  <c r="S8" i="15"/>
  <c r="AA18" i="15"/>
  <c r="O17" i="15"/>
  <c r="Y15" i="15"/>
  <c r="V18" i="15"/>
  <c r="U18" i="15"/>
  <c r="U7" i="15"/>
  <c r="T7" i="15"/>
  <c r="Y16" i="15"/>
  <c r="X18" i="15"/>
  <c r="V16" i="15"/>
  <c r="O49" i="13"/>
  <c r="L47" i="13"/>
  <c r="H105" i="13"/>
  <c r="L50" i="13"/>
  <c r="L63" i="13" s="1"/>
  <c r="Y75" i="13"/>
  <c r="I93" i="16"/>
  <c r="H86" i="13"/>
  <c r="H87" i="13" s="1"/>
  <c r="H89" i="13" s="1"/>
  <c r="L48" i="13"/>
  <c r="K64" i="13" s="1"/>
  <c r="L51" i="13"/>
  <c r="L64" i="13" s="1"/>
  <c r="I98" i="13"/>
  <c r="N98" i="13" s="1"/>
  <c r="J1" i="13"/>
  <c r="J57" i="13"/>
  <c r="I98" i="16"/>
  <c r="I97" i="16"/>
  <c r="I86" i="16"/>
  <c r="I103" i="16"/>
  <c r="I83" i="16"/>
  <c r="I95" i="16"/>
  <c r="I94" i="16"/>
  <c r="M95" i="16"/>
  <c r="M83" i="16"/>
  <c r="I100" i="16"/>
  <c r="I99" i="16"/>
  <c r="I87" i="16"/>
  <c r="G3" i="13"/>
  <c r="J56" i="13"/>
  <c r="L46" i="13"/>
  <c r="N50" i="13"/>
  <c r="M51" i="13"/>
  <c r="N51" i="13" s="1"/>
  <c r="G20" i="13"/>
  <c r="H130" i="13"/>
  <c r="I124" i="13" s="1"/>
  <c r="S53" i="13"/>
  <c r="S55" i="13" s="1"/>
  <c r="S57" i="13" s="1"/>
  <c r="S59" i="13" s="1"/>
  <c r="S61" i="13" s="1"/>
  <c r="S63" i="13" s="1"/>
  <c r="S65" i="13" s="1"/>
  <c r="S67" i="13" s="1"/>
  <c r="S69" i="13" s="1"/>
  <c r="S71" i="13" s="1"/>
  <c r="S73" i="13" s="1"/>
  <c r="S75" i="13" s="1"/>
  <c r="X47" i="13" s="1"/>
  <c r="X56" i="13"/>
  <c r="X49" i="13"/>
  <c r="F130" i="13"/>
  <c r="G125" i="13" s="1"/>
  <c r="O54" i="13"/>
  <c r="P54" i="13"/>
  <c r="Q54" i="13" s="1"/>
  <c r="O46" i="13"/>
  <c r="P46" i="13"/>
  <c r="Q46" i="13" s="1"/>
  <c r="N97" i="13"/>
  <c r="Q34" i="13"/>
  <c r="Z69" i="13"/>
  <c r="R34" i="13"/>
  <c r="K130" i="13"/>
  <c r="M130" i="13"/>
  <c r="O15" i="15"/>
  <c r="H19" i="15"/>
  <c r="I88" i="16"/>
  <c r="P52" i="13"/>
  <c r="Q52" i="13" s="1"/>
  <c r="T15" i="15"/>
  <c r="T16" i="15"/>
  <c r="T17" i="15"/>
  <c r="T18" i="15"/>
  <c r="I82" i="16"/>
  <c r="G48" i="16"/>
  <c r="G49" i="16" s="1"/>
  <c r="B5" i="13" a="1"/>
  <c r="I102" i="16"/>
  <c r="I96" i="16"/>
  <c r="Z6" i="15"/>
  <c r="Z7" i="15"/>
  <c r="Z8" i="15"/>
  <c r="Z9" i="15"/>
  <c r="I84" i="16"/>
  <c r="J58" i="13"/>
  <c r="L52" i="13"/>
  <c r="L58" i="13" s="1"/>
  <c r="F12" i="13" s="1"/>
  <c r="H12" i="13" s="1"/>
  <c r="O47" i="13"/>
  <c r="P47" i="13"/>
  <c r="Q47" i="13" s="1"/>
  <c r="I90" i="16"/>
  <c r="G16" i="16"/>
  <c r="G17" i="16" s="1"/>
  <c r="G19" i="16" s="1"/>
  <c r="G20" i="16" s="1"/>
  <c r="H17" i="16"/>
  <c r="H19" i="16" s="1"/>
  <c r="P48" i="13"/>
  <c r="Q48" i="13" s="1"/>
  <c r="G64" i="13" s="1"/>
  <c r="I101" i="16"/>
  <c r="M101" i="16"/>
  <c r="I92" i="16"/>
  <c r="W6" i="15"/>
  <c r="W7" i="15"/>
  <c r="W8" i="15"/>
  <c r="W9" i="15"/>
  <c r="R36" i="13"/>
  <c r="I89" i="16"/>
  <c r="M89" i="16"/>
  <c r="I1" i="13"/>
  <c r="M96" i="16"/>
  <c r="M84" i="16"/>
  <c r="V17" i="15"/>
  <c r="Z15" i="15"/>
  <c r="V9" i="15"/>
  <c r="V8" i="15"/>
  <c r="V7" i="15"/>
  <c r="V6" i="15"/>
  <c r="L73" i="16"/>
  <c r="X46" i="13"/>
  <c r="S17" i="15"/>
  <c r="M88" i="16"/>
  <c r="AB18" i="15"/>
  <c r="S16" i="15"/>
  <c r="Z18" i="15"/>
  <c r="AB17" i="15"/>
  <c r="AB9" i="15"/>
  <c r="AB8" i="15"/>
  <c r="AB7" i="15"/>
  <c r="AB10" i="15" s="1"/>
  <c r="N10" i="15"/>
  <c r="F11" i="15" s="1"/>
  <c r="AA9" i="15"/>
  <c r="AA8" i="15"/>
  <c r="AA7" i="15"/>
  <c r="L1" i="13"/>
  <c r="Y9" i="15"/>
  <c r="Y8" i="15"/>
  <c r="Y7" i="15"/>
  <c r="X48" i="13" l="1"/>
  <c r="AC19" i="15"/>
  <c r="O58" i="13"/>
  <c r="P53" i="13"/>
  <c r="Q53" i="13" s="1"/>
  <c r="X52" i="13"/>
  <c r="AC52" i="13" s="1"/>
  <c r="X51" i="13"/>
  <c r="Z51" i="13" s="1"/>
  <c r="X55" i="13"/>
  <c r="AC55" i="13" s="1"/>
  <c r="X17" i="15"/>
  <c r="L56" i="13"/>
  <c r="K63" i="13" s="1"/>
  <c r="X10" i="15"/>
  <c r="X16" i="15"/>
  <c r="X19" i="15" s="1"/>
  <c r="U10" i="15"/>
  <c r="V10" i="15"/>
  <c r="Y19" i="15"/>
  <c r="Y10" i="15"/>
  <c r="R13" i="19"/>
  <c r="AJ13" i="19" s="1" a="1"/>
  <c r="AJ13" i="19" s="1"/>
  <c r="AK13" i="19" s="1"/>
  <c r="AL13" i="19" s="1"/>
  <c r="R15" i="19"/>
  <c r="AJ15" i="19" s="1" a="1"/>
  <c r="AJ15" i="19" s="1"/>
  <c r="AK15" i="19" s="1"/>
  <c r="AL15" i="19" s="1"/>
  <c r="AJ14" i="19" a="1"/>
  <c r="AJ14" i="19" s="1"/>
  <c r="AK14" i="19" s="1"/>
  <c r="AL14" i="19" s="1"/>
  <c r="F265" i="20"/>
  <c r="R51" i="19"/>
  <c r="V51" i="19"/>
  <c r="T51" i="19"/>
  <c r="S51" i="19"/>
  <c r="U51" i="19"/>
  <c r="F271" i="20"/>
  <c r="L273" i="20"/>
  <c r="R50" i="19" s="1" a="1"/>
  <c r="S10" i="15"/>
  <c r="V19" i="15"/>
  <c r="X53" i="13"/>
  <c r="AC53" i="13" s="1"/>
  <c r="O9" i="15"/>
  <c r="AB19" i="15"/>
  <c r="T19" i="15"/>
  <c r="AA19" i="15"/>
  <c r="T10" i="15"/>
  <c r="W10" i="15"/>
  <c r="S19" i="15"/>
  <c r="X50" i="13"/>
  <c r="Z50" i="13" s="1"/>
  <c r="X54" i="13"/>
  <c r="Z54" i="13" s="1"/>
  <c r="O3" i="13"/>
  <c r="I126" i="13"/>
  <c r="I125" i="13"/>
  <c r="J125" i="13" s="1"/>
  <c r="L57" i="13"/>
  <c r="N99" i="13"/>
  <c r="H100" i="13" s="1"/>
  <c r="N100" i="13" s="1"/>
  <c r="M101" i="13" s="1"/>
  <c r="I99" i="13"/>
  <c r="Z46" i="13"/>
  <c r="AC46" i="13"/>
  <c r="B5" i="13"/>
  <c r="D5" i="13"/>
  <c r="E5" i="13"/>
  <c r="C5" i="13"/>
  <c r="S34" i="13"/>
  <c r="X58" i="13"/>
  <c r="G126" i="13"/>
  <c r="E11" i="15"/>
  <c r="I11" i="15"/>
  <c r="J11" i="15"/>
  <c r="M11" i="15"/>
  <c r="Z47" i="13"/>
  <c r="AC47" i="13"/>
  <c r="H11" i="15"/>
  <c r="Z49" i="13"/>
  <c r="AC49" i="13"/>
  <c r="G124" i="13"/>
  <c r="J124" i="13" s="1"/>
  <c r="F10" i="13"/>
  <c r="G127" i="13"/>
  <c r="W18" i="15"/>
  <c r="W17" i="15"/>
  <c r="W16" i="15"/>
  <c r="G63" i="13"/>
  <c r="I128" i="13"/>
  <c r="I127" i="13"/>
  <c r="O51" i="13"/>
  <c r="P51" i="13"/>
  <c r="Q51" i="13" s="1"/>
  <c r="H64" i="13" s="1"/>
  <c r="K11" i="15"/>
  <c r="G11" i="15"/>
  <c r="L11" i="15"/>
  <c r="M105" i="16"/>
  <c r="O7" i="15"/>
  <c r="Z19" i="15"/>
  <c r="G128" i="13"/>
  <c r="O56" i="13"/>
  <c r="G68" i="13" s="1"/>
  <c r="R37" i="13"/>
  <c r="R38" i="13"/>
  <c r="O50" i="13"/>
  <c r="P50" i="13"/>
  <c r="Q50" i="13" s="1"/>
  <c r="H63" i="13" s="1"/>
  <c r="W15" i="15"/>
  <c r="R33" i="13"/>
  <c r="R35" i="13" s="1"/>
  <c r="X74" i="13"/>
  <c r="X75" i="13" s="1"/>
  <c r="Z75" i="13" s="1"/>
  <c r="O6" i="15"/>
  <c r="G51" i="16"/>
  <c r="H51" i="16" s="1"/>
  <c r="G52" i="16"/>
  <c r="H52" i="16" s="1"/>
  <c r="G53" i="16"/>
  <c r="H53" i="16" s="1"/>
  <c r="Z56" i="13"/>
  <c r="AC56" i="13"/>
  <c r="I105" i="16"/>
  <c r="Z10" i="15"/>
  <c r="D11" i="15"/>
  <c r="Z48" i="13"/>
  <c r="AC48" i="13"/>
  <c r="AA10" i="15"/>
  <c r="O8" i="15"/>
  <c r="F17" i="13"/>
  <c r="H17" i="13" s="1"/>
  <c r="N67" i="13"/>
  <c r="N68" i="13" s="1"/>
  <c r="N65" i="13" s="1"/>
  <c r="X57" i="13"/>
  <c r="K68" i="13" l="1"/>
  <c r="AC51" i="13"/>
  <c r="Z55" i="13"/>
  <c r="Z52" i="13"/>
  <c r="R50" i="19"/>
  <c r="R53" i="19" s="1"/>
  <c r="U50" i="19"/>
  <c r="U53" i="19" s="1"/>
  <c r="U16" i="19" s="1"/>
  <c r="BH16" i="19" s="1" a="1"/>
  <c r="BH16" i="19" s="1"/>
  <c r="BI16" i="19" s="1"/>
  <c r="BJ16" i="19" s="1"/>
  <c r="T50" i="19"/>
  <c r="T53" i="19" s="1"/>
  <c r="T16" i="19" s="1"/>
  <c r="AZ16" i="19" s="1" a="1"/>
  <c r="AZ16" i="19" s="1"/>
  <c r="BA16" i="19" s="1"/>
  <c r="BB16" i="19" s="1"/>
  <c r="S50" i="19"/>
  <c r="S53" i="19" s="1"/>
  <c r="S16" i="19" s="1"/>
  <c r="AR16" i="19" s="1" a="1"/>
  <c r="AR16" i="19" s="1"/>
  <c r="AS16" i="19" s="1"/>
  <c r="AT16" i="19" s="1"/>
  <c r="V50" i="19"/>
  <c r="V53" i="19" s="1"/>
  <c r="V16" i="19" s="1"/>
  <c r="BP16" i="19" s="1" a="1"/>
  <c r="BP16" i="19" s="1"/>
  <c r="BQ16" i="19" s="1"/>
  <c r="BR16" i="19" s="1"/>
  <c r="Z53" i="13"/>
  <c r="AC50" i="13"/>
  <c r="AC54" i="13"/>
  <c r="J126" i="13"/>
  <c r="K126" i="13" s="1"/>
  <c r="L126" i="13" s="1"/>
  <c r="F22" i="13" s="1"/>
  <c r="H22" i="13" s="1"/>
  <c r="Q40" i="13" s="1"/>
  <c r="S40" i="13" s="1"/>
  <c r="O57" i="13"/>
  <c r="H68" i="13" s="1"/>
  <c r="H106" i="13"/>
  <c r="F19" i="13" s="1"/>
  <c r="H19" i="13" s="1"/>
  <c r="Q36" i="13" s="1"/>
  <c r="S36" i="13" s="1"/>
  <c r="L68" i="13"/>
  <c r="F13" i="13"/>
  <c r="H13" i="13" s="1"/>
  <c r="Y67" i="13"/>
  <c r="Z67" i="13" s="1"/>
  <c r="J127" i="13"/>
  <c r="K127" i="13" s="1"/>
  <c r="L127" i="13" s="1"/>
  <c r="F23" i="13" s="1"/>
  <c r="J128" i="13"/>
  <c r="M128" i="13" s="1"/>
  <c r="N128" i="13" s="1"/>
  <c r="G66" i="13"/>
  <c r="M124" i="13"/>
  <c r="N124" i="13" s="1"/>
  <c r="K124" i="13"/>
  <c r="L124" i="13" s="1"/>
  <c r="F20" i="13" s="1"/>
  <c r="H20" i="13" s="1"/>
  <c r="G8" i="16"/>
  <c r="M78" i="16" s="1"/>
  <c r="N77" i="16" s="1"/>
  <c r="G13" i="16"/>
  <c r="P78" i="16" s="1"/>
  <c r="Q77" i="16" s="1"/>
  <c r="F11" i="13"/>
  <c r="D11" i="13" s="1"/>
  <c r="AO11" i="13" s="1"/>
  <c r="H10" i="13"/>
  <c r="D25" i="13"/>
  <c r="D9" i="13"/>
  <c r="AO9" i="13" s="1"/>
  <c r="D10" i="13"/>
  <c r="AO10" i="13" s="1"/>
  <c r="D17" i="13"/>
  <c r="AO17" i="13" s="1"/>
  <c r="D12" i="13"/>
  <c r="AO12" i="13" s="1"/>
  <c r="B9" i="13"/>
  <c r="Y9" i="13" s="1"/>
  <c r="B10" i="13"/>
  <c r="Y10" i="13" s="1"/>
  <c r="B17" i="13"/>
  <c r="Y17" i="13" s="1"/>
  <c r="B12" i="13"/>
  <c r="Y12" i="13" s="1"/>
  <c r="B25" i="13"/>
  <c r="H101" i="13"/>
  <c r="F101" i="13"/>
  <c r="H90" i="13"/>
  <c r="H91" i="13" s="1"/>
  <c r="M125" i="13"/>
  <c r="N125" i="13" s="1"/>
  <c r="K125" i="13"/>
  <c r="L125" i="13" s="1"/>
  <c r="F21" i="13" s="1"/>
  <c r="H21" i="13" s="1"/>
  <c r="AC59" i="13"/>
  <c r="G7" i="16"/>
  <c r="I106" i="16" s="1"/>
  <c r="I107" i="16" s="1"/>
  <c r="G12" i="16"/>
  <c r="M106" i="16" s="1"/>
  <c r="M107" i="16" s="1"/>
  <c r="Z58" i="13"/>
  <c r="AC58" i="13"/>
  <c r="Z59" i="13"/>
  <c r="M67" i="13" s="1"/>
  <c r="W19" i="15"/>
  <c r="R41" i="13"/>
  <c r="AC57" i="13"/>
  <c r="Z57" i="13"/>
  <c r="C9" i="13"/>
  <c r="AG9" i="13" s="1"/>
  <c r="C10" i="13"/>
  <c r="AG10" i="13" s="1"/>
  <c r="C17" i="13"/>
  <c r="AG17" i="13" s="1"/>
  <c r="C12" i="13"/>
  <c r="AG12" i="13" s="1"/>
  <c r="C25" i="13"/>
  <c r="F15" i="13"/>
  <c r="F16" i="13" s="1"/>
  <c r="M68" i="13"/>
  <c r="H66" i="13"/>
  <c r="L65" i="13"/>
  <c r="G9" i="16"/>
  <c r="M74" i="16" s="1"/>
  <c r="M55" i="16" s="1"/>
  <c r="G14" i="16"/>
  <c r="P74" i="16" s="1"/>
  <c r="K65" i="13"/>
  <c r="E25" i="13"/>
  <c r="E9" i="13"/>
  <c r="AW9" i="13" s="1"/>
  <c r="E10" i="13"/>
  <c r="AW10" i="13" s="1"/>
  <c r="E17" i="13"/>
  <c r="AW17" i="13" s="1"/>
  <c r="E12" i="13"/>
  <c r="AW12" i="13" s="1"/>
  <c r="C11" i="13" l="1"/>
  <c r="AG11" i="13" s="1"/>
  <c r="M126" i="13"/>
  <c r="N126" i="13" s="1"/>
  <c r="R16" i="19"/>
  <c r="AJ16" i="19" s="1" a="1"/>
  <c r="AJ16" i="19" s="1"/>
  <c r="AK16" i="19" s="1"/>
  <c r="AL16" i="19" s="1"/>
  <c r="W53" i="19"/>
  <c r="I67" i="13"/>
  <c r="E13" i="13"/>
  <c r="AW13" i="13" s="1"/>
  <c r="B11" i="13"/>
  <c r="Y11" i="13" s="1"/>
  <c r="E20" i="13"/>
  <c r="C15" i="13"/>
  <c r="AG15" i="13" s="1"/>
  <c r="K128" i="13"/>
  <c r="L128" i="13" s="1"/>
  <c r="F24" i="13" s="1"/>
  <c r="B24" i="13" s="1"/>
  <c r="Y24" i="13" s="1"/>
  <c r="H23" i="13"/>
  <c r="Q39" i="13" s="1"/>
  <c r="S39" i="13" s="1"/>
  <c r="C23" i="13"/>
  <c r="E23" i="13"/>
  <c r="B23" i="13"/>
  <c r="Y23" i="13" s="1"/>
  <c r="M127" i="13"/>
  <c r="N127" i="13" s="1"/>
  <c r="C13" i="13"/>
  <c r="C19" i="13"/>
  <c r="D19" i="13"/>
  <c r="O25" i="13"/>
  <c r="D13" i="13"/>
  <c r="B19" i="13"/>
  <c r="E11" i="13"/>
  <c r="E19" i="13"/>
  <c r="B13" i="13"/>
  <c r="Y13" i="13" s="1"/>
  <c r="E15" i="13"/>
  <c r="D21" i="13"/>
  <c r="C21" i="13"/>
  <c r="D23" i="13"/>
  <c r="E21" i="13"/>
  <c r="D15" i="13"/>
  <c r="B15" i="13"/>
  <c r="K11" i="13"/>
  <c r="L10" i="13"/>
  <c r="J9" i="13"/>
  <c r="C22" i="13"/>
  <c r="AG22" i="13" s="1"/>
  <c r="L9" i="13"/>
  <c r="O17" i="13"/>
  <c r="I17" i="13"/>
  <c r="K12" i="13"/>
  <c r="K17" i="13"/>
  <c r="J10" i="13"/>
  <c r="H11" i="13"/>
  <c r="O10" i="13"/>
  <c r="I10" i="13"/>
  <c r="K10" i="13"/>
  <c r="J17" i="13"/>
  <c r="E22" i="13"/>
  <c r="AW22" i="13" s="1"/>
  <c r="B22" i="13"/>
  <c r="Y22" i="13" s="1"/>
  <c r="O9" i="13"/>
  <c r="I9" i="13"/>
  <c r="K9" i="13"/>
  <c r="L12" i="13"/>
  <c r="J12" i="13"/>
  <c r="F8" i="13"/>
  <c r="H15" i="13"/>
  <c r="C20" i="13"/>
  <c r="AG20"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1" i="13"/>
  <c r="Y21" i="13" s="1"/>
  <c r="D22" i="13"/>
  <c r="AO22"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38" i="13"/>
  <c r="S38" i="13" s="1"/>
  <c r="L17" i="13"/>
  <c r="AB75" i="13"/>
  <c r="I68" i="13" s="1"/>
  <c r="M65" i="13" s="1"/>
  <c r="B20" i="13"/>
  <c r="Y20" i="13" s="1"/>
  <c r="D20" i="13"/>
  <c r="AO20" i="13" s="1"/>
  <c r="J11" i="13" l="1"/>
  <c r="J15" i="13"/>
  <c r="L13" i="13"/>
  <c r="K23" i="13"/>
  <c r="AO23" i="13"/>
  <c r="J13" i="13"/>
  <c r="AG13" i="13"/>
  <c r="J21" i="13"/>
  <c r="AG21" i="13"/>
  <c r="K21" i="13"/>
  <c r="AO21" i="13"/>
  <c r="L15" i="13"/>
  <c r="AW15" i="13"/>
  <c r="L23" i="13"/>
  <c r="AW23" i="13"/>
  <c r="J23" i="13"/>
  <c r="AG23" i="13"/>
  <c r="L19" i="13"/>
  <c r="AW19" i="13"/>
  <c r="L11" i="13"/>
  <c r="AW11" i="13"/>
  <c r="I19" i="13"/>
  <c r="Y19" i="13"/>
  <c r="I11" i="13"/>
  <c r="K13" i="13"/>
  <c r="AO13" i="13"/>
  <c r="L20" i="13"/>
  <c r="AW20" i="13"/>
  <c r="O11" i="13"/>
  <c r="I15" i="13"/>
  <c r="Y15" i="13"/>
  <c r="K15" i="13"/>
  <c r="AO15" i="13"/>
  <c r="K19" i="13"/>
  <c r="AO19" i="13"/>
  <c r="L21" i="13"/>
  <c r="AW21" i="13"/>
  <c r="J19" i="13"/>
  <c r="AG19" i="13"/>
  <c r="O13" i="13"/>
  <c r="I13" i="13"/>
  <c r="O23" i="13"/>
  <c r="D24" i="13"/>
  <c r="AO24" i="13" s="1"/>
  <c r="H24" i="13"/>
  <c r="H25" i="13" s="1"/>
  <c r="Q37" i="13" s="1"/>
  <c r="Q41" i="13" s="1"/>
  <c r="S41" i="13" s="1"/>
  <c r="E24" i="13"/>
  <c r="C24" i="13"/>
  <c r="M10" i="13"/>
  <c r="I23" i="13"/>
  <c r="O19" i="13"/>
  <c r="O15" i="13"/>
  <c r="M17" i="13"/>
  <c r="N65" i="16"/>
  <c r="N69" i="16"/>
  <c r="N70" i="16"/>
  <c r="N68" i="16"/>
  <c r="J20" i="13"/>
  <c r="I24" i="13"/>
  <c r="N67" i="16"/>
  <c r="L22" i="13"/>
  <c r="N58" i="16"/>
  <c r="M73" i="16"/>
  <c r="P65" i="16" s="1"/>
  <c r="Q65" i="16" s="1"/>
  <c r="F6" i="13"/>
  <c r="F7" i="13"/>
  <c r="H8" i="13"/>
  <c r="D8" i="13"/>
  <c r="AO8" i="13" s="1"/>
  <c r="B8" i="13"/>
  <c r="Y8" i="13" s="1"/>
  <c r="C8" i="13"/>
  <c r="AG8" i="13" s="1"/>
  <c r="E8" i="13"/>
  <c r="AW8" i="13" s="1"/>
  <c r="N63" i="16"/>
  <c r="K20" i="13"/>
  <c r="K22" i="13"/>
  <c r="N66" i="16"/>
  <c r="I21" i="13"/>
  <c r="O21" i="13"/>
  <c r="N71" i="16"/>
  <c r="I20" i="13"/>
  <c r="O20" i="13"/>
  <c r="J105" i="16"/>
  <c r="K82" i="16"/>
  <c r="N62" i="16"/>
  <c r="N59" i="16"/>
  <c r="M12" i="13"/>
  <c r="N64" i="16"/>
  <c r="N61" i="16"/>
  <c r="M9" i="13"/>
  <c r="N60" i="16"/>
  <c r="P105" i="16"/>
  <c r="O82" i="16"/>
  <c r="N105" i="16"/>
  <c r="Q105" i="16"/>
  <c r="I22" i="13"/>
  <c r="O22" i="13"/>
  <c r="J22" i="13"/>
  <c r="M11" i="13" l="1"/>
  <c r="M15" i="13"/>
  <c r="M19" i="13"/>
  <c r="K24" i="13"/>
  <c r="P64" i="16"/>
  <c r="Q64" i="16" s="1"/>
  <c r="P60" i="16"/>
  <c r="Q60" i="16" s="1"/>
  <c r="P71" i="16"/>
  <c r="Q71" i="16" s="1"/>
  <c r="P62" i="16"/>
  <c r="Q62" i="16" s="1"/>
  <c r="P63" i="16"/>
  <c r="Q63" i="16" s="1"/>
  <c r="P59" i="16"/>
  <c r="Q59" i="16" s="1"/>
  <c r="S37" i="13"/>
  <c r="P66" i="16"/>
  <c r="Q66" i="16" s="1"/>
  <c r="P61" i="16"/>
  <c r="Q61" i="16" s="1"/>
  <c r="P58" i="16"/>
  <c r="Q58" i="16" s="1"/>
  <c r="M13" i="13"/>
  <c r="M23" i="13"/>
  <c r="J24" i="13"/>
  <c r="AG24" i="13"/>
  <c r="M21" i="13"/>
  <c r="L24" i="13"/>
  <c r="AW24" i="13"/>
  <c r="O24" i="13"/>
  <c r="H7" i="13"/>
  <c r="D7" i="13"/>
  <c r="AO7" i="13" s="1"/>
  <c r="B7" i="13"/>
  <c r="Y7" i="13" s="1"/>
  <c r="C7" i="13"/>
  <c r="AG7" i="13" s="1"/>
  <c r="E7" i="13"/>
  <c r="AW7" i="13" s="1"/>
  <c r="M22" i="13"/>
  <c r="F14" i="13"/>
  <c r="H16" i="13"/>
  <c r="F18" i="13"/>
  <c r="D16" i="13"/>
  <c r="AO16" i="13" s="1"/>
  <c r="B16" i="13"/>
  <c r="Y16" i="13" s="1"/>
  <c r="E16" i="13"/>
  <c r="AW16" i="13" s="1"/>
  <c r="C16" i="13"/>
  <c r="AG16" i="13" s="1"/>
  <c r="P68" i="16"/>
  <c r="Q68" i="16" s="1"/>
  <c r="H6" i="13"/>
  <c r="C6" i="13"/>
  <c r="AG6" i="13" s="1"/>
  <c r="E6" i="13"/>
  <c r="AW6" i="13" s="1"/>
  <c r="B6" i="13"/>
  <c r="Y6" i="13" s="1"/>
  <c r="D6" i="13"/>
  <c r="AO6" i="13" s="1"/>
  <c r="M20" i="13"/>
  <c r="P70" i="16"/>
  <c r="Q70" i="16" s="1"/>
  <c r="P67" i="16"/>
  <c r="Q67" i="16" s="1"/>
  <c r="K8" i="13"/>
  <c r="P69" i="16"/>
  <c r="Q69" i="16" s="1"/>
  <c r="L8" i="13"/>
  <c r="J8" i="13"/>
  <c r="O8" i="13"/>
  <c r="I8" i="13"/>
  <c r="M24" i="13" l="1"/>
  <c r="H14" i="13"/>
  <c r="B14" i="13"/>
  <c r="Y14" i="13" s="1"/>
  <c r="C14" i="13"/>
  <c r="AG14" i="13" s="1"/>
  <c r="E14" i="13"/>
  <c r="AW14" i="13" s="1"/>
  <c r="D14" i="13"/>
  <c r="AO14" i="13" s="1"/>
  <c r="H18" i="13"/>
  <c r="C18" i="13"/>
  <c r="AG18" i="13" s="1"/>
  <c r="E18" i="13"/>
  <c r="AW18" i="13" s="1"/>
  <c r="D18" i="13"/>
  <c r="AO18" i="13" s="1"/>
  <c r="B18" i="13"/>
  <c r="Y18" i="13" s="1"/>
  <c r="J7" i="13"/>
  <c r="P73" i="16"/>
  <c r="O7" i="13"/>
  <c r="I7" i="13"/>
  <c r="K6" i="13"/>
  <c r="K7" i="13"/>
  <c r="I6" i="13"/>
  <c r="O6" i="13"/>
  <c r="J16" i="13"/>
  <c r="M25" i="13"/>
  <c r="L6" i="13"/>
  <c r="L16" i="13"/>
  <c r="M8" i="13"/>
  <c r="J6" i="13"/>
  <c r="O16" i="13"/>
  <c r="I16" i="13"/>
  <c r="L7" i="13"/>
  <c r="K16" i="13"/>
  <c r="O18" i="13" l="1"/>
  <c r="I18" i="13"/>
  <c r="J14" i="13"/>
  <c r="K18" i="13"/>
  <c r="M16" i="13"/>
  <c r="L18" i="13"/>
  <c r="I14" i="13"/>
  <c r="O14" i="13"/>
  <c r="J18" i="13"/>
  <c r="M7" i="13"/>
  <c r="K14" i="13"/>
  <c r="M6" i="13"/>
  <c r="L14" i="13"/>
  <c r="M14" i="13" l="1"/>
  <c r="H3" i="13"/>
  <c r="H26" i="13" s="1"/>
  <c r="E26" i="13"/>
  <c r="C26" i="13"/>
  <c r="B26" i="13"/>
  <c r="D26" i="13"/>
  <c r="M18" i="13"/>
  <c r="Q33" i="13" l="1"/>
  <c r="Q42" i="13" s="1"/>
  <c r="Q35" i="13" l="1"/>
  <c r="S35" i="13" s="1"/>
  <c r="S33" i="13"/>
  <c r="M3" i="13"/>
  <c r="M26"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color indexed="81"/>
            <rFont val="Tahoma"/>
            <family val="2"/>
          </rPr>
          <t>Bruno:</t>
        </r>
        <r>
          <rPr>
            <sz val="8"/>
            <color indexed="81"/>
            <rFont val="Tahoma"/>
            <family val="2"/>
          </rPr>
          <t xml:space="preserve">
We currently don't have any referneced estimates for the share of commissioning costs, so we've assumed 1% of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t>[Threaded comment]
Your version of Excel allows you to read this threaded comment; however, any edits to it will get removed if the file is opened in a newer version of Excel. Learn more: https://go.microsoft.com/fwlink/?linkid=870924
Comment:
    Need to update this!!!</t>
      </text>
    </comment>
    <comment ref="C19" authorId="1" shapeId="0" xr:uid="{C0E058AE-792C-40E1-8E07-26E23DD3FFE1}">
      <text>
        <t>[Threaded comment]
Your version of Excel allows you to read this threaded comment; however, any edits to it will get removed if the file is opened in a newer version of Excel. Learn more: https://go.microsoft.com/fwlink/?linkid=870924
Comment:
    ETRANS = 33GW, ETRansDUM = 53GW, km = 33,000km.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<sst xmlns="http://schemas.openxmlformats.org/spreadsheetml/2006/main" count="4493" uniqueCount="1370">
  <si>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</si>
  <si>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</si>
  <si>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</si>
  <si>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</si>
  <si>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</si>
  <si>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</si>
  <si>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</si>
  <si>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</si>
  <si>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</si>
  <si>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</si>
  <si>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</si>
  <si>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</si>
  <si>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</si>
  <si>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</si>
  <si>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</si>
  <si>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</si>
  <si>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</si>
  <si>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</si>
  <si>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</si>
  <si>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</si>
  <si>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</si>
  <si>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</si>
  <si>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</si>
  <si>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</si>
  <si>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</si>
  <si>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</si>
  <si>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</si>
  <si>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</si>
  <si>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</si>
  <si>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</si>
  <si>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</si>
  <si>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</si>
  <si>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</si>
  <si>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</si>
  <si>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</si>
  <si>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</si>
  <si>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</si>
  <si>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</si>
  <si>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</si>
  <si>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</si>
  <si>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</si>
  <si>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</si>
  <si>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</si>
  <si>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</si>
  <si>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</si>
  <si>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</si>
  <si>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</si>
  <si>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</si>
  <si>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</si>
  <si>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</si>
  <si>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</si>
  <si>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</si>
  <si>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</si>
  <si>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</si>
  <si>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</si>
  <si>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</si>
  <si>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</si>
  <si>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</si>
  <si>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</si>
  <si>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</si>
  <si>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</si>
  <si>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</si>
  <si>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</si>
  <si>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</si>
  <si>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</si>
  <si>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</si>
  <si>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</si>
  <si>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</si>
  <si>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</si>
  <si>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</si>
  <si>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</si>
  <si>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</si>
  <si>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</si>
  <si>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</si>
  <si>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</si>
  <si>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</si>
  <si>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</si>
  <si>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</si>
  <si>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</si>
  <si>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</si>
  <si>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</si>
  <si>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</si>
  <si>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</si>
  <si>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</si>
  <si>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</si>
  <si>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</si>
  <si>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</si>
  <si>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</si>
  <si>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</si>
  <si>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</si>
  <si>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</si>
  <si>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</si>
  <si>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</si>
  <si>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</si>
  <si>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</si>
  <si>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</si>
  <si>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</si>
  <si>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</si>
  <si>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</si>
  <si>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</si>
  <si>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</si>
  <si>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</si>
  <si>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</si>
  <si>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</si>
  <si>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</si>
  <si>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</si>
  <si>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</si>
  <si>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</si>
  <si>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</si>
  <si>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</si>
  <si>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</si>
  <si>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</si>
  <si>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</si>
  <si>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</si>
  <si>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</si>
  <si>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</si>
  <si>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</si>
  <si>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</si>
  <si>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</si>
  <si>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</si>
  <si>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</si>
  <si>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</si>
  <si>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</si>
  <si>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</si>
  <si>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</si>
  <si>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</si>
  <si>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</si>
  <si>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</si>
  <si>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</si>
  <si>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</si>
  <si>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</si>
  <si>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</si>
  <si>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</si>
  <si>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</si>
  <si>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</si>
  <si>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</si>
  <si>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</si>
  <si>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</si>
  <si>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</si>
  <si>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</si>
  <si>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</si>
  <si>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</si>
  <si>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</si>
  <si>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</si>
  <si>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</si>
  <si>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</si>
  <si>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</si>
  <si>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</si>
  <si>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</si>
  <si>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</si>
  <si>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</si>
  <si>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</si>
  <si>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</si>
  <si>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</si>
  <si>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</si>
  <si>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</si>
  <si>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</si>
  <si>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</si>
  <si>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</si>
  <si>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</si>
  <si>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</si>
  <si>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</si>
  <si>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</si>
  <si>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</si>
  <si>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</si>
  <si>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</si>
  <si>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</si>
  <si>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</si>
  <si>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</si>
  <si>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</si>
  <si>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</si>
  <si>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</si>
  <si>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</si>
  <si>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</si>
  <si>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</si>
  <si>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</si>
  <si>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</si>
  <si>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</si>
  <si>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</si>
  <si>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</si>
  <si>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</si>
  <si>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</si>
  <si>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</si>
  <si>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</si>
  <si>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</si>
  <si>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</si>
  <si>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</si>
  <si>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</si>
  <si>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</si>
  <si>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</si>
  <si>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</si>
  <si>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</si>
  <si>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</si>
  <si>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</si>
  <si>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</si>
  <si>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</si>
  <si>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</si>
  <si>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</si>
  <si>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</si>
  <si>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</si>
  <si>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</si>
  <si>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</si>
  <si>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</si>
  <si>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</si>
  <si>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</si>
  <si>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</si>
  <si>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</si>
  <si>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</si>
  <si>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</si>
  <si>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</si>
  <si>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</si>
  <si>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</si>
  <si>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</si>
  <si>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</si>
  <si>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</si>
  <si>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</si>
  <si>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</si>
  <si>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</si>
  <si>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</si>
  <si>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</si>
  <si>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</si>
  <si>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</si>
  <si>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</si>
  <si>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</si>
  <si>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</si>
  <si>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</si>
  <si>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</si>
  <si>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</si>
  <si>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</si>
  <si>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</si>
  <si>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</si>
  <si>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</si>
  <si>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</si>
  <si>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</si>
  <si>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</si>
  <si>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</si>
  <si>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</si>
  <si>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</si>
  <si>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</si>
  <si>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</si>
  <si>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</si>
  <si>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</si>
  <si>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</si>
  <si>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</si>
  <si>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</si>
  <si>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</si>
  <si>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</si>
  <si>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</si>
  <si>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</si>
  <si>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</si>
  <si>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</si>
  <si>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</si>
  <si>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</si>
  <si>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</si>
  <si>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</si>
  <si>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</si>
  <si>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</si>
  <si>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</si>
  <si>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</si>
  <si>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</si>
  <si>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</si>
  <si>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</si>
  <si>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</si>
  <si>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</si>
  <si>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</si>
  <si>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</si>
  <si>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</si>
  <si>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</si>
  <si>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</si>
  <si>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</si>
  <si>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</si>
  <si>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</si>
  <si>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</si>
  <si>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</si>
  <si>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</si>
  <si>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</si>
  <si>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</si>
  <si>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</si>
  <si>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</si>
  <si>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</si>
  <si>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</si>
  <si>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</si>
  <si>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</si>
  <si>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</si>
  <si>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</si>
  <si>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</si>
  <si>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</si>
  <si>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</si>
  <si>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</si>
  <si>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</si>
  <si>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</si>
  <si>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</si>
  <si>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</si>
  <si>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</si>
  <si>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</si>
  <si>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</si>
  <si>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</si>
  <si>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</si>
  <si>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</si>
  <si>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</si>
  <si>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</si>
  <si>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</si>
  <si>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</si>
  <si>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</si>
  <si>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</si>
  <si>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</si>
  <si>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</si>
  <si>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</si>
  <si>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</si>
  <si>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</si>
  <si>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</si>
  <si>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</si>
  <si>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</si>
  <si>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</si>
  <si>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</si>
  <si>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</si>
  <si>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</si>
  <si>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</si>
  <si>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</si>
  <si>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</si>
  <si>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</si>
  <si>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</si>
  <si>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</si>
  <si>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</si>
  <si>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</si>
  <si>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</si>
  <si>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</si>
  <si>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</si>
  <si>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</si>
  <si>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</si>
  <si>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</si>
  <si>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</si>
  <si>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</si>
  <si>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</si>
  <si>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</si>
  <si>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</si>
  <si>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</si>
  <si>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</si>
  <si>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</si>
  <si>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</si>
  <si>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</si>
  <si>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</si>
  <si>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</si>
  <si>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</si>
  <si>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</si>
  <si>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</si>
  <si>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</si>
  <si>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</si>
  <si>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</si>
  <si>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</si>
  <si>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</si>
  <si>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</si>
  <si>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</si>
  <si>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</si>
  <si>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</si>
  <si>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</si>
  <si>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</si>
  <si>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</si>
  <si>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</si>
  <si>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</si>
  <si>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</si>
  <si>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</si>
  <si>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</si>
  <si>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</si>
  <si>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</si>
  <si>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</si>
  <si>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</si>
  <si>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</si>
  <si>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</si>
  <si>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</si>
  <si>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</si>
  <si>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</si>
  <si>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</si>
  <si>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</si>
  <si>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</si>
  <si>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</si>
  <si>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</si>
  <si>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</si>
  <si>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</si>
  <si>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</si>
  <si>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</si>
  <si>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</si>
  <si>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</si>
  <si>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</si>
  <si>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</si>
  <si>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</si>
  <si>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</si>
  <si>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</si>
  <si>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</si>
  <si>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</si>
  <si>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</si>
  <si>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</si>
  <si>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</si>
  <si>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</si>
  <si>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</si>
  <si>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</si>
  <si>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</si>
  <si>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</si>
  <si>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</si>
  <si>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</si>
  <si>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</si>
  <si>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</si>
  <si>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</si>
  <si>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</si>
  <si>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</si>
  <si>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</si>
  <si>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</si>
  <si>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</si>
  <si>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</si>
  <si>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</si>
  <si>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</si>
  <si>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</si>
  <si>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</si>
  <si>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</si>
  <si>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</si>
  <si>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</si>
  <si>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</si>
  <si>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</si>
  <si>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</si>
  <si>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</si>
  <si>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</si>
  <si>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</si>
  <si>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</si>
  <si>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</si>
  <si>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</si>
  <si>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</si>
  <si>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</si>
  <si>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</si>
  <si>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</si>
  <si>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</si>
  <si>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</si>
  <si>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</si>
  <si>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</si>
  <si>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</si>
  <si>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</si>
  <si>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</si>
  <si>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</si>
  <si>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</si>
  <si>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</si>
  <si>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</si>
  <si>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</si>
  <si>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</si>
  <si>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</si>
  <si>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</si>
  <si>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</si>
  <si>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</si>
  <si>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</si>
  <si>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</si>
  <si>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</si>
  <si>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</si>
  <si>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</si>
  <si>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</si>
  <si>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</si>
  <si>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</si>
  <si>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</si>
  <si>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</si>
  <si>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</si>
  <si>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</si>
  <si>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</si>
  <si>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</si>
  <si>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</si>
  <si>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</si>
  <si>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</si>
  <si>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</si>
  <si>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</si>
  <si>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</si>
  <si>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</si>
  <si>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</si>
  <si>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</si>
  <si>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</si>
  <si>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</si>
  <si>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</si>
  <si>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</si>
  <si>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</si>
  <si>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</si>
  <si>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</si>
  <si>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</si>
  <si>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</si>
  <si>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</si>
  <si>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</si>
  <si>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</si>
  <si>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</si>
  <si>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</si>
  <si>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</si>
  <si>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</si>
  <si>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</si>
  <si>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</si>
  <si>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</si>
  <si>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</si>
  <si>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</si>
  <si>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</si>
  <si>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</si>
  <si>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</si>
  <si>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</si>
  <si>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</si>
  <si>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</si>
  <si>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</si>
  <si>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</si>
  <si>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</si>
  <si>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</si>
  <si>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</si>
  <si>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</si>
  <si>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</si>
  <si>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</si>
  <si>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</si>
  <si>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</si>
  <si>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</si>
  <si>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</si>
  <si>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</si>
  <si>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</si>
  <si>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</si>
  <si>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</si>
  <si>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</si>
  <si>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</si>
  <si>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</si>
  <si>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</si>
  <si>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</si>
  <si>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</si>
  <si>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</si>
  <si>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</si>
  <si>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</si>
  <si>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</si>
  <si>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</si>
  <si>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</si>
  <si>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</si>
  <si>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</si>
  <si>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</si>
  <si>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</si>
  <si>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</si>
  <si>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</si>
  <si>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</si>
  <si>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</si>
  <si>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</si>
  <si>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</si>
  <si>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</si>
  <si>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</si>
  <si>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</si>
  <si>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</si>
  <si>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</si>
  <si>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</si>
  <si>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</si>
  <si>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</si>
  <si>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</si>
  <si>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</si>
  <si>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</si>
  <si>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</si>
  <si>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</si>
  <si>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</si>
  <si>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</si>
  <si>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</si>
  <si>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</si>
  <si>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</si>
  <si>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</si>
  <si>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</si>
  <si>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</si>
  <si>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</si>
  <si>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</si>
  <si>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</si>
  <si>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</si>
  <si>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</si>
  <si>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</si>
  <si>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</si>
  <si>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</si>
  <si>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</si>
  <si>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</si>
  <si>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</si>
  <si>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</si>
  <si>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</si>
  <si>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</si>
  <si>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</si>
  <si>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</si>
  <si>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</si>
  <si>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</si>
  <si>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</si>
  <si>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</si>
  <si>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</si>
  <si>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</si>
  <si>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</si>
  <si>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</si>
  <si>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</si>
  <si>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</si>
  <si>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</si>
  <si>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</si>
  <si>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</si>
  <si>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</si>
  <si>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</si>
  <si>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</si>
  <si>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</si>
  <si>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</si>
  <si>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</si>
  <si>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</si>
  <si>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</si>
  <si>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</si>
  <si>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</si>
  <si>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</si>
  <si>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</si>
  <si>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</si>
  <si>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</si>
  <si>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</si>
  <si>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</si>
  <si>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</si>
  <si>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</si>
  <si>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</si>
  <si>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</si>
  <si>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</si>
  <si>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</si>
  <si>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</si>
  <si>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</si>
  <si>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</si>
  <si>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</si>
  <si>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</si>
  <si>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</si>
  <si>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</si>
  <si>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</si>
  <si>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</si>
  <si>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</si>
  <si>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</si>
  <si>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</si>
  <si>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</si>
  <si>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</si>
  <si>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</si>
  <si>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</si>
  <si>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</si>
  <si>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</si>
  <si>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</si>
  <si>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</si>
  <si>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</si>
  <si>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</si>
  <si>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</si>
  <si>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</si>
  <si>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</si>
  <si>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</si>
  <si>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</si>
  <si>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</si>
  <si>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</si>
  <si>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</si>
  <si>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</si>
  <si>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</si>
  <si>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</si>
  <si>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</si>
  <si>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</si>
  <si>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</si>
  <si>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</si>
  <si>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</si>
  <si>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</si>
  <si>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</si>
  <si>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</si>
  <si>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</si>
  <si>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</si>
  <si>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</si>
  <si>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</si>
  <si>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</si>
  <si>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</si>
  <si>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</si>
  <si>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</si>
  <si>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</si>
  <si>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</si>
  <si>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</si>
  <si>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</si>
  <si>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</si>
  <si>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</si>
  <si>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</si>
  <si>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</si>
  <si>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</si>
  <si>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</si>
  <si>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</si>
  <si>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</si>
  <si>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</si>
  <si>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</si>
  <si>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</si>
  <si>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</si>
  <si>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</si>
  <si>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</si>
  <si>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</si>
  <si>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</si>
  <si>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</si>
  <si>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</si>
  <si>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</si>
  <si>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</si>
  <si>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</si>
  <si>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</si>
  <si>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</si>
  <si>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</si>
  <si>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</si>
  <si>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</si>
  <si>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</si>
  <si>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</si>
  <si>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</si>
  <si>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</si>
  <si>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</si>
  <si>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</si>
  <si>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</si>
  <si>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</si>
  <si>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</si>
  <si>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</si>
  <si>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</si>
  <si>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</si>
  <si>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</si>
  <si>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</si>
  <si>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</si>
  <si>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</si>
  <si>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</si>
  <si>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</si>
  <si>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</si>
  <si>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</si>
  <si>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</si>
  <si>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</si>
  <si>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</si>
  <si>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</si>
  <si>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</si>
  <si>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</si>
  <si>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</si>
  <si>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</si>
  <si>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</si>
  <si>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</si>
  <si>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</si>
  <si>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</si>
  <si>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</si>
  <si>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</si>
  <si>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</si>
  <si>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</si>
  <si>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</si>
  <si>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</si>
  <si>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</si>
  <si>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</si>
  <si>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</si>
  <si>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</si>
  <si>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</si>
  <si>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</si>
  <si>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</si>
  <si>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</si>
  <si>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</si>
  <si>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</si>
  <si>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</si>
  <si>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</si>
  <si>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</si>
  <si>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</si>
  <si>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</si>
  <si>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</si>
  <si>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</si>
  <si>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</si>
  <si>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</si>
  <si>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</si>
  <si>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</si>
  <si>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</si>
  <si>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</si>
  <si>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</si>
  <si>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</si>
  <si>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</si>
  <si>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</si>
  <si>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</si>
  <si>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</si>
  <si>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</si>
  <si>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</si>
  <si>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</si>
  <si>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</si>
  <si>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</si>
  <si>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</si>
  <si>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</si>
  <si>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</si>
  <si>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</si>
  <si>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</si>
  <si>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</si>
  <si>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</si>
  <si>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</si>
  <si>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</si>
  <si>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</si>
  <si>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</si>
  <si>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</si>
  <si>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</si>
  <si>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</si>
  <si>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</si>
  <si>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</si>
  <si>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</si>
  <si>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</si>
  <si>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</si>
  <si>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</si>
  <si>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</si>
  <si>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</si>
  <si>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</si>
  <si>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</si>
  <si>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</si>
  <si>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</si>
  <si>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</si>
  <si>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</si>
  <si>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</si>
  <si>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</si>
  <si>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</si>
  <si>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</si>
  <si>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</si>
  <si>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</si>
  <si>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</si>
  <si>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</si>
  <si>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</si>
  <si>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</si>
  <si>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</si>
  <si>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</si>
  <si>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</si>
  <si>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</si>
  <si>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</si>
  <si>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</si>
  <si>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</si>
  <si>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</si>
  <si>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</si>
  <si>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</si>
  <si>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</si>
  <si>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</si>
  <si>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</si>
  <si>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</si>
  <si>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</si>
  <si>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</si>
  <si>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</si>
  <si>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</si>
  <si>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</si>
  <si>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</si>
  <si>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</si>
  <si>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</si>
  <si>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</si>
  <si>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</si>
  <si>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</si>
  <si>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</si>
  <si>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</si>
  <si>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</si>
  <si>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</si>
  <si>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</si>
  <si>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</si>
  <si>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</si>
  <si>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</si>
  <si>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</si>
  <si>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</si>
  <si>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</si>
  <si>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</si>
  <si>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</si>
  <si>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</si>
  <si>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</si>
  <si>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</si>
  <si>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</si>
  <si>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</si>
  <si>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</si>
  <si>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</si>
  <si>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</si>
  <si>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</si>
  <si>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</si>
  <si>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</si>
  <si>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</si>
  <si>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</si>
  <si>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</si>
  <si>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</si>
  <si>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</si>
  <si>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</si>
  <si>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</si>
  <si>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</si>
  <si>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</si>
  <si>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</si>
  <si>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</si>
  <si>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</si>
  <si>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</si>
  <si>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</si>
  <si>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</si>
  <si>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</si>
  <si>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</si>
  <si>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</si>
  <si>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</si>
  <si>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</si>
  <si>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</si>
  <si>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</si>
  <si>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</si>
  <si>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</si>
  <si>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</si>
  <si>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</si>
  <si>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</si>
  <si>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</si>
  <si>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</si>
  <si>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</si>
  <si>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</si>
  <si>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</si>
  <si>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</si>
  <si>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</si>
  <si>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</si>
  <si>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</si>
  <si>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</si>
  <si>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</si>
  <si>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</si>
  <si>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</si>
  <si>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</si>
  <si>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</si>
  <si>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</si>
  <si>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</si>
  <si>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</si>
  <si>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</si>
  <si>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</si>
  <si>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</si>
  <si>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</si>
  <si>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</si>
  <si>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</si>
  <si>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</si>
  <si>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</si>
  <si>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</si>
  <si>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</si>
  <si>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</si>
  <si>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</si>
  <si>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</si>
  <si>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</si>
  <si>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</si>
  <si>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</si>
  <si>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</si>
  <si>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</si>
  <si>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</si>
  <si>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</si>
  <si>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</si>
  <si>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</si>
  <si>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</si>
  <si>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</si>
  <si>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</si>
  <si>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</si>
  <si>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</si>
  <si>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</si>
  <si>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</si>
  <si>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</si>
  <si>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</si>
  <si>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</si>
  <si>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</si>
  <si>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</si>
  <si>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</si>
  <si>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</si>
  <si>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</si>
  <si>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</si>
  <si>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</si>
  <si>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</si>
  <si>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</si>
  <si>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</si>
  <si>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</si>
  <si>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</si>
  <si>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</si>
  <si>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</si>
  <si>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</si>
  <si>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</si>
  <si>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</si>
  <si>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</si>
  <si>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</si>
  <si>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</si>
  <si>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</si>
  <si>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</si>
  <si>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</si>
  <si>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</si>
  <si>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</si>
  <si>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</si>
  <si>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</si>
  <si>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</si>
  <si>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</si>
  <si>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</si>
  <si>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</si>
  <si>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</si>
  <si>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</si>
  <si>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</si>
  <si>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</si>
  <si>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</si>
  <si>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</si>
  <si>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</si>
  <si>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</si>
  <si>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</si>
  <si>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</si>
  <si>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</si>
  <si>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</si>
  <si>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</si>
  <si>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</si>
  <si>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</si>
  <si>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</si>
  <si>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</si>
  <si>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</si>
  <si>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</si>
  <si>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</si>
  <si>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</si>
  <si>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</si>
  <si>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</si>
  <si>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</si>
  <si>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</si>
  <si>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</si>
  <si>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</si>
  <si>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</si>
  <si>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</si>
  <si>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</si>
  <si>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</si>
  <si>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</si>
  <si>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</si>
  <si>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</si>
  <si>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</si>
  <si>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</si>
  <si>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</si>
  <si>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</si>
  <si>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</si>
  <si>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</si>
  <si>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</si>
  <si>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</si>
  <si>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</si>
  <si>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</si>
  <si>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</si>
  <si>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</si>
  <si>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</si>
  <si>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</si>
  <si>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</si>
  <si>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</si>
  <si>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</si>
  <si>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</si>
  <si>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</si>
  <si>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</si>
  <si>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</si>
  <si>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</si>
  <si>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</si>
  <si>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</si>
  <si>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</si>
  <si>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</si>
  <si>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</si>
  <si>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</si>
  <si>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</si>
  <si>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</si>
  <si>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</si>
  <si>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</si>
  <si>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</si>
  <si>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</si>
  <si>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</si>
  <si>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</si>
  <si>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</si>
  <si>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</si>
  <si>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</si>
  <si>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</si>
  <si>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</si>
  <si>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</si>
  <si>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</si>
  <si>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</si>
  <si>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</si>
  <si>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</si>
  <si>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</si>
  <si>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</si>
  <si>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</si>
  <si>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</si>
  <si>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</si>
  <si>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</si>
  <si>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</si>
  <si>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</si>
  <si>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</si>
  <si>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</si>
  <si>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</si>
  <si>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</si>
  <si>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</si>
  <si>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</si>
  <si>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</si>
  <si>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</si>
  <si>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</si>
  <si>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</si>
  <si>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</si>
  <si>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</si>
  <si>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</si>
  <si>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</si>
  <si>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</si>
  <si>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</si>
  <si>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</si>
  <si>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</si>
  <si>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</si>
  <si>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</si>
  <si>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</si>
  <si>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</si>
  <si>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</si>
  <si>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</si>
  <si>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</si>
  <si>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</si>
  <si>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</si>
  <si>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</si>
  <si>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</si>
  <si>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</si>
  <si>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</si>
  <si>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</si>
  <si>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</si>
  <si>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</si>
  <si>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</si>
  <si>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</si>
  <si>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</si>
  <si>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</si>
  <si>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</si>
  <si>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</si>
  <si>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</si>
  <si>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</si>
  <si>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</si>
  <si>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</si>
  <si>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</si>
  <si>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</si>
  <si>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</si>
  <si>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</si>
  <si>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</si>
  <si>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</si>
  <si>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</si>
  <si>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</si>
  <si>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</si>
  <si>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</si>
  <si>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</si>
  <si>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</si>
  <si>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</si>
  <si>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</si>
  <si>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</si>
  <si>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</si>
  <si>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</si>
  <si>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</si>
  <si>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</si>
  <si>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</si>
  <si>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</si>
  <si>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</si>
  <si>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</si>
  <si>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</si>
  <si>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</si>
  <si>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</si>
  <si>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</si>
  <si>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</si>
  <si>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</si>
  <si>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</si>
  <si>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</si>
  <si>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</si>
  <si>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</si>
  <si>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</si>
  <si>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</si>
  <si>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</si>
  <si>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</si>
  <si>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</si>
  <si>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</si>
  <si>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</si>
  <si>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</si>
  <si>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</si>
  <si>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</si>
  <si>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</si>
  <si>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</si>
  <si>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</si>
  <si>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</si>
  <si>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</si>
  <si>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</si>
  <si>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</si>
  <si>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</si>
  <si>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</si>
  <si>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</si>
  <si>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</si>
  <si>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</si>
  <si>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</si>
  <si>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</si>
  <si>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</si>
  <si>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</si>
  <si>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</si>
  <si>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</si>
  <si>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</si>
  <si>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</si>
  <si>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</si>
  <si>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</si>
  <si>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</si>
  <si>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</si>
  <si>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</si>
  <si>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</si>
  <si>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</si>
  <si>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</si>
  <si>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</si>
  <si>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</si>
  <si>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</si>
  <si>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</si>
  <si>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</si>
  <si>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</si>
  <si>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</si>
  <si>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</si>
  <si>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</si>
  <si>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</si>
  <si>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</si>
  <si>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</si>
  <si>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</si>
  <si>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</si>
  <si>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</si>
  <si>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</si>
  <si>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</si>
  <si>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</si>
  <si>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</si>
  <si>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</si>
  <si>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</si>
  <si>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</si>
  <si>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</si>
  <si>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</si>
  <si>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</si>
  <si>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</si>
  <si>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</si>
  <si>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</si>
  <si>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</si>
  <si>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</si>
  <si>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</si>
  <si>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</si>
  <si>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</si>
  <si>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</si>
  <si>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</si>
  <si>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</si>
  <si>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</si>
  <si>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</si>
  <si>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</si>
  <si>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</si>
  <si>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</si>
  <si>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</si>
  <si>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</si>
  <si>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</si>
  <si>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</si>
  <si>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</si>
  <si>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</si>
  <si>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</si>
  <si>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</si>
  <si>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</si>
  <si>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</si>
  <si>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</si>
  <si>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</si>
  <si>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</si>
  <si>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</si>
  <si>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</si>
  <si>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</si>
  <si>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</si>
  <si>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</si>
  <si>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</si>
  <si>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</si>
  <si>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</si>
  <si>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</si>
  <si>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</si>
  <si>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</si>
  <si>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</si>
  <si>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</si>
  <si>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</si>
  <si>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</si>
  <si>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</si>
  <si>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</si>
  <si>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</si>
  <si>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</si>
  <si>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</si>
  <si>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</si>
  <si>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</si>
  <si>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</si>
  <si>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</si>
  <si>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</si>
  <si>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</si>
  <si>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</si>
  <si>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</si>
  <si>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</si>
  <si>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</si>
  <si>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</si>
  <si>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</si>
  <si>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</si>
  <si>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</si>
  <si>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</si>
  <si>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</si>
  <si>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</si>
  <si>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</si>
  <si>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</si>
  <si>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</si>
  <si>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</si>
  <si>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</si>
  <si>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</si>
  <si>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</si>
  <si>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</si>
  <si>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</si>
  <si>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</si>
  <si>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</si>
  <si>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</si>
  <si>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</si>
  <si>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</si>
  <si>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</si>
  <si>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</si>
  <si>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</si>
  <si>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</si>
  <si>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</si>
  <si>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</si>
  <si>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</si>
  <si>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</si>
  <si>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</si>
  <si>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</si>
  <si>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</si>
  <si>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</si>
  <si>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</si>
  <si>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</si>
  <si>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</si>
  <si>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</si>
  <si>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</si>
  <si>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</si>
  <si>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</si>
  <si>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</si>
  <si>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</si>
  <si>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</si>
  <si>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</si>
  <si>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</si>
  <si>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</si>
  <si>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</si>
  <si>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</si>
  <si>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</si>
  <si>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</si>
  <si>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</si>
  <si>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</si>
  <si>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</si>
  <si>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</si>
  <si>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</si>
  <si>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</si>
  <si>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</si>
  <si>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</si>
  <si>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</si>
  <si>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</si>
  <si>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</si>
  <si>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</si>
  <si>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</si>
  <si>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</si>
  <si>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</si>
  <si>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</si>
  <si>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</si>
  <si>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</si>
  <si>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</si>
  <si>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</si>
  <si>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</si>
  <si>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</si>
  <si>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</si>
  <si>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</si>
  <si>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</si>
  <si>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</si>
  <si>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</si>
  <si>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</si>
  <si>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</si>
  <si>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</si>
  <si>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</si>
  <si>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</si>
  <si>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</si>
  <si>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</si>
  <si>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</si>
  <si>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</si>
  <si>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</si>
  <si>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</si>
  <si>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</si>
  <si>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</si>
  <si>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</si>
  <si>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</si>
  <si>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</si>
  <si>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</si>
  <si>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</si>
  <si>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Ebattery_Utility</t>
  </si>
  <si>
    <t>BATTERY MATERIAL INPUTS</t>
  </si>
  <si>
    <r>
      <t>DOI</t>
    </r>
    <r>
      <rPr>
        <sz val="11"/>
        <color rgb="FF333333"/>
        <rFont val="Segoe UI"/>
        <family val="2"/>
      </rPr>
      <t> 10.1149/2.0271701jes</t>
    </r>
  </si>
  <si>
    <r>
      <t>Jan Diekmann </t>
    </r>
    <r>
      <rPr>
        <i/>
        <sz val="11"/>
        <color rgb="FF333333"/>
        <rFont val="Segoe UI"/>
        <family val="2"/>
      </rPr>
      <t>et al</t>
    </r>
    <r>
      <rPr>
        <sz val="11"/>
        <color rgb="FF333333"/>
        <rFont val="Segoe UI"/>
        <family val="2"/>
      </rPr>
      <t> 2017 </t>
    </r>
    <r>
      <rPr>
        <i/>
        <sz val="11"/>
        <color rgb="FF333333"/>
        <rFont val="Segoe UI"/>
        <family val="2"/>
      </rPr>
      <t>J. Electrochem. Soc.</t>
    </r>
    <r>
      <rPr>
        <sz val="11"/>
        <color rgb="FF333333"/>
        <rFont val="Segoe UI"/>
        <family val="2"/>
      </rPr>
      <t> </t>
    </r>
    <r>
      <rPr>
        <sz val="11"/>
        <color rgb="FF333333"/>
        <rFont val="Segoe UI"/>
        <family val="2"/>
      </rPr>
      <t>164</t>
    </r>
    <r>
      <rPr>
        <sz val="11"/>
        <color rgb="FF333333"/>
        <rFont val="Segoe UI"/>
        <family val="2"/>
      </rPr>
      <t> A6184</t>
    </r>
  </si>
  <si>
    <t>Electronics</t>
  </si>
  <si>
    <t>battery system peripheral</t>
  </si>
  <si>
    <t>Plastics</t>
  </si>
  <si>
    <t>cables</t>
  </si>
  <si>
    <t>Module periphery</t>
  </si>
  <si>
    <t>cathode</t>
  </si>
  <si>
    <t>Lithium</t>
  </si>
  <si>
    <t>Oxygen</t>
  </si>
  <si>
    <t>Anode</t>
  </si>
  <si>
    <t>Cell housing</t>
  </si>
  <si>
    <t>Electrolyte seperatore, others</t>
  </si>
  <si>
    <t>VOC</t>
  </si>
  <si>
    <t>Assign/keep</t>
  </si>
  <si>
    <t>% maass</t>
  </si>
  <si>
    <t>Mass of materials</t>
  </si>
  <si>
    <t>Others</t>
  </si>
  <si>
    <t>Summarised</t>
  </si>
  <si>
    <t>kg/ average cell</t>
  </si>
  <si>
    <t>avg. kg per battery</t>
  </si>
  <si>
    <t>then</t>
  </si>
  <si>
    <t>inferred kg</t>
  </si>
  <si>
    <t>kg</t>
  </si>
  <si>
    <t>of mass</t>
  </si>
  <si>
    <t>kg total mass</t>
  </si>
  <si>
    <t>Wh/kg typical lithium battery density</t>
  </si>
  <si>
    <t>tonnes/MWh</t>
  </si>
  <si>
    <t>Wh</t>
  </si>
  <si>
    <t>MWh</t>
  </si>
  <si>
    <t>At 4hr storage</t>
  </si>
  <si>
    <t>tonnes/MW</t>
  </si>
  <si>
    <t>MATLIT</t>
  </si>
  <si>
    <t>~TFM_FILL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</si>
</sst>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7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
      <sz val="10"/>
      <name val="Arial"/>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color indexed="81"/>
      <name val="Tahoma"/>
      <family val="2"/>
    </font>
    <font>
      <sz val="8"/>
      <color indexed="81"/>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
      <b/>
      <sz val="14"/>
      <name val="Arial"/>
      <family val="2"/>
    </font>
    <font>
      <sz val="11"/>
      <color rgb="FF333333"/>
      <name val="Segoe UI"/>
      <family val="2"/>
    </font>
    <font>
      <sz val="11"/>
      <color rgb="FF333333"/>
      <name val="Segoe UI"/>
      <family val="2"/>
    </font>
    <font>
      <i/>
      <sz val="11"/>
      <color rgb="FF333333"/>
      <name val="Segoe UI"/>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s>
  <borders count="7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auto="1"/>
      </right>
      <top style="thin">
        <color auto="1"/>
      </top>
      <bottom style="thin">
        <color auto="1"/>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8">
    <xf numFmtId="0" fontId="0" fillId="0" borderId="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8" fillId="0" borderId="0"/>
    <xf numFmtId="0" fontId="8" fillId="0" borderId="0"/>
    <xf numFmtId="0" fontId="9" fillId="0" borderId="0"/>
    <xf numFmtId="9" fontId="8" fillId="0" borderId="0" applyFont="0" applyFill="0" applyBorder="0" applyAlignment="0" applyProtection="0"/>
    <xf numFmtId="166" fontId="16" fillId="0" borderId="0" applyFont="0" applyFill="0" applyBorder="0" applyAlignment="0" applyProtection="0"/>
    <xf numFmtId="0" fontId="17" fillId="0" borderId="0" applyNumberForma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9" fontId="24"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166" fontId="4" fillId="0" borderId="0" applyFont="0" applyFill="0" applyBorder="0" applyAlignment="0" applyProtection="0"/>
    <xf numFmtId="0" fontId="46" fillId="0" borderId="50" applyNumberFormat="0" applyFill="0" applyAlignment="0" applyProtection="0"/>
    <xf numFmtId="0" fontId="47" fillId="0" borderId="51" applyNumberFormat="0" applyFill="0" applyAlignment="0" applyProtection="0"/>
    <xf numFmtId="0" fontId="48" fillId="19" borderId="0" applyNumberFormat="0" applyBorder="0" applyAlignment="0" applyProtection="0"/>
    <xf numFmtId="0" fontId="49" fillId="20" borderId="52" applyNumberFormat="0" applyAlignment="0" applyProtection="0"/>
    <xf numFmtId="0" fontId="50" fillId="21" borderId="53" applyNumberFormat="0" applyAlignment="0" applyProtection="0"/>
    <xf numFmtId="0" fontId="45" fillId="22" borderId="54" applyNumberFormat="0" applyFont="0" applyAlignment="0" applyProtection="0"/>
    <xf numFmtId="0" fontId="54" fillId="0" borderId="0"/>
    <xf numFmtId="9" fontId="54" fillId="0" borderId="0" applyFont="0" applyFill="0" applyBorder="0" applyAlignment="0" applyProtection="0"/>
    <xf numFmtId="0" fontId="64" fillId="0" borderId="0" applyNumberFormat="0" applyFill="0" applyBorder="0" applyAlignment="0" applyProtection="0"/>
    <xf numFmtId="166" fontId="54" fillId="0" borderId="0" applyFont="0" applyFill="0" applyBorder="0" applyAlignment="0" applyProtection="0"/>
  </cellStyleXfs>
  <cellXfs count="501">
    <xf numFmtId="0" fontId="0" fillId="0" borderId="0" xfId="0"/>
    <xf numFmtId="0" fontId="9" fillId="0" borderId="0" xfId="0" applyFont="1"/>
    <xf numFmtId="0" fontId="8" fillId="0" borderId="0" xfId="4"/>
    <xf numFmtId="0" fontId="8" fillId="0" borderId="0" xfId="5"/>
    <xf numFmtId="167" fontId="8" fillId="0" borderId="0" xfId="5" applyNumberFormat="1"/>
    <xf numFmtId="167" fontId="13" fillId="3" borderId="0" xfId="2" applyNumberFormat="1"/>
    <xf numFmtId="2" fontId="8" fillId="0" borderId="0" xfId="5" applyNumberFormat="1"/>
    <xf numFmtId="9" fontId="0" fillId="0" borderId="0" xfId="7" applyFont="1"/>
    <xf numFmtId="0" fontId="8" fillId="0" borderId="0" xfId="5" applyAlignment="1">
      <alignment wrapText="1"/>
    </xf>
    <xf numFmtId="0" fontId="15" fillId="0" borderId="0" xfId="5" applyFont="1"/>
    <xf numFmtId="0" fontId="16" fillId="0" borderId="0" xfId="4" applyFont="1"/>
    <xf numFmtId="0" fontId="13" fillId="3" borderId="0" xfId="2"/>
    <xf numFmtId="0" fontId="8" fillId="0" borderId="0" xfId="5" quotePrefix="1"/>
    <xf numFmtId="168" fontId="8" fillId="0" borderId="0" xfId="5" applyNumberFormat="1"/>
    <xf numFmtId="169" fontId="0" fillId="0" borderId="0" xfId="7" applyNumberFormat="1" applyFont="1"/>
    <xf numFmtId="170" fontId="16" fillId="0" borderId="0" xfId="8" applyNumberFormat="1"/>
    <xf numFmtId="1" fontId="8" fillId="0" borderId="0" xfId="5" applyNumberFormat="1"/>
    <xf numFmtId="170" fontId="13" fillId="3" borderId="0" xfId="2" applyNumberFormat="1"/>
    <xf numFmtId="1" fontId="13" fillId="3" borderId="0" xfId="2" applyNumberFormat="1"/>
    <xf numFmtId="0" fontId="17" fillId="0" borderId="0" xfId="9"/>
    <xf numFmtId="9" fontId="8" fillId="0" borderId="0" xfId="5" applyNumberFormat="1"/>
    <xf numFmtId="171" fontId="8" fillId="0" borderId="0" xfId="5" applyNumberFormat="1"/>
    <xf numFmtId="171" fontId="13" fillId="3" borderId="0" xfId="2" applyNumberFormat="1"/>
    <xf numFmtId="168" fontId="13" fillId="3" borderId="0" xfId="2" applyNumberFormat="1"/>
    <xf numFmtId="170" fontId="8" fillId="0" borderId="0" xfId="5" applyNumberFormat="1"/>
    <xf numFmtId="171" fontId="0" fillId="0" borderId="0" xfId="10" applyNumberFormat="1" applyFont="1"/>
    <xf numFmtId="168" fontId="15" fillId="0" borderId="0" xfId="5" applyNumberFormat="1" applyFont="1"/>
    <xf numFmtId="2" fontId="15" fillId="0" borderId="0" xfId="5" applyNumberFormat="1" applyFont="1"/>
    <xf numFmtId="1" fontId="15" fillId="0" borderId="0" xfId="5" applyNumberFormat="1" applyFont="1"/>
    <xf numFmtId="167" fontId="15" fillId="0" borderId="0" xfId="5" applyNumberFormat="1" applyFont="1"/>
    <xf numFmtId="172" fontId="8" fillId="0" borderId="0" xfId="5" applyNumberFormat="1"/>
    <xf numFmtId="173" fontId="8" fillId="0" borderId="0" xfId="5" applyNumberFormat="1"/>
    <xf numFmtId="167" fontId="14" fillId="4" borderId="0" xfId="3" applyNumberFormat="1"/>
    <xf numFmtId="0" fontId="8" fillId="0" borderId="0" xfId="4" quotePrefix="1"/>
    <xf numFmtId="170" fontId="8" fillId="0" borderId="0" xfId="4" applyNumberFormat="1"/>
    <xf numFmtId="171" fontId="0" fillId="0" borderId="0" xfId="11" applyNumberFormat="1" applyFont="1"/>
    <xf numFmtId="3" fontId="8" fillId="0" borderId="0" xfId="4" applyNumberFormat="1"/>
    <xf numFmtId="0" fontId="20" fillId="0" borderId="0" xfId="4" applyFont="1"/>
    <xf numFmtId="0" fontId="21" fillId="0" borderId="0" xfId="4" applyFont="1"/>
    <xf numFmtId="167" fontId="8" fillId="0" borderId="0" xfId="4" applyNumberFormat="1"/>
    <xf numFmtId="4" fontId="20" fillId="0" borderId="0" xfId="4" applyNumberFormat="1" applyFont="1"/>
    <xf numFmtId="4" fontId="8" fillId="0" borderId="0" xfId="4" applyNumberFormat="1"/>
    <xf numFmtId="4" fontId="22" fillId="0" borderId="0" xfId="4" applyNumberFormat="1" applyFont="1"/>
    <xf numFmtId="0" fontId="15" fillId="0" borderId="0" xfId="4" applyFont="1"/>
    <xf numFmtId="0" fontId="23" fillId="0" borderId="0" xfId="4" applyFont="1"/>
    <xf numFmtId="9" fontId="23" fillId="0" borderId="0" xfId="7" applyFont="1"/>
    <xf numFmtId="2" fontId="8" fillId="0" borderId="0" xfId="4" applyNumberFormat="1"/>
    <xf numFmtId="2" fontId="15" fillId="0" borderId="0" xfId="4" applyNumberFormat="1" applyFont="1"/>
    <xf numFmtId="9" fontId="20" fillId="0" borderId="0" xfId="7" applyFont="1"/>
    <xf numFmtId="2" fontId="8" fillId="5" borderId="0" xfId="4" applyNumberFormat="1" applyFill="1"/>
    <xf numFmtId="168" fontId="8" fillId="0" borderId="0" xfId="4" applyNumberFormat="1"/>
    <xf numFmtId="173" fontId="8" fillId="0" borderId="0" xfId="4" applyNumberFormat="1"/>
    <xf numFmtId="0" fontId="8" fillId="0" borderId="0" xfId="4" applyAlignment="1">
      <alignment wrapText="1"/>
    </xf>
    <xf numFmtId="0" fontId="15" fillId="0" borderId="0" xfId="4" applyFont="1" applyAlignment="1">
      <alignment wrapText="1"/>
    </xf>
    <xf numFmtId="4" fontId="8" fillId="0" borderId="0" xfId="4" applyNumberFormat="1" applyAlignment="1">
      <alignment wrapText="1"/>
    </xf>
    <xf numFmtId="174" fontId="15" fillId="0" borderId="0" xfId="4" applyNumberFormat="1" applyFont="1" applyAlignment="1">
      <alignment wrapText="1"/>
    </xf>
    <xf numFmtId="10" fontId="8" fillId="0" borderId="0" xfId="4" applyNumberFormat="1"/>
    <xf numFmtId="0" fontId="12" fillId="0" borderId="0" xfId="1"/>
    <xf numFmtId="0" fontId="7" fillId="0" borderId="0" xfId="5" applyFont="1"/>
    <xf numFmtId="0" fontId="12" fillId="0" borderId="0" xfId="1" applyAlignment="1">
      <alignment horizontal="center" wrapText="1"/>
    </xf>
    <xf numFmtId="0" fontId="6" fillId="0" borderId="0" xfId="5" applyFont="1"/>
    <xf numFmtId="0" fontId="12" fillId="0" borderId="0" xfId="1" applyAlignment="1">
      <alignment horizontal="left" wrapText="1"/>
    </xf>
    <xf numFmtId="0" fontId="0" fillId="0" borderId="0" xfId="0" applyAlignment="1">
      <alignment horizontal="center"/>
    </xf>
    <xf numFmtId="0" fontId="9" fillId="0" borderId="0" xfId="0" applyFont="1" applyAlignment="1">
      <alignment horizontal="center"/>
    </xf>
    <xf numFmtId="9" fontId="0" fillId="0" borderId="0" xfId="12" applyFont="1"/>
    <xf numFmtId="0" fontId="9" fillId="0" borderId="0" xfId="0" applyFont="1" applyAlignment="1">
      <alignment wrapText="1"/>
    </xf>
    <xf numFmtId="0" fontId="10" fillId="0" borderId="0" xfId="0" applyFont="1"/>
    <xf numFmtId="0" fontId="14" fillId="4" borderId="0" xfId="3"/>
    <xf numFmtId="0" fontId="25" fillId="0" borderId="0" xfId="0" applyFont="1"/>
    <xf numFmtId="0" fontId="5" fillId="0" borderId="0" xfId="13"/>
    <xf numFmtId="9" fontId="0" fillId="0" borderId="0" xfId="14" applyFont="1"/>
    <xf numFmtId="9" fontId="9" fillId="0" borderId="0" xfId="12" applyFont="1"/>
    <xf numFmtId="0" fontId="26" fillId="0" borderId="0" xfId="0" applyFont="1"/>
    <xf numFmtId="0" fontId="27" fillId="0" borderId="0" xfId="6" applyFont="1"/>
    <xf numFmtId="0" fontId="28" fillId="0" borderId="0" xfId="6" applyFont="1"/>
    <xf numFmtId="9" fontId="5" fillId="0" borderId="0" xfId="12" applyFont="1"/>
    <xf numFmtId="9" fontId="0" fillId="0" borderId="0" xfId="0" applyNumberFormat="1"/>
    <xf numFmtId="0" fontId="30" fillId="0" borderId="0" xfId="15" applyFont="1"/>
    <xf numFmtId="0" fontId="31" fillId="0" borderId="0" xfId="15" applyFont="1"/>
    <xf numFmtId="9" fontId="32" fillId="0" borderId="1" xfId="16" applyFont="1" applyBorder="1"/>
    <xf numFmtId="166" fontId="32" fillId="0" borderId="1" xfId="15" applyNumberFormat="1" applyFont="1" applyBorder="1"/>
    <xf numFmtId="0" fontId="32" fillId="0" borderId="1" xfId="15" applyFont="1" applyBorder="1"/>
    <xf numFmtId="9" fontId="30" fillId="0" borderId="0" xfId="16" applyFont="1"/>
    <xf numFmtId="0" fontId="30" fillId="0" borderId="1" xfId="15" applyFont="1" applyBorder="1"/>
    <xf numFmtId="175" fontId="32" fillId="0" borderId="1" xfId="15" applyNumberFormat="1" applyFont="1" applyBorder="1"/>
    <xf numFmtId="9" fontId="30" fillId="0" borderId="0" xfId="15" applyNumberFormat="1" applyFont="1"/>
    <xf numFmtId="9" fontId="30" fillId="0" borderId="1" xfId="16" applyFont="1" applyBorder="1"/>
    <xf numFmtId="175" fontId="30" fillId="0" borderId="1" xfId="15" applyNumberFormat="1" applyFont="1" applyBorder="1"/>
    <xf numFmtId="2" fontId="30" fillId="0" borderId="0" xfId="15" applyNumberFormat="1" applyFont="1"/>
    <xf numFmtId="9" fontId="32" fillId="0" borderId="1" xfId="15" applyNumberFormat="1" applyFont="1" applyBorder="1"/>
    <xf numFmtId="0" fontId="30" fillId="0" borderId="2" xfId="15" applyFont="1" applyBorder="1"/>
    <xf numFmtId="0" fontId="32" fillId="0" borderId="0" xfId="15" applyFont="1"/>
    <xf numFmtId="166" fontId="30" fillId="0" borderId="0" xfId="15" applyNumberFormat="1" applyFont="1"/>
    <xf numFmtId="0" fontId="33" fillId="0" borderId="0" xfId="15" applyFont="1"/>
    <xf numFmtId="175" fontId="32" fillId="0" borderId="0" xfId="17" applyNumberFormat="1" applyFont="1"/>
    <xf numFmtId="175" fontId="30" fillId="0" borderId="0" xfId="17" applyNumberFormat="1" applyFont="1"/>
    <xf numFmtId="167" fontId="30" fillId="0" borderId="0" xfId="15" applyNumberFormat="1" applyFont="1"/>
    <xf numFmtId="167" fontId="30" fillId="0" borderId="2" xfId="15" applyNumberFormat="1" applyFont="1" applyBorder="1"/>
    <xf numFmtId="167" fontId="32" fillId="0" borderId="0" xfId="15" applyNumberFormat="1" applyFont="1"/>
    <xf numFmtId="167" fontId="30" fillId="6" borderId="3" xfId="15" applyNumberFormat="1" applyFont="1" applyFill="1" applyBorder="1" applyAlignment="1">
      <alignment horizontal="center" wrapText="1"/>
    </xf>
    <xf numFmtId="169" fontId="30" fillId="6" borderId="3" xfId="16" applyNumberFormat="1" applyFont="1" applyFill="1" applyBorder="1" applyAlignment="1">
      <alignment horizontal="center" wrapText="1"/>
    </xf>
    <xf numFmtId="0" fontId="30" fillId="0" borderId="3" xfId="15" applyFont="1" applyBorder="1" applyAlignment="1">
      <alignment horizontal="center" wrapText="1"/>
    </xf>
    <xf numFmtId="9" fontId="30" fillId="0" borderId="3" xfId="16" applyFont="1" applyFill="1" applyBorder="1" applyAlignment="1">
      <alignment horizontal="center" wrapText="1"/>
    </xf>
    <xf numFmtId="168" fontId="30" fillId="6" borderId="3" xfId="15" applyNumberFormat="1" applyFont="1" applyFill="1" applyBorder="1" applyAlignment="1">
      <alignment horizontal="center" wrapText="1"/>
    </xf>
    <xf numFmtId="10" fontId="30" fillId="0" borderId="4" xfId="15" applyNumberFormat="1" applyFont="1" applyBorder="1" applyAlignment="1">
      <alignment horizontal="center" wrapText="1"/>
    </xf>
    <xf numFmtId="10" fontId="30" fillId="0" borderId="5" xfId="15" applyNumberFormat="1" applyFont="1" applyBorder="1" applyAlignment="1">
      <alignment horizontal="center" wrapText="1"/>
    </xf>
    <xf numFmtId="0" fontId="30" fillId="0" borderId="6" xfId="15" applyFont="1" applyBorder="1" applyAlignment="1">
      <alignment horizontal="left" wrapText="1"/>
    </xf>
    <xf numFmtId="0" fontId="30" fillId="7" borderId="0" xfId="15" applyFont="1" applyFill="1"/>
    <xf numFmtId="171" fontId="30" fillId="0" borderId="0" xfId="15" applyNumberFormat="1" applyFont="1"/>
    <xf numFmtId="0" fontId="34" fillId="8" borderId="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5" fillId="0" borderId="0" xfId="15" applyFont="1"/>
    <xf numFmtId="171" fontId="30" fillId="0" borderId="0" xfId="17" applyNumberFormat="1" applyFont="1" applyBorder="1"/>
    <xf numFmtId="9" fontId="30" fillId="0" borderId="0" xfId="16" applyFont="1" applyBorder="1"/>
    <xf numFmtId="0" fontId="36" fillId="0" borderId="0" xfId="15" applyFont="1"/>
    <xf numFmtId="171" fontId="30" fillId="0" borderId="7" xfId="17" applyNumberFormat="1" applyFont="1" applyBorder="1"/>
    <xf numFmtId="9" fontId="30" fillId="0" borderId="2" xfId="16" applyFont="1" applyBorder="1"/>
    <xf numFmtId="0" fontId="32" fillId="0" borderId="8" xfId="15" applyFont="1" applyBorder="1"/>
    <xf numFmtId="171" fontId="30" fillId="0" borderId="9" xfId="17" applyNumberFormat="1" applyFont="1" applyBorder="1"/>
    <xf numFmtId="0" fontId="32" fillId="0" borderId="10" xfId="15" applyFont="1" applyBorder="1"/>
    <xf numFmtId="171" fontId="32" fillId="0" borderId="11" xfId="17" applyNumberFormat="1" applyFont="1" applyBorder="1"/>
    <xf numFmtId="0" fontId="30" fillId="0" borderId="12" xfId="15" applyFont="1" applyBorder="1"/>
    <xf numFmtId="0" fontId="32" fillId="0" borderId="12" xfId="15" applyFont="1" applyBorder="1"/>
    <xf numFmtId="9" fontId="30" fillId="0" borderId="12" xfId="16" applyFont="1" applyBorder="1"/>
    <xf numFmtId="0" fontId="32" fillId="0" borderId="13" xfId="15" applyFont="1" applyBorder="1"/>
    <xf numFmtId="0" fontId="32" fillId="0" borderId="2" xfId="15" applyFont="1" applyBorder="1"/>
    <xf numFmtId="0" fontId="30" fillId="0" borderId="7" xfId="15" applyFont="1" applyBorder="1"/>
    <xf numFmtId="0" fontId="33" fillId="0" borderId="2" xfId="15" applyFont="1" applyBorder="1"/>
    <xf numFmtId="9" fontId="33" fillId="0" borderId="8" xfId="15" applyNumberFormat="1" applyFont="1" applyBorder="1"/>
    <xf numFmtId="0" fontId="30" fillId="0" borderId="8" xfId="15" applyFont="1" applyBorder="1"/>
    <xf numFmtId="0" fontId="30" fillId="0" borderId="9" xfId="15" applyFont="1" applyBorder="1"/>
    <xf numFmtId="171" fontId="32" fillId="0" borderId="0" xfId="17" applyNumberFormat="1" applyFont="1" applyBorder="1"/>
    <xf numFmtId="165" fontId="30" fillId="0" borderId="10" xfId="15" applyNumberFormat="1" applyFont="1" applyBorder="1"/>
    <xf numFmtId="164" fontId="30" fillId="0" borderId="0" xfId="15" applyNumberFormat="1" applyFont="1"/>
    <xf numFmtId="0" fontId="30" fillId="0" borderId="10" xfId="15" applyFont="1" applyBorder="1"/>
    <xf numFmtId="164" fontId="32" fillId="0" borderId="0" xfId="15" applyNumberFormat="1" applyFont="1"/>
    <xf numFmtId="164" fontId="30" fillId="0" borderId="10" xfId="15" applyNumberFormat="1" applyFont="1" applyBorder="1"/>
    <xf numFmtId="0" fontId="37" fillId="0" borderId="0" xfId="15" applyFont="1"/>
    <xf numFmtId="164" fontId="37" fillId="0" borderId="10" xfId="15" applyNumberFormat="1" applyFont="1" applyBorder="1"/>
    <xf numFmtId="0" fontId="17" fillId="0" borderId="10" xfId="9" applyBorder="1"/>
    <xf numFmtId="0" fontId="30" fillId="0" borderId="11" xfId="15" applyFont="1" applyBorder="1"/>
    <xf numFmtId="167" fontId="30" fillId="0" borderId="12" xfId="15" applyNumberFormat="1" applyFont="1" applyBorder="1"/>
    <xf numFmtId="0" fontId="38" fillId="0" borderId="0" xfId="15" applyFont="1"/>
    <xf numFmtId="166" fontId="30" fillId="0" borderId="0" xfId="17" applyFont="1" applyFill="1" applyBorder="1" applyAlignment="1">
      <alignment horizontal="left"/>
    </xf>
    <xf numFmtId="171" fontId="30" fillId="0" borderId="3" xfId="15" applyNumberFormat="1" applyFont="1" applyBorder="1" applyAlignment="1">
      <alignment horizontal="center" wrapText="1"/>
    </xf>
    <xf numFmtId="0" fontId="30" fillId="6" borderId="3" xfId="15" applyFont="1" applyFill="1" applyBorder="1" applyAlignment="1">
      <alignment horizontal="center" wrapText="1"/>
    </xf>
    <xf numFmtId="0" fontId="30" fillId="6" borderId="3" xfId="15" applyFont="1" applyFill="1" applyBorder="1" applyAlignment="1">
      <alignment horizontal="left" wrapText="1"/>
    </xf>
    <xf numFmtId="0" fontId="30" fillId="0" borderId="3" xfId="15" applyFont="1" applyBorder="1" applyAlignment="1">
      <alignment horizontal="left" wrapText="1"/>
    </xf>
    <xf numFmtId="10" fontId="30" fillId="6" borderId="4" xfId="15" applyNumberFormat="1" applyFont="1" applyFill="1" applyBorder="1" applyAlignment="1">
      <alignment horizontal="center" wrapText="1"/>
    </xf>
    <xf numFmtId="0" fontId="39" fillId="0" borderId="0" xfId="15" applyFont="1"/>
    <xf numFmtId="171" fontId="30" fillId="6" borderId="3" xfId="15" applyNumberFormat="1" applyFont="1" applyFill="1" applyBorder="1" applyAlignment="1">
      <alignment horizontal="center" wrapText="1"/>
    </xf>
    <xf numFmtId="167" fontId="32" fillId="6" borderId="3" xfId="15" applyNumberFormat="1" applyFont="1" applyFill="1" applyBorder="1" applyAlignment="1">
      <alignment horizontal="center" wrapText="1"/>
    </xf>
    <xf numFmtId="9" fontId="32" fillId="6" borderId="3" xfId="16" applyFont="1" applyFill="1" applyBorder="1" applyAlignment="1">
      <alignment horizontal="center" wrapText="1"/>
    </xf>
    <xf numFmtId="0" fontId="32" fillId="6" borderId="3" xfId="15" applyFont="1" applyFill="1" applyBorder="1" applyAlignment="1">
      <alignment horizontal="center" wrapText="1"/>
    </xf>
    <xf numFmtId="9" fontId="32" fillId="0" borderId="3" xfId="16" applyFont="1" applyFill="1" applyBorder="1" applyAlignment="1">
      <alignment horizontal="center" wrapText="1"/>
    </xf>
    <xf numFmtId="168" fontId="32" fillId="6" borderId="3" xfId="15" applyNumberFormat="1" applyFont="1" applyFill="1" applyBorder="1" applyAlignment="1">
      <alignment horizontal="center" wrapText="1"/>
    </xf>
    <xf numFmtId="9" fontId="32" fillId="6" borderId="4" xfId="15" applyNumberFormat="1" applyFont="1" applyFill="1" applyBorder="1" applyAlignment="1">
      <alignment horizontal="center" wrapText="1"/>
    </xf>
    <xf numFmtId="0" fontId="32" fillId="0" borderId="3" xfId="15" applyFont="1" applyBorder="1" applyAlignment="1">
      <alignment horizontal="left" wrapText="1"/>
    </xf>
    <xf numFmtId="0" fontId="30" fillId="6" borderId="6" xfId="15" applyFont="1" applyFill="1" applyBorder="1" applyAlignment="1">
      <alignment horizontal="center" wrapText="1"/>
    </xf>
    <xf numFmtId="0" fontId="30" fillId="6" borderId="6" xfId="15" applyFont="1" applyFill="1" applyBorder="1" applyAlignment="1">
      <alignment horizontal="left" wrapText="1"/>
    </xf>
    <xf numFmtId="0" fontId="40" fillId="0" borderId="3" xfId="9" applyFont="1" applyBorder="1" applyAlignment="1">
      <alignment horizontal="center" wrapText="1"/>
    </xf>
    <xf numFmtId="0" fontId="30" fillId="0" borderId="3" xfId="15" applyFont="1" applyBorder="1" applyAlignment="1">
      <alignment horizontal="center" vertical="center" wrapText="1"/>
    </xf>
    <xf numFmtId="171" fontId="30" fillId="0" borderId="3" xfId="17" applyNumberFormat="1" applyFont="1" applyBorder="1" applyAlignment="1">
      <alignment horizontal="center" vertical="center" wrapText="1"/>
    </xf>
    <xf numFmtId="0" fontId="30" fillId="0" borderId="3" xfId="15" applyFont="1" applyBorder="1" applyAlignment="1">
      <alignment horizontal="center"/>
    </xf>
    <xf numFmtId="0" fontId="30" fillId="2" borderId="3" xfId="15" applyFont="1" applyFill="1" applyBorder="1" applyAlignment="1">
      <alignment horizontal="center" wrapText="1"/>
    </xf>
    <xf numFmtId="0" fontId="41" fillId="0" borderId="3" xfId="9" applyFont="1" applyBorder="1" applyAlignment="1">
      <alignment horizontal="center"/>
    </xf>
    <xf numFmtId="0" fontId="30" fillId="0" borderId="0" xfId="15" applyFont="1" applyAlignment="1">
      <alignment horizontal="center" vertical="center"/>
    </xf>
    <xf numFmtId="0" fontId="32" fillId="9" borderId="0" xfId="15" applyFont="1" applyFill="1"/>
    <xf numFmtId="0" fontId="32" fillId="9" borderId="1" xfId="15" applyFont="1" applyFill="1" applyBorder="1"/>
    <xf numFmtId="0" fontId="32" fillId="9" borderId="0" xfId="15" applyFont="1" applyFill="1" applyAlignment="1">
      <alignment horizontal="right"/>
    </xf>
    <xf numFmtId="0" fontId="32" fillId="9" borderId="1" xfId="15" applyFont="1" applyFill="1" applyBorder="1" applyAlignment="1">
      <alignment horizontal="right"/>
    </xf>
    <xf numFmtId="0" fontId="32" fillId="6" borderId="3" xfId="17" applyNumberFormat="1" applyFont="1" applyFill="1" applyBorder="1" applyAlignment="1">
      <alignment horizontal="center" vertical="center" wrapText="1"/>
    </xf>
    <xf numFmtId="0" fontId="39" fillId="0" borderId="0" xfId="15" applyFont="1" applyAlignment="1">
      <alignment wrapText="1"/>
    </xf>
    <xf numFmtId="0" fontId="39" fillId="0" borderId="0" xfId="15" applyFont="1" applyAlignment="1">
      <alignment horizontal="left" wrapText="1"/>
    </xf>
    <xf numFmtId="1" fontId="32" fillId="6" borderId="3" xfId="15" applyNumberFormat="1" applyFont="1" applyFill="1" applyBorder="1" applyAlignment="1">
      <alignment horizontal="center" wrapText="1"/>
    </xf>
    <xf numFmtId="0" fontId="30" fillId="10" borderId="0" xfId="15" applyFont="1" applyFill="1"/>
    <xf numFmtId="166" fontId="30" fillId="0" borderId="3" xfId="17" applyFont="1" applyFill="1" applyBorder="1" applyAlignment="1">
      <alignment horizontal="center" wrapText="1"/>
    </xf>
    <xf numFmtId="171" fontId="30" fillId="10" borderId="0" xfId="17" applyNumberFormat="1" applyFont="1" applyFill="1"/>
    <xf numFmtId="0" fontId="41" fillId="0" borderId="3" xfId="9" applyFont="1" applyBorder="1" applyAlignment="1">
      <alignment horizontal="center" wrapText="1"/>
    </xf>
    <xf numFmtId="0" fontId="39" fillId="0" borderId="3" xfId="15" applyFont="1" applyBorder="1" applyAlignment="1">
      <alignment horizontal="center" wrapText="1"/>
    </xf>
    <xf numFmtId="166" fontId="30" fillId="0" borderId="3" xfId="17" applyFont="1" applyBorder="1" applyAlignment="1">
      <alignment horizontal="center" wrapText="1"/>
    </xf>
    <xf numFmtId="0" fontId="30" fillId="10" borderId="0" xfId="15" applyFont="1" applyFill="1" applyAlignment="1">
      <alignment horizontal="center" vertical="center"/>
    </xf>
    <xf numFmtId="1" fontId="30" fillId="6" borderId="3" xfId="15" applyNumberFormat="1" applyFont="1" applyFill="1" applyBorder="1" applyAlignment="1">
      <alignment horizontal="center" wrapText="1"/>
    </xf>
    <xf numFmtId="1" fontId="30" fillId="0" borderId="3" xfId="15" applyNumberFormat="1" applyFont="1" applyBorder="1" applyAlignment="1">
      <alignment horizontal="center" wrapText="1"/>
    </xf>
    <xf numFmtId="171" fontId="30" fillId="0" borderId="3" xfId="17" applyNumberFormat="1" applyFont="1" applyBorder="1" applyAlignment="1">
      <alignment horizontal="center" wrapText="1"/>
    </xf>
    <xf numFmtId="171" fontId="30" fillId="6" borderId="3" xfId="17" applyNumberFormat="1" applyFont="1" applyFill="1" applyBorder="1" applyAlignment="1">
      <alignment horizontal="center" wrapText="1"/>
    </xf>
    <xf numFmtId="0" fontId="30" fillId="11" borderId="3" xfId="15" applyFont="1" applyFill="1" applyBorder="1" applyAlignment="1">
      <alignment horizontal="center" wrapText="1"/>
    </xf>
    <xf numFmtId="0" fontId="40" fillId="11" borderId="3" xfId="9" applyFont="1" applyFill="1" applyBorder="1" applyAlignment="1">
      <alignment horizontal="center" wrapText="1"/>
    </xf>
    <xf numFmtId="0" fontId="39" fillId="11" borderId="3" xfId="15" applyFont="1" applyFill="1" applyBorder="1" applyAlignment="1">
      <alignment horizontal="center"/>
    </xf>
    <xf numFmtId="0" fontId="39" fillId="11" borderId="3" xfId="15" applyFont="1" applyFill="1" applyBorder="1" applyAlignment="1">
      <alignment horizontal="center" wrapText="1"/>
    </xf>
    <xf numFmtId="0" fontId="30" fillId="12" borderId="0" xfId="15" applyFont="1" applyFill="1"/>
    <xf numFmtId="0" fontId="42" fillId="12" borderId="0" xfId="15" applyFont="1" applyFill="1"/>
    <xf numFmtId="166" fontId="30" fillId="0" borderId="0" xfId="17" applyFont="1" applyFill="1" applyBorder="1" applyAlignment="1">
      <alignment horizontal="center" wrapText="1"/>
    </xf>
    <xf numFmtId="0" fontId="30" fillId="0" borderId="0" xfId="15" applyFont="1" applyAlignment="1">
      <alignment horizontal="left" wrapText="1"/>
    </xf>
    <xf numFmtId="166" fontId="30" fillId="0" borderId="1" xfId="17" applyFont="1" applyFill="1" applyBorder="1" applyAlignment="1">
      <alignment horizontal="center" wrapText="1"/>
    </xf>
    <xf numFmtId="0" fontId="30" fillId="0" borderId="14" xfId="15" applyFont="1" applyBorder="1"/>
    <xf numFmtId="0" fontId="34" fillId="8" borderId="15" xfId="15" applyFont="1" applyFill="1" applyBorder="1" applyAlignment="1">
      <alignment horizontal="center" vertical="center" wrapText="1"/>
    </xf>
    <xf numFmtId="171" fontId="32" fillId="10" borderId="1" xfId="15" applyNumberFormat="1" applyFont="1" applyFill="1" applyBorder="1"/>
    <xf numFmtId="171" fontId="30" fillId="0" borderId="1" xfId="15" applyNumberFormat="1" applyFont="1" applyBorder="1"/>
    <xf numFmtId="0" fontId="17" fillId="0" borderId="1" xfId="9" applyBorder="1"/>
    <xf numFmtId="171" fontId="32" fillId="0" borderId="1" xfId="15" applyNumberFormat="1" applyFont="1" applyBorder="1"/>
    <xf numFmtId="0" fontId="30" fillId="0" borderId="1" xfId="17" applyNumberFormat="1" applyFont="1" applyBorder="1"/>
    <xf numFmtId="169" fontId="32" fillId="0" borderId="0" xfId="15" applyNumberFormat="1" applyFont="1"/>
    <xf numFmtId="171" fontId="32" fillId="10" borderId="18" xfId="17" applyNumberFormat="1" applyFont="1" applyFill="1" applyBorder="1"/>
    <xf numFmtId="169" fontId="32" fillId="0" borderId="19" xfId="15" applyNumberFormat="1" applyFont="1" applyBorder="1"/>
    <xf numFmtId="171" fontId="32" fillId="0" borderId="18" xfId="17" applyNumberFormat="1" applyFont="1" applyBorder="1"/>
    <xf numFmtId="171" fontId="32" fillId="0" borderId="20" xfId="17" applyNumberFormat="1" applyFont="1" applyBorder="1"/>
    <xf numFmtId="0" fontId="32" fillId="0" borderId="21" xfId="15" applyFont="1" applyBorder="1"/>
    <xf numFmtId="0" fontId="32" fillId="0" borderId="22" xfId="15" applyFont="1" applyBorder="1"/>
    <xf numFmtId="0" fontId="32" fillId="0" borderId="14" xfId="15" applyFont="1" applyBorder="1"/>
    <xf numFmtId="171" fontId="30" fillId="0" borderId="23" xfId="17" applyNumberFormat="1" applyFont="1" applyBorder="1"/>
    <xf numFmtId="9" fontId="30" fillId="0" borderId="23" xfId="16" applyFont="1" applyBorder="1"/>
    <xf numFmtId="9" fontId="30" fillId="0" borderId="24" xfId="15" applyNumberFormat="1" applyFont="1" applyBorder="1"/>
    <xf numFmtId="171" fontId="30" fillId="0" borderId="25" xfId="17" applyNumberFormat="1" applyFont="1" applyBorder="1"/>
    <xf numFmtId="9" fontId="30" fillId="0" borderId="26" xfId="15" applyNumberFormat="1" applyFont="1" applyBorder="1"/>
    <xf numFmtId="0" fontId="30" fillId="0" borderId="27" xfId="15" applyFont="1" applyBorder="1"/>
    <xf numFmtId="0" fontId="30" fillId="0" borderId="25" xfId="15" applyFont="1" applyBorder="1"/>
    <xf numFmtId="0" fontId="30" fillId="0" borderId="23" xfId="15" applyFont="1" applyBorder="1"/>
    <xf numFmtId="171" fontId="30" fillId="0" borderId="28" xfId="17" applyNumberFormat="1" applyFont="1" applyBorder="1"/>
    <xf numFmtId="9" fontId="30" fillId="0" borderId="28" xfId="16" applyFont="1" applyBorder="1"/>
    <xf numFmtId="9" fontId="30" fillId="0" borderId="29" xfId="15" applyNumberFormat="1" applyFont="1" applyBorder="1"/>
    <xf numFmtId="171" fontId="30" fillId="0" borderId="30" xfId="17" applyNumberFormat="1" applyFont="1" applyBorder="1"/>
    <xf numFmtId="0" fontId="30" fillId="0" borderId="30" xfId="15" applyFont="1" applyBorder="1"/>
    <xf numFmtId="0" fontId="30" fillId="0" borderId="28" xfId="15" applyFont="1" applyBorder="1"/>
    <xf numFmtId="171" fontId="30" fillId="0" borderId="31" xfId="15" applyNumberFormat="1" applyFont="1" applyBorder="1"/>
    <xf numFmtId="10" fontId="30" fillId="0" borderId="19" xfId="15" applyNumberFormat="1" applyFont="1" applyBorder="1"/>
    <xf numFmtId="10" fontId="30" fillId="0" borderId="21" xfId="15" applyNumberFormat="1" applyFont="1" applyBorder="1"/>
    <xf numFmtId="10" fontId="30" fillId="0" borderId="22" xfId="15" applyNumberFormat="1" applyFont="1" applyBorder="1"/>
    <xf numFmtId="0" fontId="30" fillId="0" borderId="18" xfId="15" applyFont="1" applyBorder="1"/>
    <xf numFmtId="171" fontId="30" fillId="0" borderId="31" xfId="17" applyNumberFormat="1" applyFont="1" applyBorder="1"/>
    <xf numFmtId="169" fontId="30" fillId="0" borderId="1" xfId="16" applyNumberFormat="1" applyFont="1" applyBorder="1"/>
    <xf numFmtId="169" fontId="30" fillId="0" borderId="24" xfId="16" applyNumberFormat="1" applyFont="1" applyBorder="1"/>
    <xf numFmtId="10" fontId="30" fillId="0" borderId="25" xfId="15" applyNumberFormat="1" applyFont="1" applyBorder="1"/>
    <xf numFmtId="10" fontId="30" fillId="0" borderId="23" xfId="15" applyNumberFormat="1" applyFont="1" applyBorder="1"/>
    <xf numFmtId="0" fontId="30" fillId="0" borderId="32" xfId="15" applyFont="1" applyBorder="1"/>
    <xf numFmtId="0" fontId="30" fillId="0" borderId="32" xfId="15" applyFont="1" applyBorder="1" applyAlignment="1">
      <alignment horizontal="right"/>
    </xf>
    <xf numFmtId="171" fontId="30" fillId="0" borderId="0" xfId="17" applyNumberFormat="1" applyFont="1"/>
    <xf numFmtId="169" fontId="30" fillId="0" borderId="14" xfId="16" applyNumberFormat="1" applyFont="1" applyBorder="1"/>
    <xf numFmtId="0" fontId="34" fillId="8" borderId="0" xfId="15" applyFont="1" applyFill="1" applyAlignment="1">
      <alignment horizontal="center" vertical="center" wrapText="1"/>
    </xf>
    <xf numFmtId="0" fontId="34" fillId="8" borderId="33" xfId="15" applyFont="1" applyFill="1" applyBorder="1" applyAlignment="1">
      <alignment horizontal="center" vertical="center" wrapText="1"/>
    </xf>
    <xf numFmtId="0" fontId="34" fillId="8" borderId="34" xfId="15" applyFont="1" applyFill="1" applyBorder="1" applyAlignment="1">
      <alignment horizontal="center" vertical="center" wrapText="1"/>
    </xf>
    <xf numFmtId="0" fontId="34" fillId="8" borderId="35" xfId="15" applyFont="1" applyFill="1" applyBorder="1" applyAlignment="1">
      <alignment horizontal="center" vertical="center" wrapText="1"/>
    </xf>
    <xf numFmtId="0" fontId="34" fillId="8" borderId="40" xfId="15" applyFont="1" applyFill="1" applyBorder="1" applyAlignment="1">
      <alignment horizontal="center" vertical="center" wrapText="1"/>
    </xf>
    <xf numFmtId="166" fontId="30" fillId="6" borderId="1" xfId="17" applyFont="1" applyFill="1" applyBorder="1" applyAlignment="1">
      <alignment horizontal="center" wrapText="1"/>
    </xf>
    <xf numFmtId="0" fontId="30" fillId="6" borderId="1" xfId="15" applyFont="1" applyFill="1" applyBorder="1" applyAlignment="1">
      <alignment horizontal="left" wrapText="1"/>
    </xf>
    <xf numFmtId="0" fontId="30" fillId="0" borderId="0" xfId="15" applyFont="1" applyAlignment="1">
      <alignment horizontal="right" wrapText="1"/>
    </xf>
    <xf numFmtId="10" fontId="30" fillId="0" borderId="0" xfId="15" applyNumberFormat="1" applyFont="1"/>
    <xf numFmtId="17" fontId="30" fillId="6" borderId="1" xfId="17" applyNumberFormat="1" applyFont="1" applyFill="1" applyBorder="1" applyAlignment="1">
      <alignment horizontal="center" wrapText="1"/>
    </xf>
    <xf numFmtId="0" fontId="30" fillId="6" borderId="1" xfId="15" applyFont="1" applyFill="1" applyBorder="1"/>
    <xf numFmtId="9" fontId="30" fillId="0" borderId="0" xfId="17" applyNumberFormat="1" applyFont="1" applyFill="1" applyBorder="1" applyAlignment="1">
      <alignment horizontal="center" wrapText="1"/>
    </xf>
    <xf numFmtId="9" fontId="30" fillId="0" borderId="5" xfId="17" applyNumberFormat="1" applyFont="1" applyFill="1" applyBorder="1" applyAlignment="1">
      <alignment horizontal="center" wrapText="1"/>
    </xf>
    <xf numFmtId="166" fontId="30" fillId="0" borderId="5" xfId="17" applyFont="1" applyFill="1" applyBorder="1" applyAlignment="1">
      <alignment horizontal="center" wrapText="1"/>
    </xf>
    <xf numFmtId="0" fontId="32" fillId="11" borderId="1" xfId="15" applyFont="1" applyFill="1" applyBorder="1" applyAlignment="1">
      <alignment horizontal="center"/>
    </xf>
    <xf numFmtId="9" fontId="32" fillId="11" borderId="1" xfId="16" applyFont="1" applyFill="1" applyBorder="1" applyAlignment="1">
      <alignment horizontal="center"/>
    </xf>
    <xf numFmtId="1" fontId="32" fillId="11" borderId="1" xfId="15" applyNumberFormat="1" applyFont="1" applyFill="1" applyBorder="1" applyAlignment="1">
      <alignment horizontal="center"/>
    </xf>
    <xf numFmtId="0" fontId="32" fillId="11" borderId="1" xfId="15" applyFont="1" applyFill="1" applyBorder="1"/>
    <xf numFmtId="9" fontId="30" fillId="0" borderId="1" xfId="16" applyFont="1" applyBorder="1" applyAlignment="1">
      <alignment horizontal="center"/>
    </xf>
    <xf numFmtId="0" fontId="30" fillId="0" borderId="1" xfId="15" applyFont="1" applyBorder="1" applyAlignment="1">
      <alignment horizontal="center"/>
    </xf>
    <xf numFmtId="166" fontId="30" fillId="0" borderId="1" xfId="17" applyFont="1" applyBorder="1"/>
    <xf numFmtId="166" fontId="30" fillId="0" borderId="1" xfId="15" applyNumberFormat="1" applyFont="1" applyBorder="1"/>
    <xf numFmtId="166" fontId="30" fillId="0" borderId="1" xfId="17" applyFont="1" applyFill="1" applyBorder="1"/>
    <xf numFmtId="1" fontId="30" fillId="0" borderId="1" xfId="15" applyNumberFormat="1" applyFont="1" applyBorder="1" applyAlignment="1">
      <alignment horizontal="center"/>
    </xf>
    <xf numFmtId="0" fontId="30" fillId="13" borderId="1" xfId="15" applyFont="1" applyFill="1" applyBorder="1" applyAlignment="1">
      <alignment horizontal="center"/>
    </xf>
    <xf numFmtId="0" fontId="30" fillId="0" borderId="0" xfId="15" applyFont="1" applyAlignment="1">
      <alignment vertical="center" wrapText="1"/>
    </xf>
    <xf numFmtId="0" fontId="30" fillId="10" borderId="1" xfId="15" applyFont="1" applyFill="1" applyBorder="1" applyAlignment="1">
      <alignment horizontal="center" vertical="center" wrapText="1"/>
    </xf>
    <xf numFmtId="0" fontId="30" fillId="10" borderId="1" xfId="15" applyFont="1" applyFill="1" applyBorder="1" applyAlignment="1">
      <alignment vertical="center" wrapText="1"/>
    </xf>
    <xf numFmtId="0" fontId="30" fillId="10" borderId="1" xfId="15" applyFont="1" applyFill="1" applyBorder="1"/>
    <xf numFmtId="169" fontId="0" fillId="0" borderId="0" xfId="0" applyNumberFormat="1"/>
    <xf numFmtId="9" fontId="26" fillId="0" borderId="0" xfId="0" applyNumberFormat="1" applyFont="1"/>
    <xf numFmtId="176" fontId="30" fillId="0" borderId="0" xfId="17" applyNumberFormat="1" applyFont="1"/>
    <xf numFmtId="176" fontId="30" fillId="0" borderId="2" xfId="17" applyNumberFormat="1" applyFont="1" applyBorder="1"/>
    <xf numFmtId="176" fontId="30" fillId="0" borderId="0" xfId="17" applyNumberFormat="1" applyFont="1" applyBorder="1"/>
    <xf numFmtId="177" fontId="30" fillId="0" borderId="0" xfId="15" applyNumberFormat="1" applyFont="1"/>
    <xf numFmtId="176" fontId="30" fillId="0" borderId="0" xfId="15" applyNumberFormat="1" applyFont="1"/>
    <xf numFmtId="177" fontId="32" fillId="0" borderId="0" xfId="15" applyNumberFormat="1" applyFont="1"/>
    <xf numFmtId="9" fontId="32" fillId="0" borderId="0" xfId="15" applyNumberFormat="1" applyFont="1"/>
    <xf numFmtId="9" fontId="30" fillId="0" borderId="41" xfId="15" applyNumberFormat="1" applyFont="1" applyBorder="1" applyAlignment="1">
      <alignment horizontal="center" wrapText="1"/>
    </xf>
    <xf numFmtId="9" fontId="30" fillId="0" borderId="41" xfId="15" applyNumberFormat="1" applyFont="1" applyBorder="1" applyAlignment="1">
      <alignment horizontal="left" wrapText="1"/>
    </xf>
    <xf numFmtId="0" fontId="30" fillId="14" borderId="0" xfId="15" applyFont="1" applyFill="1"/>
    <xf numFmtId="166" fontId="30" fillId="0" borderId="3" xfId="15" applyNumberFormat="1" applyFont="1" applyBorder="1" applyAlignment="1">
      <alignment horizontal="center" wrapText="1"/>
    </xf>
    <xf numFmtId="2" fontId="30" fillId="0" borderId="3" xfId="15" applyNumberFormat="1" applyFont="1" applyBorder="1" applyAlignment="1">
      <alignment horizontal="center" wrapText="1"/>
    </xf>
    <xf numFmtId="173" fontId="32" fillId="6" borderId="3" xfId="15" applyNumberFormat="1" applyFont="1" applyFill="1" applyBorder="1" applyAlignment="1">
      <alignment horizontal="center" wrapText="1"/>
    </xf>
    <xf numFmtId="173" fontId="30" fillId="6" borderId="3" xfId="15" applyNumberFormat="1" applyFont="1" applyFill="1" applyBorder="1" applyAlignment="1">
      <alignment horizontal="center" wrapText="1"/>
    </xf>
    <xf numFmtId="0" fontId="17" fillId="0" borderId="3" xfId="9" applyBorder="1" applyAlignment="1">
      <alignment horizontal="center" wrapText="1"/>
    </xf>
    <xf numFmtId="177" fontId="30" fillId="0" borderId="3" xfId="15" applyNumberFormat="1" applyFont="1" applyBorder="1" applyAlignment="1">
      <alignment horizontal="center" wrapText="1"/>
    </xf>
    <xf numFmtId="166" fontId="11" fillId="0" borderId="0" xfId="15" applyNumberFormat="1" applyFont="1"/>
    <xf numFmtId="2" fontId="30" fillId="6" borderId="3" xfId="15" applyNumberFormat="1" applyFont="1" applyFill="1" applyBorder="1" applyAlignment="1">
      <alignment horizontal="center" wrapText="1"/>
    </xf>
    <xf numFmtId="0" fontId="11" fillId="0" borderId="0" xfId="15" applyFont="1"/>
    <xf numFmtId="0" fontId="30" fillId="15" borderId="3" xfId="15" applyFont="1" applyFill="1" applyBorder="1" applyAlignment="1">
      <alignment horizontal="center"/>
    </xf>
    <xf numFmtId="9" fontId="30" fillId="0" borderId="3" xfId="15" applyNumberFormat="1" applyFont="1" applyBorder="1" applyAlignment="1">
      <alignment horizontal="center" wrapText="1"/>
    </xf>
    <xf numFmtId="0" fontId="30" fillId="16" borderId="0" xfId="15" applyFont="1" applyFill="1"/>
    <xf numFmtId="167" fontId="11" fillId="0" borderId="0" xfId="15" applyNumberFormat="1" applyFont="1"/>
    <xf numFmtId="166" fontId="30" fillId="0" borderId="0" xfId="15" applyNumberFormat="1" applyFont="1" applyAlignment="1">
      <alignment horizontal="center" wrapText="1"/>
    </xf>
    <xf numFmtId="0" fontId="30" fillId="0" borderId="0" xfId="15" applyFont="1" applyAlignment="1">
      <alignment horizontal="center" wrapText="1"/>
    </xf>
    <xf numFmtId="9" fontId="30" fillId="0" borderId="0" xfId="15" applyNumberFormat="1" applyFont="1" applyAlignment="1">
      <alignment horizontal="center" wrapText="1"/>
    </xf>
    <xf numFmtId="9" fontId="30" fillId="6" borderId="3" xfId="16" applyFont="1" applyFill="1" applyBorder="1" applyAlignment="1">
      <alignment horizontal="center" wrapText="1"/>
    </xf>
    <xf numFmtId="171" fontId="30" fillId="0" borderId="0" xfId="17" applyNumberFormat="1" applyFont="1" applyBorder="1" applyAlignment="1">
      <alignment horizontal="center" wrapText="1"/>
    </xf>
    <xf numFmtId="0" fontId="30" fillId="6" borderId="0" xfId="15" applyFont="1" applyFill="1" applyAlignment="1">
      <alignment horizontal="center" wrapText="1"/>
    </xf>
    <xf numFmtId="0" fontId="30" fillId="6" borderId="0" xfId="15" applyFont="1" applyFill="1" applyAlignment="1">
      <alignment horizontal="center"/>
    </xf>
    <xf numFmtId="0" fontId="30" fillId="6" borderId="0" xfId="15" applyFont="1" applyFill="1" applyAlignment="1">
      <alignment horizontal="left" wrapText="1"/>
    </xf>
    <xf numFmtId="0" fontId="30" fillId="6" borderId="3" xfId="15" applyFont="1" applyFill="1" applyBorder="1" applyAlignment="1">
      <alignment horizontal="center"/>
    </xf>
    <xf numFmtId="0" fontId="43" fillId="0" borderId="0" xfId="15" applyFont="1"/>
    <xf numFmtId="0" fontId="41" fillId="6" borderId="3" xfId="9" applyFont="1" applyFill="1" applyBorder="1" applyAlignment="1">
      <alignment horizontal="center"/>
    </xf>
    <xf numFmtId="0" fontId="30" fillId="0" borderId="42" xfId="15" applyFont="1" applyBorder="1"/>
    <xf numFmtId="0" fontId="30" fillId="6" borderId="17" xfId="15" applyFont="1" applyFill="1" applyBorder="1" applyAlignment="1">
      <alignment horizontal="center" wrapText="1"/>
    </xf>
    <xf numFmtId="0" fontId="39" fillId="0" borderId="0" xfId="15" applyFont="1" applyAlignment="1">
      <alignment horizontal="center"/>
    </xf>
    <xf numFmtId="0" fontId="39" fillId="6" borderId="3" xfId="15" applyFont="1" applyFill="1" applyBorder="1" applyAlignment="1">
      <alignment horizontal="center" wrapText="1"/>
    </xf>
    <xf numFmtId="0" fontId="39" fillId="14" borderId="3" xfId="15" applyFont="1" applyFill="1" applyBorder="1" applyAlignment="1">
      <alignment horizontal="center" wrapText="1"/>
    </xf>
    <xf numFmtId="171" fontId="30" fillId="0" borderId="0" xfId="17" applyNumberFormat="1" applyFont="1" applyAlignment="1"/>
    <xf numFmtId="0" fontId="41" fillId="15" borderId="3" xfId="9" applyFont="1" applyFill="1" applyBorder="1" applyAlignment="1">
      <alignment horizontal="center"/>
    </xf>
    <xf numFmtId="0" fontId="40" fillId="0" borderId="3" xfId="9" applyFont="1" applyBorder="1" applyAlignment="1">
      <alignment horizontal="center"/>
    </xf>
    <xf numFmtId="0" fontId="30" fillId="16" borderId="3" xfId="15" applyFont="1" applyFill="1" applyBorder="1" applyAlignment="1">
      <alignment horizontal="center" wrapText="1"/>
    </xf>
    <xf numFmtId="0" fontId="30" fillId="15" borderId="3" xfId="15" applyFont="1" applyFill="1" applyBorder="1" applyAlignment="1">
      <alignment horizontal="center" wrapText="1"/>
    </xf>
    <xf numFmtId="176" fontId="30" fillId="0" borderId="3" xfId="15" applyNumberFormat="1" applyFont="1" applyBorder="1" applyAlignment="1">
      <alignment horizontal="center" wrapText="1"/>
    </xf>
    <xf numFmtId="2" fontId="30" fillId="0" borderId="3" xfId="15" applyNumberFormat="1" applyFont="1" applyBorder="1" applyAlignment="1">
      <alignment horizontal="left" wrapText="1"/>
    </xf>
    <xf numFmtId="166" fontId="30" fillId="0" borderId="0" xfId="17" applyFont="1"/>
    <xf numFmtId="0" fontId="41" fillId="15" borderId="3" xfId="9" applyFont="1" applyFill="1" applyBorder="1" applyAlignment="1">
      <alignment horizontal="center" wrapText="1"/>
    </xf>
    <xf numFmtId="0" fontId="34" fillId="0" borderId="0" xfId="15" applyFont="1" applyAlignment="1">
      <alignment horizontal="center" vertical="center" wrapText="1"/>
    </xf>
    <xf numFmtId="168" fontId="32" fillId="0" borderId="0" xfId="15" applyNumberFormat="1" applyFont="1" applyAlignment="1">
      <alignment horizontal="center" wrapText="1"/>
    </xf>
    <xf numFmtId="9" fontId="32" fillId="0" borderId="0" xfId="15" applyNumberFormat="1" applyFont="1" applyAlignment="1">
      <alignment horizontal="center" wrapText="1"/>
    </xf>
    <xf numFmtId="0" fontId="32" fillId="0" borderId="0" xfId="15" applyFont="1" applyAlignment="1">
      <alignment horizontal="left" wrapText="1"/>
    </xf>
    <xf numFmtId="9" fontId="30" fillId="0" borderId="0" xfId="16" applyFont="1" applyFill="1" applyBorder="1" applyAlignment="1">
      <alignment horizontal="left" wrapText="1"/>
    </xf>
    <xf numFmtId="2" fontId="30" fillId="0" borderId="0" xfId="15" applyNumberFormat="1" applyFont="1" applyAlignment="1">
      <alignment horizontal="left" wrapText="1"/>
    </xf>
    <xf numFmtId="9" fontId="32" fillId="2" borderId="0" xfId="16" applyFont="1" applyFill="1" applyBorder="1" applyAlignment="1">
      <alignment horizontal="left" wrapText="1"/>
    </xf>
    <xf numFmtId="9" fontId="32" fillId="2" borderId="6" xfId="16" applyFont="1" applyFill="1" applyBorder="1" applyAlignment="1">
      <alignment horizontal="left" wrapText="1"/>
    </xf>
    <xf numFmtId="2" fontId="32" fillId="2" borderId="6" xfId="15" applyNumberFormat="1" applyFont="1" applyFill="1" applyBorder="1" applyAlignment="1">
      <alignment horizontal="left" wrapText="1"/>
    </xf>
    <xf numFmtId="0" fontId="32" fillId="2" borderId="6" xfId="15" applyFont="1" applyFill="1" applyBorder="1" applyAlignment="1">
      <alignment horizontal="left" wrapText="1"/>
    </xf>
    <xf numFmtId="9" fontId="30" fillId="0" borderId="6" xfId="16" applyFont="1" applyFill="1" applyBorder="1" applyAlignment="1">
      <alignment horizontal="left" wrapText="1"/>
    </xf>
    <xf numFmtId="2" fontId="30" fillId="0" borderId="6" xfId="15" applyNumberFormat="1" applyFont="1" applyBorder="1" applyAlignment="1">
      <alignment horizontal="left" wrapText="1"/>
    </xf>
    <xf numFmtId="9" fontId="30" fillId="2" borderId="0" xfId="16" applyFont="1" applyFill="1" applyBorder="1" applyAlignment="1">
      <alignment horizontal="left" wrapText="1"/>
    </xf>
    <xf numFmtId="9" fontId="30" fillId="2" borderId="6" xfId="16" applyFont="1" applyFill="1" applyBorder="1" applyAlignment="1">
      <alignment horizontal="left" wrapText="1"/>
    </xf>
    <xf numFmtId="2" fontId="30" fillId="2" borderId="6" xfId="15" applyNumberFormat="1" applyFont="1" applyFill="1" applyBorder="1" applyAlignment="1">
      <alignment horizontal="left" wrapText="1"/>
    </xf>
    <xf numFmtId="0" fontId="30" fillId="2" borderId="6" xfId="15" applyFont="1" applyFill="1" applyBorder="1" applyAlignment="1">
      <alignment horizontal="left" wrapText="1"/>
    </xf>
    <xf numFmtId="9" fontId="30" fillId="0" borderId="47" xfId="16" applyFont="1" applyFill="1" applyBorder="1" applyAlignment="1">
      <alignment horizontal="left" wrapText="1"/>
    </xf>
    <xf numFmtId="2" fontId="30" fillId="0" borderId="47" xfId="15" applyNumberFormat="1" applyFont="1" applyBorder="1" applyAlignment="1">
      <alignment horizontal="left" wrapText="1"/>
    </xf>
    <xf numFmtId="0" fontId="30" fillId="0" borderId="47" xfId="15" applyFont="1" applyBorder="1" applyAlignment="1">
      <alignment horizontal="left" wrapText="1"/>
    </xf>
    <xf numFmtId="9" fontId="30" fillId="0" borderId="1" xfId="16" applyFont="1" applyFill="1" applyBorder="1" applyAlignment="1">
      <alignment horizontal="left" wrapText="1"/>
    </xf>
    <xf numFmtId="2" fontId="30" fillId="0" borderId="1" xfId="15" applyNumberFormat="1" applyFont="1" applyBorder="1" applyAlignment="1">
      <alignment horizontal="left" wrapText="1"/>
    </xf>
    <xf numFmtId="0" fontId="30" fillId="0" borderId="1" xfId="15" applyFont="1" applyBorder="1" applyAlignment="1">
      <alignment horizontal="left" wrapText="1"/>
    </xf>
    <xf numFmtId="9" fontId="30" fillId="0" borderId="48" xfId="16" applyFont="1" applyFill="1" applyBorder="1" applyAlignment="1">
      <alignment horizontal="left" wrapText="1"/>
    </xf>
    <xf numFmtId="2" fontId="30" fillId="0" borderId="48" xfId="15" applyNumberFormat="1" applyFont="1" applyBorder="1" applyAlignment="1">
      <alignment horizontal="left" wrapText="1"/>
    </xf>
    <xf numFmtId="0" fontId="30" fillId="0" borderId="48" xfId="15" applyFont="1" applyBorder="1" applyAlignment="1">
      <alignment horizontal="left" wrapText="1"/>
    </xf>
    <xf numFmtId="0" fontId="44" fillId="18" borderId="0" xfId="15" applyFont="1" applyFill="1" applyAlignment="1">
      <alignment horizontal="center"/>
    </xf>
    <xf numFmtId="0" fontId="44" fillId="18" borderId="49" xfId="15" applyFont="1" applyFill="1" applyBorder="1" applyAlignment="1">
      <alignment horizontal="center" vertical="center"/>
    </xf>
    <xf numFmtId="0" fontId="44" fillId="18" borderId="0" xfId="15" applyFont="1" applyFill="1" applyAlignment="1">
      <alignment horizontal="center" vertical="center"/>
    </xf>
    <xf numFmtId="0" fontId="44" fillId="18" borderId="1" xfId="15" applyFont="1" applyFill="1" applyBorder="1" applyAlignment="1">
      <alignment horizontal="center" vertical="center"/>
    </xf>
    <xf numFmtId="0" fontId="44" fillId="18" borderId="1" xfId="15" applyFont="1" applyFill="1" applyBorder="1" applyAlignment="1">
      <alignment vertical="center" wrapText="1"/>
    </xf>
    <xf numFmtId="0" fontId="44" fillId="18" borderId="1" xfId="15" applyFont="1" applyFill="1" applyBorder="1"/>
    <xf numFmtId="0" fontId="44" fillId="18" borderId="0" xfId="15" applyFont="1" applyFill="1"/>
    <xf numFmtId="166" fontId="30" fillId="6" borderId="0" xfId="17" applyFont="1" applyFill="1" applyBorder="1" applyAlignment="1">
      <alignment horizontal="center" wrapText="1"/>
    </xf>
    <xf numFmtId="17" fontId="30" fillId="6" borderId="0" xfId="17" applyNumberFormat="1" applyFont="1" applyFill="1" applyBorder="1" applyAlignment="1">
      <alignment horizontal="center" wrapText="1"/>
    </xf>
    <xf numFmtId="9" fontId="30" fillId="0" borderId="5" xfId="16" applyFont="1" applyFill="1" applyBorder="1" applyAlignment="1">
      <alignment horizontal="center" wrapText="1"/>
    </xf>
    <xf numFmtId="0" fontId="30" fillId="0" borderId="0" xfId="15" applyFont="1" applyAlignment="1">
      <alignment vertical="center"/>
    </xf>
    <xf numFmtId="0" fontId="32" fillId="0" borderId="0" xfId="15" applyFont="1" applyAlignment="1">
      <alignment vertical="center"/>
    </xf>
    <xf numFmtId="9" fontId="32" fillId="0" borderId="0" xfId="16" applyFont="1" applyFill="1" applyBorder="1"/>
    <xf numFmtId="171" fontId="32" fillId="0" borderId="0" xfId="15" applyNumberFormat="1" applyFont="1"/>
    <xf numFmtId="168" fontId="30" fillId="0" borderId="1" xfId="15" applyNumberFormat="1" applyFont="1" applyBorder="1"/>
    <xf numFmtId="171" fontId="30" fillId="0" borderId="1" xfId="17" applyNumberFormat="1" applyFont="1" applyBorder="1"/>
    <xf numFmtId="9" fontId="32" fillId="11" borderId="1" xfId="16" applyFont="1" applyFill="1" applyBorder="1"/>
    <xf numFmtId="166" fontId="32" fillId="11" borderId="1" xfId="15" applyNumberFormat="1" applyFont="1" applyFill="1" applyBorder="1"/>
    <xf numFmtId="0" fontId="30" fillId="13" borderId="1" xfId="15" applyFont="1" applyFill="1" applyBorder="1"/>
    <xf numFmtId="9" fontId="30" fillId="13" borderId="1" xfId="16" applyFont="1" applyFill="1" applyBorder="1"/>
    <xf numFmtId="166" fontId="30" fillId="13" borderId="1" xfId="17" applyFont="1" applyFill="1" applyBorder="1"/>
    <xf numFmtId="166" fontId="30" fillId="13" borderId="1" xfId="15" applyNumberFormat="1" applyFont="1" applyFill="1" applyBorder="1"/>
    <xf numFmtId="2" fontId="30" fillId="0" borderId="1" xfId="15" applyNumberFormat="1" applyFont="1" applyBorder="1"/>
    <xf numFmtId="9" fontId="30" fillId="0" borderId="1" xfId="15" applyNumberFormat="1" applyFont="1" applyBorder="1" applyAlignment="1">
      <alignment horizontal="center"/>
    </xf>
    <xf numFmtId="177" fontId="30" fillId="0" borderId="1" xfId="17" applyNumberFormat="1" applyFont="1" applyBorder="1"/>
    <xf numFmtId="177" fontId="30" fillId="0" borderId="1" xfId="15" applyNumberFormat="1" applyFont="1" applyBorder="1"/>
    <xf numFmtId="3" fontId="30" fillId="0" borderId="1" xfId="15" applyNumberFormat="1" applyFont="1" applyBorder="1" applyAlignment="1">
      <alignment horizontal="center"/>
    </xf>
    <xf numFmtId="0" fontId="30" fillId="0" borderId="0" xfId="15" applyFont="1" applyAlignment="1">
      <alignment wrapText="1"/>
    </xf>
    <xf numFmtId="0" fontId="30" fillId="10" borderId="1" xfId="15" applyFont="1" applyFill="1" applyBorder="1" applyAlignment="1">
      <alignment horizontal="center" wrapText="1"/>
    </xf>
    <xf numFmtId="0" fontId="30" fillId="10" borderId="1" xfId="15" applyFont="1" applyFill="1" applyBorder="1" applyAlignment="1">
      <alignment wrapText="1"/>
    </xf>
    <xf numFmtId="0" fontId="30" fillId="10" borderId="31" xfId="15" applyFont="1" applyFill="1" applyBorder="1"/>
    <xf numFmtId="0" fontId="30" fillId="10" borderId="25" xfId="15" applyFont="1" applyFill="1" applyBorder="1"/>
    <xf numFmtId="0" fontId="30" fillId="10" borderId="14" xfId="15" applyFont="1" applyFill="1" applyBorder="1"/>
    <xf numFmtId="9" fontId="26" fillId="0" borderId="0" xfId="12" applyFont="1"/>
    <xf numFmtId="9" fontId="7" fillId="0" borderId="0" xfId="5" applyNumberFormat="1" applyFont="1"/>
    <xf numFmtId="9" fontId="29" fillId="0" borderId="0" xfId="12" applyFont="1"/>
    <xf numFmtId="0" fontId="29" fillId="0" borderId="0" xfId="0" applyFont="1"/>
    <xf numFmtId="0" fontId="46" fillId="0" borderId="50" xfId="18"/>
    <xf numFmtId="0" fontId="47" fillId="0" borderId="51" xfId="19"/>
    <xf numFmtId="0" fontId="9"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10" fillId="0" borderId="0" xfId="0" applyNumberFormat="1" applyFont="1" applyAlignment="1">
      <alignment horizontal="left"/>
    </xf>
    <xf numFmtId="0" fontId="0" fillId="0" borderId="0" xfId="0" applyAlignment="1">
      <alignment horizontal="left"/>
    </xf>
    <xf numFmtId="9" fontId="51" fillId="2" borderId="52" xfId="21" applyNumberFormat="1" applyFont="1" applyFill="1" applyAlignment="1">
      <alignment horizontal="left"/>
    </xf>
    <xf numFmtId="0" fontId="10" fillId="0" borderId="0" xfId="0" applyFont="1" applyAlignment="1">
      <alignment horizontal="left" indent="1"/>
    </xf>
    <xf numFmtId="9" fontId="10" fillId="0" borderId="0" xfId="0" applyNumberFormat="1" applyFont="1" applyAlignment="1">
      <alignment horizontal="left" indent="1"/>
    </xf>
    <xf numFmtId="9" fontId="0" fillId="0" borderId="0" xfId="12" applyFont="1" applyAlignment="1">
      <alignment horizontal="left" indent="1"/>
    </xf>
    <xf numFmtId="9" fontId="51" fillId="2" borderId="52" xfId="21" applyNumberFormat="1" applyFont="1" applyFill="1" applyAlignment="1">
      <alignment horizontal="left" indent="1"/>
    </xf>
    <xf numFmtId="0" fontId="9" fillId="0" borderId="0" xfId="0" applyFont="1" applyAlignment="1">
      <alignment horizontal="left" indent="2"/>
    </xf>
    <xf numFmtId="9" fontId="0" fillId="0" borderId="0" xfId="12" applyFont="1" applyAlignment="1">
      <alignment horizontal="left" indent="2"/>
    </xf>
    <xf numFmtId="9" fontId="0" fillId="0" borderId="0" xfId="0" applyNumberFormat="1" applyAlignment="1">
      <alignment horizontal="left" indent="2"/>
    </xf>
    <xf numFmtId="9" fontId="49" fillId="2" borderId="52" xfId="21" applyNumberFormat="1" applyFill="1" applyAlignment="1">
      <alignment horizontal="left" indent="2"/>
    </xf>
    <xf numFmtId="169" fontId="9" fillId="22" borderId="54" xfId="23" applyNumberFormat="1" applyFont="1"/>
    <xf numFmtId="169" fontId="49" fillId="2" borderId="52" xfId="21" applyNumberFormat="1" applyFill="1" applyAlignment="1">
      <alignment horizontal="left" indent="2"/>
    </xf>
    <xf numFmtId="9" fontId="48" fillId="19" borderId="0" xfId="20" applyNumberFormat="1" applyAlignment="1">
      <alignment horizontal="left" indent="2"/>
    </xf>
    <xf numFmtId="9" fontId="10" fillId="0" borderId="0" xfId="12" applyFont="1" applyAlignment="1">
      <alignment horizontal="left" indent="1"/>
    </xf>
    <xf numFmtId="0" fontId="0" fillId="0" borderId="0" xfId="0" applyAlignment="1">
      <alignment horizontal="left" indent="1"/>
    </xf>
    <xf numFmtId="169" fontId="9" fillId="0" borderId="0" xfId="0" applyNumberFormat="1" applyFont="1"/>
    <xf numFmtId="0" fontId="0" fillId="0" borderId="0" xfId="0" applyAlignment="1">
      <alignment horizontal="left" indent="2"/>
    </xf>
    <xf numFmtId="0" fontId="10" fillId="0" borderId="0" xfId="0" applyFont="1" applyAlignment="1">
      <alignment horizontal="left"/>
    </xf>
    <xf numFmtId="9" fontId="10" fillId="0" borderId="0" xfId="12" applyFont="1" applyAlignment="1">
      <alignment horizontal="left"/>
    </xf>
    <xf numFmtId="169" fontId="0" fillId="22" borderId="54" xfId="23" applyNumberFormat="1" applyFont="1"/>
    <xf numFmtId="0" fontId="10" fillId="0" borderId="0" xfId="0" applyFont="1" applyAlignment="1">
      <alignment horizontal="right"/>
    </xf>
    <xf numFmtId="1" fontId="10" fillId="0" borderId="0" xfId="0" applyNumberFormat="1" applyFont="1"/>
    <xf numFmtId="9" fontId="10" fillId="0" borderId="0" xfId="0" applyNumberFormat="1" applyFont="1"/>
    <xf numFmtId="0" fontId="55" fillId="0" borderId="0" xfId="24" applyFont="1"/>
    <xf numFmtId="0" fontId="54" fillId="0" borderId="0" xfId="24"/>
    <xf numFmtId="0" fontId="56" fillId="0" borderId="0" xfId="24" applyFont="1"/>
    <xf numFmtId="0" fontId="57" fillId="0" borderId="0" xfId="24" applyFont="1"/>
    <xf numFmtId="0" fontId="58" fillId="0" borderId="55" xfId="24" applyFont="1" applyBorder="1" applyAlignment="1">
      <alignment horizontal="left" vertical="top" wrapText="1"/>
    </xf>
    <xf numFmtId="0" fontId="59" fillId="0" borderId="55" xfId="24" applyFont="1" applyBorder="1" applyAlignment="1">
      <alignment horizontal="left" vertical="top" wrapText="1"/>
    </xf>
    <xf numFmtId="0" fontId="60" fillId="0" borderId="0" xfId="24" applyFont="1" applyAlignment="1">
      <alignment horizontal="left" vertical="center" wrapText="1"/>
    </xf>
    <xf numFmtId="3" fontId="59" fillId="0" borderId="56" xfId="24" applyNumberFormat="1" applyFont="1" applyBorder="1" applyAlignment="1">
      <alignment horizontal="left" vertical="top" indent="4" shrinkToFit="1"/>
    </xf>
    <xf numFmtId="0" fontId="60" fillId="0" borderId="0" xfId="24" applyFont="1" applyAlignment="1">
      <alignment horizontal="left" vertical="top" wrapText="1"/>
    </xf>
    <xf numFmtId="3" fontId="59" fillId="0" borderId="56" xfId="24" applyNumberFormat="1" applyFont="1" applyBorder="1" applyAlignment="1">
      <alignment horizontal="left" vertical="center" indent="3" shrinkToFit="1"/>
    </xf>
    <xf numFmtId="0" fontId="61" fillId="0" borderId="55" xfId="24" applyFont="1" applyBorder="1" applyAlignment="1">
      <alignment horizontal="left" vertical="top" wrapText="1"/>
    </xf>
    <xf numFmtId="0" fontId="62" fillId="0" borderId="0" xfId="24" applyFont="1" applyAlignment="1">
      <alignment horizontal="left" vertical="center" wrapText="1"/>
    </xf>
    <xf numFmtId="3" fontId="59" fillId="0" borderId="56" xfId="24" applyNumberFormat="1" applyFont="1" applyBorder="1" applyAlignment="1">
      <alignment horizontal="left" vertical="top" indent="3" shrinkToFit="1"/>
    </xf>
    <xf numFmtId="3" fontId="63" fillId="0" borderId="56" xfId="24" applyNumberFormat="1" applyFont="1" applyBorder="1" applyAlignment="1">
      <alignment horizontal="left" vertical="top" indent="4" shrinkToFit="1"/>
    </xf>
    <xf numFmtId="3" fontId="63" fillId="0" borderId="56" xfId="24" applyNumberFormat="1" applyFont="1" applyBorder="1" applyAlignment="1">
      <alignment horizontal="left" vertical="top" indent="3" shrinkToFit="1"/>
    </xf>
    <xf numFmtId="0" fontId="63" fillId="0" borderId="55" xfId="24" applyFont="1" applyBorder="1" applyAlignment="1">
      <alignment horizontal="left" vertical="top" wrapText="1"/>
    </xf>
    <xf numFmtId="0" fontId="63" fillId="0" borderId="0" xfId="24" applyFont="1" applyAlignment="1">
      <alignment horizontal="left" vertical="top" wrapText="1" indent="1"/>
    </xf>
    <xf numFmtId="1" fontId="63" fillId="0" borderId="56" xfId="24" applyNumberFormat="1" applyFont="1" applyBorder="1" applyAlignment="1">
      <alignment horizontal="center" vertical="top" shrinkToFit="1"/>
    </xf>
    <xf numFmtId="9" fontId="0" fillId="0" borderId="0" xfId="25" applyFont="1"/>
    <xf numFmtId="1" fontId="66" fillId="0" borderId="58" xfId="24" applyNumberFormat="1" applyFont="1" applyBorder="1" applyAlignment="1">
      <alignment horizontal="center" vertical="top" shrinkToFit="1"/>
    </xf>
    <xf numFmtId="1" fontId="66" fillId="0" borderId="59" xfId="24" applyNumberFormat="1" applyFont="1" applyBorder="1" applyAlignment="1">
      <alignment horizontal="center" vertical="top" shrinkToFit="1"/>
    </xf>
    <xf numFmtId="1" fontId="66" fillId="0" borderId="0" xfId="24" applyNumberFormat="1" applyFont="1" applyAlignment="1">
      <alignment horizontal="center" vertical="top" shrinkToFit="1"/>
    </xf>
    <xf numFmtId="0" fontId="55" fillId="0" borderId="12" xfId="24" applyFont="1" applyBorder="1"/>
    <xf numFmtId="0" fontId="54" fillId="0" borderId="12" xfId="24" applyBorder="1"/>
    <xf numFmtId="171" fontId="55" fillId="0" borderId="0" xfId="27" applyNumberFormat="1" applyFont="1"/>
    <xf numFmtId="0" fontId="67" fillId="0" borderId="60" xfId="24" applyFont="1" applyBorder="1" applyAlignment="1">
      <alignment readingOrder="1"/>
    </xf>
    <xf numFmtId="0" fontId="68" fillId="0" borderId="61" xfId="24" applyFont="1" applyBorder="1" applyAlignment="1">
      <alignment readingOrder="1"/>
    </xf>
    <xf numFmtId="0" fontId="68" fillId="0" borderId="62" xfId="24" applyFont="1" applyBorder="1" applyAlignment="1">
      <alignment readingOrder="1"/>
    </xf>
    <xf numFmtId="0" fontId="68" fillId="0" borderId="63" xfId="24" applyFont="1" applyBorder="1" applyAlignment="1">
      <alignment readingOrder="1"/>
    </xf>
    <xf numFmtId="0" fontId="68" fillId="0" borderId="64" xfId="24" applyFont="1" applyBorder="1" applyAlignment="1">
      <alignment readingOrder="1"/>
    </xf>
    <xf numFmtId="0" fontId="68" fillId="0" borderId="65" xfId="24" applyFont="1" applyBorder="1" applyAlignment="1">
      <alignment readingOrder="1"/>
    </xf>
    <xf numFmtId="0" fontId="68" fillId="0" borderId="66" xfId="24" applyFont="1" applyBorder="1" applyAlignment="1">
      <alignment readingOrder="1"/>
    </xf>
    <xf numFmtId="0" fontId="67" fillId="0" borderId="66" xfId="24" applyFont="1" applyBorder="1" applyAlignment="1">
      <alignment readingOrder="1"/>
    </xf>
    <xf numFmtId="0" fontId="68" fillId="0" borderId="67" xfId="24" applyFont="1" applyBorder="1" applyAlignment="1">
      <alignment readingOrder="1"/>
    </xf>
    <xf numFmtId="0" fontId="68" fillId="0" borderId="68" xfId="24" applyFont="1" applyBorder="1" applyAlignment="1">
      <alignment readingOrder="1"/>
    </xf>
    <xf numFmtId="0" fontId="54" fillId="0" borderId="69" xfId="24" applyBorder="1"/>
    <xf numFmtId="0" fontId="54" fillId="0" borderId="70" xfId="24" applyBorder="1"/>
    <xf numFmtId="9" fontId="14" fillId="4" borderId="0" xfId="3" applyNumberFormat="1"/>
    <xf numFmtId="0" fontId="64" fillId="0" borderId="0" xfId="26" applyAlignment="1"/>
    <xf numFmtId="0" fontId="65" fillId="0" borderId="0" xfId="24" applyFont="1" applyAlignment="1">
      <alignment horizontal="left" vertical="top"/>
    </xf>
    <xf numFmtId="0" fontId="65" fillId="0" borderId="57" xfId="24" applyFont="1" applyBorder="1" applyAlignment="1">
      <alignment horizontal="center" vertical="top"/>
    </xf>
    <xf numFmtId="0" fontId="62" fillId="0" borderId="0" xfId="24" applyFont="1" applyAlignment="1">
      <alignment horizontal="left"/>
    </xf>
    <xf numFmtId="171" fontId="0" fillId="0" borderId="0" xfId="27" applyNumberFormat="1" applyFont="1" applyAlignment="1"/>
    <xf numFmtId="0" fontId="65" fillId="0" borderId="57" xfId="24" applyFont="1" applyBorder="1" applyAlignment="1">
      <alignment horizontal="right" vertical="top"/>
    </xf>
    <xf numFmtId="0" fontId="65" fillId="0" borderId="57" xfId="24" applyFont="1" applyBorder="1" applyAlignment="1">
      <alignment horizontal="left" vertical="top"/>
    </xf>
    <xf numFmtId="167" fontId="50" fillId="21" borderId="53" xfId="22" applyNumberFormat="1" applyAlignment="1"/>
    <xf numFmtId="1" fontId="54" fillId="0" borderId="0" xfId="24" applyNumberFormat="1"/>
    <xf numFmtId="9" fontId="0" fillId="0" borderId="0" xfId="25" applyFont="1" applyAlignment="1"/>
    <xf numFmtId="9" fontId="54" fillId="0" borderId="0" xfId="12" applyFont="1" applyAlignment="1"/>
    <xf numFmtId="2" fontId="0" fillId="0" borderId="0" xfId="0" applyNumberFormat="1"/>
    <xf numFmtId="168" fontId="0" fillId="0" borderId="0" xfId="0" applyNumberFormat="1"/>
    <xf numFmtId="0" fontId="3" fillId="0" borderId="0" xfId="5" applyFont="1"/>
    <xf numFmtId="0" fontId="2" fillId="0" borderId="0" xfId="5" applyFont="1"/>
    <xf numFmtId="0" fontId="1" fillId="0" borderId="0" xfId="5" applyFont="1"/>
    <xf numFmtId="0" fontId="69" fillId="0" borderId="0" xfId="0" applyFont="1"/>
    <xf numFmtId="0" fontId="0" fillId="0" borderId="2" xfId="0" applyBorder="1"/>
    <xf numFmtId="0" fontId="9" fillId="0" borderId="9" xfId="0" applyFont="1" applyBorder="1"/>
    <xf numFmtId="0" fontId="0" fillId="0" borderId="9" xfId="0" applyBorder="1"/>
    <xf numFmtId="0" fontId="0" fillId="0" borderId="7" xfId="0" applyBorder="1"/>
    <xf numFmtId="0" fontId="70" fillId="0" borderId="13" xfId="0" applyFont="1" applyBorder="1"/>
    <xf numFmtId="0" fontId="0" fillId="0" borderId="12" xfId="0" applyBorder="1"/>
    <xf numFmtId="0" fontId="0" fillId="0" borderId="11" xfId="0" applyBorder="1"/>
    <xf numFmtId="0" fontId="71" fillId="0" borderId="10" xfId="0" applyFont="1" applyBorder="1"/>
    <xf numFmtId="0" fontId="0" fillId="0" borderId="10" xfId="0" applyBorder="1"/>
    <xf numFmtId="0" fontId="0" fillId="0" borderId="8" xfId="0" applyBorder="1"/>
    <xf numFmtId="167" fontId="0" fillId="0" borderId="0" xfId="0" applyNumberFormat="1"/>
    <xf numFmtId="0" fontId="10" fillId="0" borderId="49" xfId="0" applyFont="1" applyBorder="1"/>
    <xf numFmtId="0" fontId="10" fillId="0" borderId="71" xfId="0" applyFont="1" applyBorder="1"/>
    <xf numFmtId="0" fontId="10" fillId="0" borderId="72" xfId="0" applyFont="1" applyBorder="1"/>
    <xf numFmtId="0" fontId="58" fillId="0" borderId="56" xfId="24" applyFont="1" applyBorder="1" applyAlignment="1">
      <alignment horizontal="left" vertical="top" wrapText="1" indent="7"/>
    </xf>
    <xf numFmtId="0" fontId="65" fillId="0" borderId="0" xfId="24" applyFont="1" applyAlignment="1">
      <alignment horizontal="left" vertical="top"/>
    </xf>
    <xf numFmtId="0" fontId="30" fillId="10" borderId="14" xfId="15" applyFont="1" applyFill="1" applyBorder="1" applyAlignment="1">
      <alignment horizontal="center"/>
    </xf>
    <xf numFmtId="0" fontId="30" fillId="10" borderId="25" xfId="15" applyFont="1" applyFill="1" applyBorder="1" applyAlignment="1">
      <alignment horizontal="center"/>
    </xf>
    <xf numFmtId="0" fontId="30" fillId="10" borderId="31" xfId="15" applyFont="1" applyFill="1" applyBorder="1" applyAlignment="1">
      <alignment horizontal="center"/>
    </xf>
    <xf numFmtId="0" fontId="34" fillId="8" borderId="17" xfId="15" applyFont="1" applyFill="1" applyBorder="1" applyAlignment="1">
      <alignment horizontal="center" vertical="center" wrapText="1"/>
    </xf>
    <xf numFmtId="0" fontId="34" fillId="8" borderId="1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4" fillId="8" borderId="36" xfId="15" applyFont="1" applyFill="1" applyBorder="1" applyAlignment="1">
      <alignment horizontal="center" vertical="center" wrapText="1"/>
    </xf>
    <xf numFmtId="0" fontId="34" fillId="8" borderId="39" xfId="15" applyFont="1" applyFill="1" applyBorder="1" applyAlignment="1">
      <alignment horizontal="center" vertical="center" wrapText="1"/>
    </xf>
    <xf numFmtId="0" fontId="34" fillId="8" borderId="38" xfId="15" applyFont="1" applyFill="1" applyBorder="1" applyAlignment="1">
      <alignment horizontal="center" vertical="center" wrapText="1"/>
    </xf>
    <xf numFmtId="0" fontId="34" fillId="8" borderId="37" xfId="15" applyFont="1" applyFill="1" applyBorder="1" applyAlignment="1">
      <alignment horizontal="center" vertical="center" wrapText="1"/>
    </xf>
    <xf numFmtId="0" fontId="44" fillId="18" borderId="0" xfId="15" applyFont="1" applyFill="1" applyAlignment="1">
      <alignment horizontal="center"/>
    </xf>
    <xf numFmtId="0" fontId="34" fillId="17" borderId="17" xfId="15" applyFont="1" applyFill="1" applyBorder="1" applyAlignment="1">
      <alignment horizontal="center" vertical="center" wrapText="1"/>
    </xf>
    <xf numFmtId="0" fontId="34" fillId="17" borderId="16" xfId="15" applyFont="1" applyFill="1" applyBorder="1" applyAlignment="1">
      <alignment horizontal="center" vertical="center" wrapText="1"/>
    </xf>
    <xf numFmtId="0" fontId="34" fillId="17" borderId="5" xfId="15" applyFont="1" applyFill="1" applyBorder="1" applyAlignment="1">
      <alignment horizontal="center" vertical="center" wrapText="1"/>
    </xf>
    <xf numFmtId="0" fontId="30" fillId="0" borderId="46" xfId="15" applyFont="1" applyBorder="1" applyAlignment="1">
      <alignment horizontal="center"/>
    </xf>
    <xf numFmtId="0" fontId="30" fillId="0" borderId="45" xfId="15" applyFont="1" applyBorder="1" applyAlignment="1">
      <alignment horizontal="center"/>
    </xf>
    <xf numFmtId="0" fontId="30" fillId="0" borderId="44" xfId="15" applyFont="1" applyBorder="1" applyAlignment="1">
      <alignment horizontal="center"/>
    </xf>
    <xf numFmtId="0" fontId="30" fillId="0" borderId="43" xfId="15" applyFont="1" applyBorder="1" applyAlignment="1">
      <alignment horizontal="center"/>
    </xf>
    <xf numFmtId="0" fontId="0" fillId="0" borderId="0" xfId="0" applyAlignment="1">
      <alignment horizontal="center" vertical="center" wrapText="1"/>
    </xf>
    <xf numFmtId="0" fontId="9" fillId="0" borderId="0" xfId="0" applyFont="1" applyAlignment="1">
      <alignment horizontal="center"/>
    </xf>
    <xf numFmtId="0" fontId="0" fillId="0" borderId="0" xfId="0" applyAlignment="1">
      <alignment horizontal="center"/>
    </xf>
    <xf numFmtId="0" fontId="8" fillId="0" borderId="0" xfId="5" applyAlignment="1">
      <alignment horizontal="center"/>
    </xf>
  </cellXfs>
  <cellStyles count="28">
    <cellStyle name="Bad" xfId="3" builtinId="27"/>
    <cellStyle name="Comma 2" xfId="17" xr:uid="{8E13E199-2F85-483B-9007-EE97DB221970}"/>
    <cellStyle name="Comma 2 2 2" xfId="11" xr:uid="{1F51F9CD-43BC-48B1-8E61-5F0A5E77056D}"/>
    <cellStyle name="Comma 2 4" xfId="10" xr:uid="{1AD15404-5123-4779-9919-818F58AED9F9}"/>
    <cellStyle name="Comma 3" xfId="27" xr:uid="{26E34044-4D45-4BFC-8843-0909849B4A73}"/>
    <cellStyle name="Comma 3 2" xfId="8" xr:uid="{D372345E-28DA-4818-94B6-B5C799529259}"/>
    <cellStyle name="Good" xfId="2" builtinId="26"/>
    <cellStyle name="Heading 1" xfId="18" builtinId="16"/>
    <cellStyle name="Heading 2" xfId="19" builtinId="17"/>
    <cellStyle name="Heading 4" xfId="1" builtinId="19"/>
    <cellStyle name="Hyperlink 2" xfId="26" xr:uid="{56B61D9A-3544-48F5-A55E-AA8EBB09481A}"/>
    <cellStyle name="Hyperlink 2 2" xfId="9" xr:uid="{073F5541-2215-4AC3-A79B-D57C39E67237}"/>
    <cellStyle name="Input" xfId="21" builtinId="20"/>
    <cellStyle name="Neutral" xfId="20" builtinId="28"/>
    <cellStyle name="Normal" xfId="0" builtinId="0"/>
    <cellStyle name="Normal 13" xfId="6" xr:uid="{3BA84AED-9BF9-4957-8DF0-590A576BDEF5}"/>
    <cellStyle name="Normal 2" xfId="13" xr:uid="{25B45E98-B917-408D-B1E1-16BC4A3C3936}"/>
    <cellStyle name="Normal 3" xfId="15" xr:uid="{7E134293-F416-40D4-92BC-550DDE4506F5}"/>
    <cellStyle name="Normal 4" xfId="24" xr:uid="{9AEEE06E-E874-4F62-8D3D-3C353393E8A2}"/>
    <cellStyle name="Normal 4 3" xfId="4" xr:uid="{EEAB24FD-E19C-48B0-BABC-0E1B5DF896B6}"/>
    <cellStyle name="Normal 6" xfId="5" xr:uid="{6AE162B9-6A12-4D2B-B887-AD3B9FDBEE85}"/>
    <cellStyle name="Note" xfId="23" builtinId="10"/>
    <cellStyle name="Output" xfId="22" builtinId="21"/>
    <cellStyle name="Percent" xfId="12" builtinId="5"/>
    <cellStyle name="Percent 2" xfId="14" xr:uid="{257BFF2F-2E48-4F7E-8232-12DB915F5B19}"/>
    <cellStyle name="Percent 2 3" xfId="7" xr:uid="{F6FBDC63-DA5A-4DF2-841D-EC6214620F9F}"/>
    <cellStyle name="Percent 3" xfId="16" xr:uid="{24CE4F15-38A1-4FAA-BCFD-47C0FFDC9AA6}"/>
    <cellStyle name="Percent 4" xfId="25" xr:uid="{1FF78551-30E2-4360-B280-F5B68D85875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48180585878442"/>
          <c:y val="7.3030678741615437E-2"/>
          <c:w val="0.84693516424492021"/>
          <c:h val="0.80858543880686073"/>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dLbls>
        <c:gapWidth val="368"/>
        <c:overlap val="100"/>
        <c:axId val="1393987696"/>
        <c:axId val="1266004368"/>
      </c:barChart>
      <c:catAx>
        <c:axId val="13939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04368"/>
        <c:crosses val="autoZero"/>
        <c:auto val="1"/>
        <c:lblAlgn val="ctr"/>
        <c:lblOffset val="100"/>
        <c:noMultiLvlLbl val="0"/>
      </c:catAx>
      <c:valAx>
        <c:axId val="1266004368"/>
        <c:scaling>
          <c:orientation val="minMax"/>
          <c:max val="18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87696"/>
        <c:crosses val="autoZero"/>
        <c:crossBetween val="between"/>
        <c:majorUnit val="3000"/>
        <c:min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dLbls>
        <c:gapWidth val="150"/>
        <c:overlap val="100"/>
        <c:axId val="1609953328"/>
        <c:axId val="1738352752"/>
      </c:barChart>
      <c:catAx>
        <c:axId val="160995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2752"/>
        <c:crosses val="autoZero"/>
        <c:auto val="1"/>
        <c:lblAlgn val="ctr"/>
        <c:lblOffset val="100"/>
        <c:noMultiLvlLbl val="0"/>
      </c:catAx>
      <c:valAx>
        <c:axId val="1738352752"/>
        <c:scaling>
          <c:orientation val="minMax"/>
          <c:max val="20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33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dLbls>
        <c:gapWidth val="150"/>
        <c:overlap val="100"/>
        <c:axId val="1613070912"/>
        <c:axId val="1607097696"/>
      </c:barChart>
      <c:catAx>
        <c:axId val="16130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97696"/>
        <c:crosses val="autoZero"/>
        <c:auto val="1"/>
        <c:lblAlgn val="ctr"/>
        <c:lblOffset val="100"/>
        <c:noMultiLvlLbl val="0"/>
      </c:catAx>
      <c:valAx>
        <c:axId val="1607097696"/>
        <c:scaling>
          <c:orientation val="minMax"/>
          <c:max val="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dLbls>
        <c:gapWidth val="150"/>
        <c:overlap val="100"/>
        <c:axId val="1601397808"/>
        <c:axId val="1738356720"/>
      </c:barChart>
      <c:catAx>
        <c:axId val="160139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6720"/>
        <c:crosses val="autoZero"/>
        <c:auto val="1"/>
        <c:lblAlgn val="ctr"/>
        <c:lblOffset val="100"/>
        <c:noMultiLvlLbl val="0"/>
      </c:catAx>
      <c:valAx>
        <c:axId val="1738356720"/>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12.emf"/><Relationship Id="rId12"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2.xml"/><Relationship Id="rId11" Type="http://schemas.openxmlformats.org/officeDocument/2006/relationships/image" Target="../media/image14.png"/><Relationship Id="rId5" Type="http://schemas.openxmlformats.org/officeDocument/2006/relationships/image" Target="../media/image11.emf"/><Relationship Id="rId10" Type="http://schemas.openxmlformats.org/officeDocument/2006/relationships/chart" Target="../charts/chart4.xml"/><Relationship Id="rId4" Type="http://schemas.openxmlformats.org/officeDocument/2006/relationships/image" Target="../media/image10.emf"/><Relationship Id="rId9" Type="http://schemas.openxmlformats.org/officeDocument/2006/relationships/image" Target="../media/image13.emf"/></Relationships>
</file>

<file path=xl/drawings/_rels/drawing6.xml.rels><?xml version="1.0" encoding="UTF-8" standalone="yes"?>
<Relationships xmlns="http://schemas.openxmlformats.org/package/2006/relationships"><Relationship Id="rId3" Type="http://schemas.openxmlformats.org/officeDocument/2006/relationships/image" Target="../media/image18.jpe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8" Type="http://schemas.openxmlformats.org/officeDocument/2006/relationships/image" Target="../media/image30.emf"/><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png"/><Relationship Id="rId11" Type="http://schemas.openxmlformats.org/officeDocument/2006/relationships/image" Target="../media/image31.png"/><Relationship Id="rId5" Type="http://schemas.openxmlformats.org/officeDocument/2006/relationships/image" Target="../media/image27.png"/><Relationship Id="rId10" Type="http://schemas.openxmlformats.org/officeDocument/2006/relationships/chart" Target="../charts/chart6.xml"/><Relationship Id="rId4" Type="http://schemas.openxmlformats.org/officeDocument/2006/relationships/image" Target="../media/image26.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xmlns:r="http://schemas.openxmlformats.org/officeDocument/2006/relationships" r:embed="rId1"/>
        <a:stretch>
          <a:fillRect/>
        </a:stretch>
      </xdr:blipFill>
      <xdr:spPr>
        <a:xfrm>
          <a:off x="7200899" y="925597"/>
          <a:ext cx="3673475" cy="388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21</xdr:col>
      <xdr:colOff>333376</xdr:colOff>
      <xdr:row>35</xdr:row>
      <xdr:rowOff>133352</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4839951" y="6800852"/>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xmlns:r="http://schemas.openxmlformats.org/officeDocument/2006/relationships" r:embed="rId1"/>
        <a:stretch>
          <a:fillRect/>
        </a:stretch>
      </xdr:blipFill>
      <xdr:spPr>
        <a:xfrm>
          <a:off x="1297641" y="1340224"/>
          <a:ext cx="8647301" cy="4070536"/>
        </a:xfrm>
        <a:prstGeom prst="rect">
          <a:avLst/>
        </a:prstGeom>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xmlns:r="http://schemas.openxmlformats.org/officeDocument/2006/relationships" r:embed="rId2"/>
        <a:stretch>
          <a:fillRect/>
        </a:stretch>
      </xdr:blipFill>
      <xdr:spPr>
        <a:xfrm>
          <a:off x="2930337" y="5445750"/>
          <a:ext cx="6728066" cy="1256740"/>
        </a:xfrm>
        <a:prstGeom prst="rect">
          <a:avLst/>
        </a:prstGeom>
      </xdr:spPr>
    </xdr:pic>
    <xdr:clientData/>
  </xdr:twoCellAnchor>
  <xdr:twoCellAnchor>
    <xdr:from>
      <xdr:col>2</xdr:col>
      <xdr:colOff>825563</xdr:colOff>
      <xdr:row>6</xdr:row>
      <xdr:rowOff>43961</xdr:rowOff>
    </xdr:from>
    <xdr:to>
      <xdr:col>14</xdr:col>
      <xdr:colOff>80373</xdr:colOff>
      <xdr:row>32</xdr:row>
      <xdr:rowOff>36634</xdr:rowOff>
    </xdr:to>
    <xdr:graphicFrame macro="">
      <xdr:nvGraphicFramePr>
        <xdr:cNvPr id="4" name="Chart 3">
          <a:extLst>
            <a:ext uri="{FF2B5EF4-FFF2-40B4-BE49-F238E27FC236}">
              <a16:creationId xmlns:a16="http://schemas.microsoft.com/office/drawing/2014/main" id="{8C431BF6-B607-49CF-8B73-74FBC7802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4625" y="7353300"/>
          <a:ext cx="7277100" cy="3895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48200" y="11553825"/>
          <a:ext cx="2733675"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macro="">
      <xdr:nvGraphicFramePr>
        <xdr:cNvPr id="7" name="Chart 6">
          <a:extLst>
            <a:ext uri="{FF2B5EF4-FFF2-40B4-BE49-F238E27FC236}">
              <a16:creationId xmlns:a16="http://schemas.microsoft.com/office/drawing/2014/main" id="{B6444263-B6ED-46BF-9791-3372490D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28466" y="12435923"/>
          <a:ext cx="6276147" cy="197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macro="">
      <xdr:nvGraphicFramePr>
        <xdr:cNvPr id="9" name="Chart 8">
          <a:extLst>
            <a:ext uri="{FF2B5EF4-FFF2-40B4-BE49-F238E27FC236}">
              <a16:creationId xmlns:a16="http://schemas.microsoft.com/office/drawing/2014/main" id="{886EA6F1-0C70-499D-B48D-FE83916BC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1926" y="15744825"/>
          <a:ext cx="4705350" cy="197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macro="">
      <xdr:nvGraphicFramePr>
        <xdr:cNvPr id="11" name="Chart 10">
          <a:extLst>
            <a:ext uri="{FF2B5EF4-FFF2-40B4-BE49-F238E27FC236}">
              <a16:creationId xmlns:a16="http://schemas.microsoft.com/office/drawing/2014/main" id="{4B519101-FC79-4BF9-946C-EFF3B40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xmlns:r="http://schemas.openxmlformats.org/officeDocument/2006/relationships" r:embed="rId11"/>
        <a:stretch>
          <a:fillRect/>
        </a:stretch>
      </xdr:blipFill>
      <xdr:spPr>
        <a:xfrm>
          <a:off x="2457450" y="19754850"/>
          <a:ext cx="5161911" cy="4941449"/>
        </a:xfrm>
        <a:prstGeom prst="rect">
          <a:avLst/>
        </a:prstGeom>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 uri="{147F2762-F138-4A5C-976F-8EAC2B608ADB}">
              <a16:predDERef xmlns:a16="http://schemas.microsoft.com/office/drawing/2014/main" pred="{6F8DAD46-FFE5-139B-35DD-BDC134F80533}"/>
            </a:ext>
          </a:extLst>
        </xdr:cNvPr>
        <xdr:cNvPicPr>
          <a:picLocks noChangeAspect="1"/>
        </xdr:cNvPicPr>
      </xdr:nvPicPr>
      <xdr:blipFill>
        <a:blip xmlns:r="http://schemas.openxmlformats.org/officeDocument/2006/relationships" r:embed="rId12"/>
        <a:stretch>
          <a:fillRect/>
        </a:stretch>
      </xdr:blipFill>
      <xdr:spPr>
        <a:xfrm>
          <a:off x="6067425" y="17773650"/>
          <a:ext cx="3114675" cy="1619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590550</xdr:colOff>
      <xdr:row>28</xdr:row>
      <xdr:rowOff>152400</xdr:rowOff>
    </xdr:from>
    <xdr:to>
      <xdr:col>11</xdr:col>
      <xdr:colOff>1922</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28950" y="5943600"/>
          <a:ext cx="3676190" cy="1933333"/>
        </a:xfrm>
        <a:prstGeom prst="rect">
          <a:avLst/>
        </a:prstGeom>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twoCellAnchor editAs="oneCell">
    <xdr:from>
      <xdr:col>2</xdr:col>
      <xdr:colOff>0</xdr:colOff>
      <xdr:row>65</xdr:row>
      <xdr:rowOff>0</xdr:rowOff>
    </xdr:from>
    <xdr:to>
      <xdr:col>2</xdr:col>
      <xdr:colOff>304800</xdr:colOff>
      <xdr:row>66</xdr:row>
      <xdr:rowOff>142875</xdr:rowOff>
    </xdr:to>
    <xdr:sp macro="" textlink="">
      <xdr:nvSpPr>
        <xdr:cNvPr id="28675" name="AutoShape 3">
          <a:extLst>
            <a:ext uri="{FF2B5EF4-FFF2-40B4-BE49-F238E27FC236}">
              <a16:creationId xmlns:a16="http://schemas.microsoft.com/office/drawing/2014/main" id="{A1840B8E-E9BB-47CA-39D6-AE0E4ABA930C}"/>
            </a:ext>
          </a:extLst>
        </xdr:cNvPr>
        <xdr:cNvSpPr>
          <a:spLocks noChangeAspect="1" noChangeArrowheads="1"/>
        </xdr:cNvSpPr>
      </xdr:nvSpPr>
      <xdr:spPr bwMode="auto">
        <a:xfrm>
          <a:off x="1219200" y="114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macro="" textlink="">
      <xdr:nvSpPr>
        <xdr:cNvPr id="28676" name="AutoShape 4">
          <a:extLst>
            <a:ext uri="{FF2B5EF4-FFF2-40B4-BE49-F238E27FC236}">
              <a16:creationId xmlns:a16="http://schemas.microsoft.com/office/drawing/2014/main" id="{E3E78DFC-DE9F-D15A-368D-C20C8B22D442}"/>
            </a:ext>
          </a:extLst>
        </xdr:cNvPr>
        <xdr:cNvSpPr>
          <a:spLocks noChangeAspect="1" noChangeArrowheads="1"/>
        </xdr:cNvSpPr>
      </xdr:nvSpPr>
      <xdr:spPr bwMode="auto">
        <a:xfrm>
          <a:off x="36576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64</xdr:row>
      <xdr:rowOff>0</xdr:rowOff>
    </xdr:from>
    <xdr:to>
      <xdr:col>6</xdr:col>
      <xdr:colOff>304800</xdr:colOff>
      <xdr:row>65</xdr:row>
      <xdr:rowOff>142875</xdr:rowOff>
    </xdr:to>
    <xdr:sp macro="" textlink="">
      <xdr:nvSpPr>
        <xdr:cNvPr id="28677" name="AutoShape 5">
          <a:extLst>
            <a:ext uri="{FF2B5EF4-FFF2-40B4-BE49-F238E27FC236}">
              <a16:creationId xmlns:a16="http://schemas.microsoft.com/office/drawing/2014/main" id="{B90BF9B9-B1EA-D654-75E5-940550FD5192}"/>
            </a:ext>
          </a:extLst>
        </xdr:cNvPr>
        <xdr:cNvSpPr>
          <a:spLocks noChangeAspect="1" noChangeArrowheads="1"/>
        </xdr:cNvSpPr>
      </xdr:nvSpPr>
      <xdr:spPr bwMode="auto">
        <a:xfrm>
          <a:off x="36576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592002</xdr:colOff>
      <xdr:row>64</xdr:row>
      <xdr:rowOff>35718</xdr:rowOff>
    </xdr:from>
    <xdr:to>
      <xdr:col>11</xdr:col>
      <xdr:colOff>178594</xdr:colOff>
      <xdr:row>95</xdr:row>
      <xdr:rowOff>160135</xdr:rowOff>
    </xdr:to>
    <xdr:pic>
      <xdr:nvPicPr>
        <xdr:cNvPr id="4" name="Picture 3" descr="Figure 1.">
          <a:extLst>
            <a:ext uri="{FF2B5EF4-FFF2-40B4-BE49-F238E27FC236}">
              <a16:creationId xmlns:a16="http://schemas.microsoft.com/office/drawing/2014/main" id="{2A2C0A8C-B793-D92D-2E04-5AEF96F426B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9221" y="11644312"/>
          <a:ext cx="5658779" cy="5291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22</xdr:col>
      <xdr:colOff>885825</xdr:colOff>
      <xdr:row>101</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30</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68</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77</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85</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81</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64</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C12"/>
          <cell r="D12"/>
          <cell r="E12">
            <v>20.9</v>
          </cell>
        </row>
        <row r="13">
          <cell r="C13"/>
          <cell r="D13"/>
          <cell r="E13">
            <v>50.9</v>
          </cell>
        </row>
        <row r="14">
          <cell r="C14"/>
          <cell r="D14"/>
          <cell r="E14">
            <v>2.4354066985645932</v>
          </cell>
        </row>
        <row r="17">
          <cell r="C17"/>
          <cell r="D17"/>
          <cell r="E17">
            <v>47.3</v>
          </cell>
        </row>
        <row r="18">
          <cell r="C18"/>
          <cell r="D18"/>
          <cell r="E18">
            <v>50.9</v>
          </cell>
        </row>
        <row r="19">
          <cell r="C19"/>
          <cell r="D19"/>
          <cell r="E19">
            <v>1.0761099365750528</v>
          </cell>
        </row>
        <row r="22">
          <cell r="C22"/>
          <cell r="D22"/>
          <cell r="E22">
            <v>26.4</v>
          </cell>
        </row>
        <row r="23">
          <cell r="C23"/>
          <cell r="D23"/>
          <cell r="E23">
            <v>50.9</v>
          </cell>
        </row>
        <row r="24">
          <cell r="C24"/>
          <cell r="D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6"/>
      <sheetData sheetId="27"/>
      <sheetData sheetId="28">
        <row r="135">
          <cell r="R135">
            <v>7.2916666666666671E-2</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3.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5370/JEET.2015.10.4.1472"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rel.gov/docs/fy21osti/77324.pdf"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sheetViews>
  <sheetFormatPr defaultRowHeight="12.75" x14ac:dyDescent="0.2"/>
  <cols>
    <col min="1" max="2" width="9.140625" style="409"/>
    <col min="3" max="3" width="31.5703125" style="409" customWidth="1"/>
    <col min="4" max="4" width="9.140625" style="409"/>
    <col min="5" max="5" width="26.28515625" style="409" customWidth="1"/>
    <col min="6" max="10" width="9.140625" style="409"/>
    <col min="11" max="12" width="10.28515625" style="409" bestFit="1" customWidth="1"/>
    <col min="13" max="13" width="11.28515625" style="409" bestFit="1" customWidth="1"/>
    <col min="14" max="16384" width="9.140625" style="409"/>
  </cols>
  <sheetData>
    <row r="1" spans="3:18" x14ac:dyDescent="0.2">
      <c r="C1" s="408" t="s">
        <v>1170</v>
      </c>
    </row>
    <row r="2" spans="3:18" x14ac:dyDescent="0.2">
      <c r="C2" s="408" t="s">
        <v>1171</v>
      </c>
    </row>
    <row r="4" spans="3:18" x14ac:dyDescent="0.2">
      <c r="C4" s="409" t="s">
        <v>1172</v>
      </c>
    </row>
    <row r="5" spans="3:18" ht="15.75" x14ac:dyDescent="0.25">
      <c r="C5" s="410" t="s">
        <v>1173</v>
      </c>
      <c r="D5" s="408"/>
      <c r="H5" s="411" t="s">
        <v>1174</v>
      </c>
    </row>
    <row r="6" spans="3:18" x14ac:dyDescent="0.2">
      <c r="C6" s="409" t="s">
        <v>1175</v>
      </c>
      <c r="D6" s="409" t="s">
        <v>1176</v>
      </c>
    </row>
    <row r="8" spans="3:18" x14ac:dyDescent="0.2">
      <c r="C8" s="412" t="s">
        <v>1177</v>
      </c>
      <c r="D8" s="477" t="s">
        <v>1178</v>
      </c>
      <c r="E8" s="477"/>
      <c r="P8" s="408">
        <v>650</v>
      </c>
      <c r="Q8" s="408" t="s">
        <v>181</v>
      </c>
    </row>
    <row r="9" spans="3:18" ht="25.5" x14ac:dyDescent="0.2">
      <c r="C9" s="413" t="s">
        <v>1179</v>
      </c>
      <c r="D9" s="414"/>
      <c r="E9" s="415">
        <v>49126</v>
      </c>
      <c r="G9" s="409" t="str">
        <f>G22</f>
        <v>ccons_e</v>
      </c>
    </row>
    <row r="10" spans="3:18" ht="25.5" x14ac:dyDescent="0.2">
      <c r="C10" s="413" t="s">
        <v>1180</v>
      </c>
      <c r="D10" s="416"/>
      <c r="E10" s="417">
        <v>324043</v>
      </c>
      <c r="G10" s="409" t="str">
        <f>G23</f>
        <v>cmach_e</v>
      </c>
      <c r="N10" s="409" t="s">
        <v>1179</v>
      </c>
      <c r="P10" s="409">
        <v>247250</v>
      </c>
      <c r="R10" s="409" t="str">
        <f>R22</f>
        <v>ccons_e</v>
      </c>
    </row>
    <row r="11" spans="3:18" ht="25.5" x14ac:dyDescent="0.2">
      <c r="C11" s="413" t="s">
        <v>1181</v>
      </c>
      <c r="D11" s="414"/>
      <c r="E11" s="415">
        <v>43753</v>
      </c>
      <c r="G11" s="409" t="str">
        <f>G24</f>
        <v>cemch_e</v>
      </c>
      <c r="N11" s="409" t="s">
        <v>1180</v>
      </c>
      <c r="P11" s="409">
        <v>991831</v>
      </c>
      <c r="R11" s="409" t="str">
        <f>R23</f>
        <v>cmach_e</v>
      </c>
    </row>
    <row r="12" spans="3:18" x14ac:dyDescent="0.2">
      <c r="C12" s="413" t="s">
        <v>1182</v>
      </c>
      <c r="D12" s="414"/>
      <c r="E12" s="415">
        <v>99220</v>
      </c>
      <c r="G12" s="409" t="str">
        <f>G26</f>
        <v>cbsrv</v>
      </c>
      <c r="N12" s="409" t="s">
        <v>1181</v>
      </c>
      <c r="P12" s="409">
        <v>141900</v>
      </c>
      <c r="R12" s="409" t="str">
        <f>R24</f>
        <v>cemch_e</v>
      </c>
    </row>
    <row r="13" spans="3:18" ht="25.5" x14ac:dyDescent="0.2">
      <c r="C13" s="418" t="s">
        <v>1183</v>
      </c>
      <c r="D13" s="419"/>
      <c r="E13" s="420">
        <v>516142</v>
      </c>
      <c r="N13" s="409" t="s">
        <v>1182</v>
      </c>
      <c r="P13" s="409">
        <v>393350</v>
      </c>
      <c r="R13" s="409" t="str">
        <f>R26</f>
        <v>cbsrv</v>
      </c>
    </row>
    <row r="14" spans="3:18" x14ac:dyDescent="0.2">
      <c r="C14" s="418" t="s">
        <v>1184</v>
      </c>
      <c r="D14" s="419"/>
      <c r="E14" s="421">
        <v>55743</v>
      </c>
      <c r="N14" s="409" t="s">
        <v>1183</v>
      </c>
      <c r="P14" s="409">
        <v>1774331</v>
      </c>
    </row>
    <row r="15" spans="3:18" x14ac:dyDescent="0.2">
      <c r="C15" s="418" t="s">
        <v>1185</v>
      </c>
      <c r="D15" s="419"/>
      <c r="E15" s="422">
        <v>571885</v>
      </c>
      <c r="N15" s="409" t="s">
        <v>1184</v>
      </c>
      <c r="P15" s="409">
        <v>195176</v>
      </c>
      <c r="R15" s="409" t="str">
        <f>R26</f>
        <v>cbsrv</v>
      </c>
    </row>
    <row r="16" spans="3:18" ht="25.5" x14ac:dyDescent="0.2">
      <c r="C16" s="423" t="s">
        <v>1186</v>
      </c>
      <c r="D16" s="419"/>
      <c r="E16" s="422">
        <v>114377</v>
      </c>
      <c r="G16" s="409" t="str">
        <f>G22</f>
        <v>ccons_e</v>
      </c>
      <c r="N16" s="409" t="s">
        <v>1185</v>
      </c>
      <c r="P16" s="409">
        <v>1969507</v>
      </c>
    </row>
    <row r="17" spans="3:18" ht="25.5" x14ac:dyDescent="0.2">
      <c r="C17" s="423" t="s">
        <v>1187</v>
      </c>
      <c r="D17" s="419"/>
      <c r="E17" s="422">
        <v>686262</v>
      </c>
      <c r="N17" s="409" t="s">
        <v>1186</v>
      </c>
      <c r="P17" s="409">
        <v>393901</v>
      </c>
      <c r="R17" s="409" t="str">
        <f>R22</f>
        <v>ccons_e</v>
      </c>
    </row>
    <row r="18" spans="3:18" x14ac:dyDescent="0.2">
      <c r="C18" s="423" t="s">
        <v>1185</v>
      </c>
      <c r="D18" s="424" t="s">
        <v>1188</v>
      </c>
      <c r="E18" s="425">
        <v>815</v>
      </c>
      <c r="N18" s="409" t="s">
        <v>1187</v>
      </c>
      <c r="P18" s="409">
        <v>2363408</v>
      </c>
    </row>
    <row r="19" spans="3:18" ht="25.5" x14ac:dyDescent="0.2">
      <c r="C19" s="423" t="s">
        <v>1189</v>
      </c>
      <c r="D19" s="424" t="s">
        <v>1188</v>
      </c>
      <c r="E19" s="425">
        <v>163</v>
      </c>
      <c r="N19" s="409" t="s">
        <v>1185</v>
      </c>
      <c r="P19" s="409">
        <v>3030</v>
      </c>
    </row>
    <row r="20" spans="3:18" ht="25.5" x14ac:dyDescent="0.2">
      <c r="C20" s="423" t="s">
        <v>1190</v>
      </c>
      <c r="D20" s="424" t="s">
        <v>1188</v>
      </c>
      <c r="E20" s="425">
        <v>978</v>
      </c>
      <c r="N20" s="409" t="s">
        <v>1189</v>
      </c>
      <c r="P20" s="409">
        <v>606</v>
      </c>
    </row>
    <row r="21" spans="3:18" x14ac:dyDescent="0.2">
      <c r="N21" s="409" t="s">
        <v>1190</v>
      </c>
      <c r="P21" s="409">
        <v>3636</v>
      </c>
    </row>
    <row r="22" spans="3:18" x14ac:dyDescent="0.2">
      <c r="E22" s="426">
        <f>SUMIF($G$9:$G$20,G22,$E$9:$E$20)/$E$17</f>
        <v>0.23825157155721868</v>
      </c>
      <c r="G22" s="409" t="s">
        <v>513</v>
      </c>
      <c r="P22" s="426">
        <f>SUMIF($R$10:$R$21,R22,$P$10:$P$21)/$P$18</f>
        <v>0.27128240236133583</v>
      </c>
      <c r="R22" s="409" t="s">
        <v>513</v>
      </c>
    </row>
    <row r="23" spans="3:18" x14ac:dyDescent="0.2">
      <c r="E23" s="426">
        <f>SUMIF($G$9:$G$20,G23,$E$9:$E$20)/$E$17</f>
        <v>0.47218555012517083</v>
      </c>
      <c r="G23" s="409" t="s">
        <v>514</v>
      </c>
      <c r="P23" s="426">
        <f>SUMIF($R$10:$R$21,R23,$P$10:$P$21)/$P$18</f>
        <v>0.41966135343537808</v>
      </c>
      <c r="R23" s="409" t="s">
        <v>514</v>
      </c>
    </row>
    <row r="24" spans="3:18" x14ac:dyDescent="0.2">
      <c r="E24" s="426">
        <f>SUMIF($G$9:$G$20,G24,$E$9:$E$20)/$E$17</f>
        <v>6.3755533600869635E-2</v>
      </c>
      <c r="G24" s="409" t="s">
        <v>515</v>
      </c>
      <c r="P24" s="426">
        <f>SUMIF($R$10:$R$21,R24,$P$10:$P$21)/$P$18</f>
        <v>6.0040416212520223E-2</v>
      </c>
      <c r="R24" s="409" t="s">
        <v>515</v>
      </c>
    </row>
    <row r="25" spans="3:18" x14ac:dyDescent="0.2">
      <c r="E25" s="426">
        <f>SUMIF($G$9:$G$20,G25,$E$9:$E$20)/$E$17</f>
        <v>0</v>
      </c>
      <c r="G25" s="409" t="s">
        <v>276</v>
      </c>
      <c r="P25" s="426">
        <f>SUMIF($R$10:$R$21,R25,$P$10:$P$21)/$P$18</f>
        <v>0</v>
      </c>
      <c r="R25" s="409" t="s">
        <v>276</v>
      </c>
    </row>
    <row r="26" spans="3:18" x14ac:dyDescent="0.2">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sheetViews>
  <sheetFormatPr defaultRowHeight="12.75" x14ac:dyDescent="0.2"/>
  <sheetData>
    <row r="3" spans="2:17" ht="15.75" x14ac:dyDescent="0.25">
      <c r="B3" s="410" t="s">
        <v>1191</v>
      </c>
      <c r="C3" s="409"/>
      <c r="D3" s="409"/>
      <c r="E3" s="409"/>
      <c r="F3" s="409"/>
      <c r="G3" s="409"/>
      <c r="H3" s="409"/>
      <c r="I3" s="409"/>
      <c r="J3" s="409"/>
      <c r="K3" s="409"/>
      <c r="L3" s="409"/>
      <c r="M3" s="409"/>
      <c r="N3" s="409"/>
      <c r="O3" s="409"/>
      <c r="P3" s="409"/>
      <c r="Q3" s="409"/>
    </row>
    <row r="4" spans="2:17" x14ac:dyDescent="0.2">
      <c r="B4" s="409"/>
      <c r="C4" s="409" t="s">
        <v>1192</v>
      </c>
      <c r="D4" s="409"/>
      <c r="E4" s="409"/>
      <c r="F4" s="409"/>
      <c r="G4" s="409"/>
      <c r="H4" s="409"/>
      <c r="I4" s="409"/>
      <c r="J4" s="409"/>
      <c r="K4" s="409"/>
      <c r="L4" s="409"/>
      <c r="M4" s="409"/>
      <c r="N4" s="409"/>
      <c r="O4" s="409"/>
      <c r="P4" s="409"/>
      <c r="Q4" s="409"/>
    </row>
    <row r="5" spans="2:17" x14ac:dyDescent="0.2">
      <c r="B5" s="409"/>
      <c r="C5" s="446" t="s">
        <v>1193</v>
      </c>
      <c r="D5" s="409"/>
      <c r="E5" s="409"/>
      <c r="F5" s="409"/>
      <c r="G5" s="409"/>
      <c r="H5" s="409"/>
      <c r="I5" s="409"/>
      <c r="J5" s="409"/>
      <c r="K5" s="409"/>
      <c r="L5" s="409"/>
      <c r="M5" s="409"/>
      <c r="N5" s="409"/>
      <c r="O5" s="409"/>
      <c r="P5" s="409"/>
      <c r="Q5" s="409"/>
    </row>
    <row r="6" spans="2:17" x14ac:dyDescent="0.2">
      <c r="B6" s="408" t="s">
        <v>1194</v>
      </c>
      <c r="C6" s="408" t="s">
        <v>1195</v>
      </c>
      <c r="D6" s="409"/>
      <c r="E6" s="409"/>
      <c r="F6" s="409"/>
      <c r="G6" s="409"/>
      <c r="H6" s="409"/>
      <c r="I6" s="409"/>
      <c r="J6" s="409"/>
      <c r="K6" s="408" t="s">
        <v>1196</v>
      </c>
      <c r="L6" s="409"/>
      <c r="M6" s="409"/>
      <c r="N6" s="409"/>
      <c r="O6" s="409"/>
      <c r="P6" s="409"/>
      <c r="Q6" s="409"/>
    </row>
    <row r="7" spans="2:17" x14ac:dyDescent="0.2">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x14ac:dyDescent="0.2">
      <c r="B8" s="409"/>
      <c r="C8" s="478" t="s">
        <v>1201</v>
      </c>
      <c r="D8" s="478"/>
      <c r="E8" s="478"/>
      <c r="F8" s="478"/>
      <c r="G8" s="478"/>
      <c r="H8" s="409"/>
      <c r="I8" s="409"/>
      <c r="J8" s="409"/>
      <c r="K8" s="409" t="s">
        <v>1202</v>
      </c>
      <c r="L8" s="409"/>
      <c r="M8" s="409"/>
      <c r="N8" s="409"/>
      <c r="O8" s="409"/>
      <c r="P8" s="409"/>
      <c r="Q8" s="409" t="s">
        <v>1203</v>
      </c>
    </row>
    <row r="9" spans="2:17" x14ac:dyDescent="0.2">
      <c r="B9" s="409"/>
      <c r="C9" s="448" t="s">
        <v>1204</v>
      </c>
      <c r="D9" s="427">
        <v>155128</v>
      </c>
      <c r="E9" s="427">
        <v>535210</v>
      </c>
      <c r="F9" s="428">
        <v>915294</v>
      </c>
      <c r="G9" s="449" t="str">
        <f>G10</f>
        <v>ccons_e</v>
      </c>
      <c r="H9" s="409"/>
      <c r="I9" s="409"/>
      <c r="J9" s="409"/>
      <c r="K9" s="450">
        <f t="shared" ref="K9:M16" si="0">D9*$H$11</f>
        <v>3040.3481329531633</v>
      </c>
      <c r="L9" s="450">
        <f t="shared" si="0"/>
        <v>10489.561679631417</v>
      </c>
      <c r="M9" s="450">
        <f t="shared" si="0"/>
        <v>17938.814424238259</v>
      </c>
      <c r="N9" s="409"/>
      <c r="O9" s="409"/>
      <c r="P9" s="409"/>
      <c r="Q9" s="409" t="s">
        <v>1205</v>
      </c>
    </row>
    <row r="10" spans="2:17" x14ac:dyDescent="0.2">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x14ac:dyDescent="0.2">
      <c r="B11" s="409"/>
      <c r="C11" s="451" t="s">
        <v>1207</v>
      </c>
      <c r="D11" s="427">
        <v>533627</v>
      </c>
      <c r="E11" s="427">
        <v>1261048</v>
      </c>
      <c r="F11" s="428">
        <v>1988470</v>
      </c>
      <c r="G11" s="449" t="str">
        <f>G30</f>
        <v>cmetp</v>
      </c>
      <c r="H11" s="409">
        <f>H13/H12</f>
        <v>1.9598964293700449E-2</v>
      </c>
      <c r="I11" s="409" t="s">
        <v>1208</v>
      </c>
      <c r="J11" s="409"/>
      <c r="K11" s="450">
        <f t="shared" si="0"/>
        <v>10458.53651915449</v>
      </c>
      <c r="L11" s="450">
        <f t="shared" si="0"/>
        <v>24715.234724642363</v>
      </c>
      <c r="M11" s="450">
        <f t="shared" si="0"/>
        <v>38971.952529094531</v>
      </c>
      <c r="N11" s="409"/>
      <c r="O11" s="409"/>
      <c r="P11" s="409"/>
      <c r="Q11" s="409" t="s">
        <v>1209</v>
      </c>
    </row>
    <row r="12" spans="2:17" x14ac:dyDescent="0.2">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x14ac:dyDescent="0.2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x14ac:dyDescent="0.2">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x14ac:dyDescent="0.2">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x14ac:dyDescent="0.2">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x14ac:dyDescent="0.2">
      <c r="B17" s="409"/>
      <c r="C17" s="447" t="s">
        <v>1220</v>
      </c>
      <c r="D17" s="447"/>
      <c r="E17" s="447"/>
      <c r="F17" s="447"/>
      <c r="G17" s="447"/>
      <c r="H17" s="409"/>
      <c r="I17" s="409"/>
      <c r="J17" s="409"/>
      <c r="K17" s="409"/>
      <c r="L17" s="409"/>
      <c r="M17" s="409"/>
      <c r="N17" s="409"/>
      <c r="O17" s="409"/>
      <c r="P17" s="409"/>
      <c r="Q17" s="409" t="s">
        <v>1221</v>
      </c>
    </row>
    <row r="18" spans="2:17" x14ac:dyDescent="0.2">
      <c r="B18" s="409"/>
      <c r="C18" s="448" t="s">
        <v>1204</v>
      </c>
      <c r="D18" s="427">
        <v>3102540</v>
      </c>
      <c r="E18" s="427">
        <v>3723048</v>
      </c>
      <c r="F18" s="428">
        <v>4343556</v>
      </c>
      <c r="G18" s="449"/>
      <c r="H18" s="409"/>
      <c r="I18" s="409"/>
      <c r="J18" s="409"/>
      <c r="K18" s="409"/>
      <c r="L18" s="409"/>
      <c r="M18" s="409"/>
      <c r="N18" s="409"/>
      <c r="O18" s="409"/>
      <c r="P18" s="409"/>
      <c r="Q18" s="409" t="s">
        <v>539</v>
      </c>
    </row>
    <row r="19" spans="2:17" x14ac:dyDescent="0.2">
      <c r="B19" s="409"/>
      <c r="C19" s="448" t="s">
        <v>1222</v>
      </c>
      <c r="D19" s="427">
        <v>5999822</v>
      </c>
      <c r="E19" s="427">
        <v>7199786</v>
      </c>
      <c r="F19" s="428">
        <v>8399750</v>
      </c>
      <c r="G19" s="449"/>
      <c r="H19" s="409"/>
      <c r="I19" s="409"/>
      <c r="J19" s="409"/>
      <c r="K19" s="409"/>
      <c r="L19" s="409"/>
      <c r="M19" s="409"/>
      <c r="N19" s="409"/>
      <c r="O19" s="409"/>
      <c r="P19" s="409"/>
      <c r="Q19" s="409"/>
    </row>
    <row r="20" spans="2:17" x14ac:dyDescent="0.2">
      <c r="B20" s="409"/>
      <c r="C20" s="452" t="s">
        <v>1223</v>
      </c>
      <c r="D20" s="427">
        <v>6403524</v>
      </c>
      <c r="E20" s="427">
        <v>8324581</v>
      </c>
      <c r="F20" s="428">
        <v>10245638</v>
      </c>
      <c r="G20" s="449"/>
      <c r="H20" s="409"/>
      <c r="I20" s="409"/>
      <c r="J20" s="409"/>
      <c r="K20" s="409"/>
      <c r="L20" s="409"/>
      <c r="M20" s="409"/>
      <c r="N20" s="409"/>
      <c r="O20" s="409"/>
      <c r="P20" s="409"/>
      <c r="Q20" s="409"/>
    </row>
    <row r="21" spans="2:17" x14ac:dyDescent="0.2">
      <c r="B21" s="409"/>
      <c r="C21" s="451" t="s">
        <v>1224</v>
      </c>
      <c r="D21" s="427">
        <v>366576</v>
      </c>
      <c r="E21" s="427">
        <v>439891</v>
      </c>
      <c r="F21" s="428">
        <v>513206</v>
      </c>
      <c r="G21" s="449"/>
      <c r="H21" s="409"/>
      <c r="I21" s="409"/>
      <c r="J21" s="409"/>
      <c r="K21" s="409"/>
      <c r="L21" s="409"/>
      <c r="M21" s="409"/>
      <c r="N21" s="409"/>
      <c r="O21" s="409"/>
      <c r="P21" s="409"/>
      <c r="Q21" s="409"/>
    </row>
    <row r="22" spans="2:17" x14ac:dyDescent="0.2">
      <c r="B22" s="409"/>
      <c r="C22" s="452" t="s">
        <v>1213</v>
      </c>
      <c r="D22" s="427">
        <v>878205</v>
      </c>
      <c r="E22" s="427">
        <v>1053846</v>
      </c>
      <c r="F22" s="428">
        <v>1229487</v>
      </c>
      <c r="G22" s="449"/>
      <c r="H22" s="409"/>
      <c r="I22" s="409"/>
      <c r="J22" s="409"/>
      <c r="K22" s="409"/>
      <c r="L22" s="409"/>
      <c r="M22" s="409"/>
      <c r="N22" s="409"/>
      <c r="O22" s="409"/>
      <c r="P22" s="409"/>
      <c r="Q22" s="409"/>
    </row>
    <row r="23" spans="2:17" x14ac:dyDescent="0.2">
      <c r="B23" s="409"/>
      <c r="C23" s="452" t="s">
        <v>1050</v>
      </c>
      <c r="D23" s="427">
        <v>417286</v>
      </c>
      <c r="E23" s="427">
        <v>500743</v>
      </c>
      <c r="F23" s="428">
        <v>584200</v>
      </c>
      <c r="G23" s="449"/>
      <c r="H23" s="409"/>
      <c r="I23" s="409"/>
      <c r="J23" s="409"/>
      <c r="K23" s="409"/>
      <c r="L23" s="409"/>
      <c r="M23" s="409"/>
      <c r="N23" s="409"/>
      <c r="O23" s="409"/>
      <c r="P23" s="409"/>
      <c r="Q23" s="409"/>
    </row>
    <row r="24" spans="2:17" x14ac:dyDescent="0.2">
      <c r="B24" s="409"/>
      <c r="C24" s="448" t="s">
        <v>1217</v>
      </c>
      <c r="D24" s="427">
        <v>686718</v>
      </c>
      <c r="E24" s="427">
        <v>849675</v>
      </c>
      <c r="F24" s="428">
        <v>1012633</v>
      </c>
      <c r="G24" s="449"/>
      <c r="H24" s="409"/>
      <c r="I24" s="409"/>
      <c r="J24" s="409"/>
      <c r="K24" s="409"/>
      <c r="L24" s="409"/>
      <c r="M24" s="409"/>
      <c r="N24" s="409"/>
      <c r="O24" s="409"/>
      <c r="P24" s="409"/>
      <c r="Q24" s="409"/>
    </row>
    <row r="25" spans="2:17" x14ac:dyDescent="0.2">
      <c r="B25" s="409"/>
      <c r="C25" s="452" t="s">
        <v>1164</v>
      </c>
      <c r="D25" s="427">
        <v>1888474</v>
      </c>
      <c r="E25" s="427">
        <v>2266168</v>
      </c>
      <c r="F25" s="428">
        <v>2643863</v>
      </c>
      <c r="G25" s="449"/>
      <c r="H25" s="409"/>
      <c r="I25" s="409"/>
      <c r="J25" s="409"/>
      <c r="K25" s="409"/>
      <c r="L25" s="409"/>
      <c r="M25" s="409"/>
      <c r="N25" s="409"/>
      <c r="O25" s="409"/>
      <c r="P25" s="409"/>
      <c r="Q25" s="409"/>
    </row>
    <row r="26" spans="2:17" x14ac:dyDescent="0.2">
      <c r="B26" s="409"/>
      <c r="C26" s="409"/>
      <c r="D26" s="409"/>
      <c r="E26" s="409"/>
      <c r="F26" s="454">
        <f>SUM(F9:F16)</f>
        <v>13847973</v>
      </c>
      <c r="G26" s="409"/>
      <c r="H26" s="409"/>
      <c r="I26" s="409"/>
      <c r="J26" s="409"/>
      <c r="K26" s="409"/>
      <c r="L26" s="409"/>
      <c r="M26" s="409"/>
      <c r="N26" s="409"/>
      <c r="O26" s="409"/>
      <c r="P26" s="409"/>
      <c r="Q26" s="409"/>
    </row>
    <row r="27" spans="2:17" x14ac:dyDescent="0.2">
      <c r="B27" s="409"/>
      <c r="C27" s="409"/>
      <c r="D27" s="409"/>
      <c r="E27" s="409"/>
      <c r="F27" s="455">
        <f>SUMIF($G$9:$G$16,G27,$F$9:$F$16)/$F$26</f>
        <v>0.6524895015321015</v>
      </c>
      <c r="G27" s="409" t="s">
        <v>513</v>
      </c>
      <c r="H27" s="409"/>
      <c r="I27" s="409"/>
      <c r="J27" s="409"/>
      <c r="K27" s="409"/>
      <c r="L27" s="409"/>
      <c r="M27" s="409"/>
      <c r="N27" s="409"/>
      <c r="O27" s="409"/>
      <c r="P27" s="409"/>
      <c r="Q27" s="409"/>
    </row>
    <row r="28" spans="2:17" x14ac:dyDescent="0.2">
      <c r="B28" s="409"/>
      <c r="C28" s="409"/>
      <c r="D28" s="409"/>
      <c r="E28" s="409"/>
      <c r="F28" s="455">
        <f>SUMIF($G$9:$G$16,G28,$F$9:$F$16)/$F$26</f>
        <v>0</v>
      </c>
      <c r="G28" s="409" t="s">
        <v>514</v>
      </c>
      <c r="H28" s="409"/>
      <c r="I28" s="409"/>
      <c r="J28" s="409"/>
      <c r="K28" s="409"/>
      <c r="L28" s="409"/>
      <c r="M28" s="409"/>
      <c r="N28" s="409"/>
      <c r="O28" s="409"/>
      <c r="P28" s="409"/>
      <c r="Q28" s="409"/>
    </row>
    <row r="29" spans="2:17" x14ac:dyDescent="0.2">
      <c r="B29" s="409"/>
      <c r="C29" s="409"/>
      <c r="D29" s="409"/>
      <c r="E29" s="409"/>
      <c r="F29" s="455">
        <f>SUMIF($G$9:$G$16,G29,$F$9:$F$16)/$F$26</f>
        <v>8.6155713908454334E-2</v>
      </c>
      <c r="G29" s="409" t="s">
        <v>515</v>
      </c>
      <c r="H29" s="409"/>
      <c r="I29" s="409"/>
      <c r="J29" s="409"/>
      <c r="K29" s="409"/>
      <c r="L29" s="409"/>
      <c r="M29" s="409"/>
      <c r="N29" s="409"/>
      <c r="O29" s="409"/>
      <c r="P29" s="409"/>
      <c r="Q29" s="409"/>
    </row>
    <row r="30" spans="2:17" x14ac:dyDescent="0.2">
      <c r="B30" s="409"/>
      <c r="C30" s="409"/>
      <c r="D30" s="409"/>
      <c r="E30" s="409"/>
      <c r="F30" s="455">
        <f>SUMIF($G$9:$G$16,G30,$F$9:$F$16)/$F$26</f>
        <v>0.16513174888483678</v>
      </c>
      <c r="G30" s="409" t="s">
        <v>276</v>
      </c>
      <c r="H30" s="409"/>
      <c r="I30" s="409"/>
      <c r="J30" s="409"/>
      <c r="K30" s="409"/>
      <c r="L30" s="409"/>
      <c r="M30" s="409"/>
      <c r="N30" s="409"/>
      <c r="O30" s="409"/>
      <c r="P30" s="409"/>
      <c r="Q30" s="409"/>
    </row>
    <row r="31" spans="2:17" x14ac:dyDescent="0.2">
      <c r="B31" s="409"/>
      <c r="C31" s="409"/>
      <c r="D31" s="409"/>
      <c r="E31" s="409"/>
      <c r="F31" s="455">
        <f>SUMIF($G$9:$G$16,G31,$F$9:$F$16)/$F$26</f>
        <v>9.6223035674607396E-2</v>
      </c>
      <c r="G31" s="409" t="s">
        <v>256</v>
      </c>
      <c r="H31" s="409"/>
      <c r="I31" s="409"/>
      <c r="J31" s="409"/>
      <c r="K31" s="409"/>
      <c r="L31" s="409"/>
      <c r="M31" s="409"/>
      <c r="N31" s="409"/>
      <c r="O31" s="409"/>
      <c r="P31" s="409"/>
      <c r="Q31" s="409"/>
    </row>
    <row r="32" spans="2:17" x14ac:dyDescent="0.2">
      <c r="B32" s="409"/>
      <c r="C32" s="409"/>
      <c r="D32" s="409"/>
      <c r="E32" s="409"/>
      <c r="F32" s="409"/>
      <c r="G32" s="409"/>
      <c r="H32" s="409"/>
      <c r="I32" s="409"/>
      <c r="J32" s="409"/>
      <c r="K32" s="409"/>
      <c r="L32" s="409"/>
      <c r="M32" s="409"/>
      <c r="N32" s="409"/>
      <c r="O32" s="409"/>
      <c r="P32" s="409"/>
      <c r="Q32" s="409"/>
    </row>
    <row r="33" spans="2:17" x14ac:dyDescent="0.2">
      <c r="B33" s="409" t="s">
        <v>1310</v>
      </c>
      <c r="C33" s="409"/>
      <c r="D33" s="409"/>
      <c r="E33" s="409"/>
      <c r="F33" s="409"/>
      <c r="G33" s="409"/>
      <c r="H33" s="409"/>
      <c r="I33" s="409"/>
      <c r="J33" s="409"/>
      <c r="K33" s="409"/>
      <c r="L33" s="409"/>
      <c r="M33" s="409"/>
      <c r="N33" s="409"/>
      <c r="O33" s="409"/>
      <c r="P33" s="409"/>
      <c r="Q33" s="409"/>
    </row>
    <row r="34" spans="2:17" x14ac:dyDescent="0.2">
      <c r="B34" s="409" t="s">
        <v>1308</v>
      </c>
      <c r="C34" s="409"/>
      <c r="D34" s="409"/>
      <c r="E34" s="409"/>
      <c r="F34" s="456">
        <v>9.2605347751535935E-2</v>
      </c>
      <c r="G34" s="409" t="s">
        <v>513</v>
      </c>
      <c r="H34" s="409"/>
      <c r="I34" s="409"/>
      <c r="J34" s="409"/>
      <c r="K34" s="409"/>
      <c r="L34" s="409"/>
      <c r="M34" s="409"/>
      <c r="N34" s="409"/>
      <c r="O34" s="409"/>
      <c r="P34" s="409"/>
      <c r="Q34" s="409"/>
    </row>
    <row r="35" spans="2:17" x14ac:dyDescent="0.2">
      <c r="B35" s="409"/>
      <c r="C35" s="409"/>
      <c r="D35" s="409"/>
      <c r="E35" s="409"/>
      <c r="F35" s="456">
        <v>0</v>
      </c>
      <c r="G35" s="409" t="s">
        <v>514</v>
      </c>
      <c r="H35" s="409"/>
      <c r="I35" s="409"/>
      <c r="J35" s="409"/>
      <c r="K35" s="409"/>
      <c r="L35" s="409"/>
      <c r="M35" s="409"/>
      <c r="N35" s="409"/>
      <c r="O35" s="409"/>
      <c r="P35" s="409"/>
      <c r="Q35" s="409"/>
    </row>
    <row r="36" spans="2:17" x14ac:dyDescent="0.2">
      <c r="B36" s="409"/>
      <c r="C36" s="409"/>
      <c r="D36" s="409"/>
      <c r="E36" s="409"/>
      <c r="F36" s="456">
        <v>0.46650435493962711</v>
      </c>
      <c r="G36" s="409" t="s">
        <v>515</v>
      </c>
      <c r="H36" s="409"/>
      <c r="I36" s="409"/>
      <c r="J36" s="409"/>
      <c r="K36" s="409"/>
      <c r="L36" s="409"/>
      <c r="M36" s="409"/>
      <c r="N36" s="409"/>
      <c r="O36" s="409"/>
      <c r="P36" s="409"/>
      <c r="Q36" s="409"/>
    </row>
    <row r="37" spans="2:17" x14ac:dyDescent="0.2">
      <c r="B37" s="409"/>
      <c r="C37" s="409"/>
      <c r="D37" s="409"/>
      <c r="E37" s="409"/>
      <c r="F37" s="456">
        <v>0.32033309924075415</v>
      </c>
      <c r="G37" s="409" t="s">
        <v>276</v>
      </c>
      <c r="H37" s="409"/>
      <c r="I37" s="409"/>
      <c r="J37" s="409"/>
      <c r="K37" s="409"/>
      <c r="L37" s="409"/>
      <c r="M37" s="409"/>
      <c r="N37" s="409"/>
      <c r="O37" s="409"/>
      <c r="P37" s="409"/>
      <c r="Q37" s="409"/>
    </row>
    <row r="38" spans="2:17" x14ac:dyDescent="0.2">
      <c r="B38" s="409"/>
      <c r="C38" s="409"/>
      <c r="D38" s="409"/>
      <c r="E38" s="409"/>
      <c r="F38" s="456">
        <v>0.12055719806808297</v>
      </c>
      <c r="G38" s="409" t="s">
        <v>256</v>
      </c>
      <c r="H38" s="409"/>
      <c r="I38" s="409"/>
      <c r="J38" s="409"/>
      <c r="K38" s="409"/>
      <c r="L38" s="409"/>
      <c r="M38" s="409"/>
      <c r="N38" s="409"/>
      <c r="O38" s="409"/>
      <c r="P38" s="409"/>
      <c r="Q38" s="409"/>
    </row>
    <row r="39" spans="2:17" x14ac:dyDescent="0.2">
      <c r="B39" s="409"/>
      <c r="C39" s="409"/>
      <c r="D39" s="409"/>
      <c r="E39" s="409"/>
      <c r="F39" s="409"/>
      <c r="G39" s="409"/>
      <c r="H39" s="409"/>
      <c r="I39" s="409"/>
      <c r="J39" s="409"/>
      <c r="K39" s="409"/>
      <c r="L39" s="409"/>
      <c r="M39" s="409"/>
      <c r="N39" s="409"/>
      <c r="O39" s="409"/>
      <c r="P39" s="409"/>
      <c r="Q39" s="409"/>
    </row>
    <row r="40" spans="2:17" x14ac:dyDescent="0.2">
      <c r="B40" s="409"/>
      <c r="C40" s="409" t="s">
        <v>1312</v>
      </c>
      <c r="D40" s="409"/>
      <c r="E40" s="409"/>
      <c r="F40" s="409"/>
      <c r="G40" s="409"/>
      <c r="H40" s="409"/>
      <c r="I40" s="409"/>
      <c r="J40" s="409"/>
      <c r="K40" s="409"/>
      <c r="L40" s="409"/>
      <c r="M40" s="409"/>
      <c r="N40" s="409"/>
      <c r="O40" s="409"/>
      <c r="P40" s="409"/>
      <c r="Q40" s="409"/>
    </row>
    <row r="41" spans="2:17" x14ac:dyDescent="0.2">
      <c r="B41" s="409"/>
      <c r="C41" s="409" t="s">
        <v>1313</v>
      </c>
      <c r="D41" s="409">
        <v>0.5</v>
      </c>
      <c r="E41" s="409"/>
      <c r="F41" s="456">
        <f>$D$41*F27+$D$42*F34</f>
        <v>0.37254742464181873</v>
      </c>
      <c r="G41" s="409" t="s">
        <v>513</v>
      </c>
      <c r="H41" s="409"/>
      <c r="I41" s="409"/>
      <c r="J41" s="409"/>
      <c r="K41" s="409"/>
      <c r="L41" s="409"/>
      <c r="M41" s="409"/>
      <c r="N41" s="409"/>
      <c r="O41" s="409"/>
      <c r="P41" s="409"/>
      <c r="Q41" s="409"/>
    </row>
    <row r="42" spans="2:17" x14ac:dyDescent="0.2">
      <c r="B42" s="409"/>
      <c r="C42" s="409" t="s">
        <v>1308</v>
      </c>
      <c r="D42" s="409">
        <f>1-D41</f>
        <v>0.5</v>
      </c>
      <c r="E42" s="409"/>
      <c r="F42" s="456">
        <f t="shared" ref="F42:F45" si="1">$D$41*F28+$D$42*F35</f>
        <v>0</v>
      </c>
      <c r="G42" s="409" t="s">
        <v>514</v>
      </c>
      <c r="H42" s="409"/>
      <c r="I42" s="409"/>
      <c r="J42" s="409"/>
      <c r="K42" s="409"/>
      <c r="L42" s="409"/>
      <c r="M42" s="409"/>
      <c r="N42" s="409"/>
      <c r="O42" s="409"/>
      <c r="P42" s="409"/>
      <c r="Q42" s="409"/>
    </row>
    <row r="43" spans="2:17" x14ac:dyDescent="0.2">
      <c r="B43" s="409"/>
      <c r="C43" s="409"/>
      <c r="D43" s="409"/>
      <c r="E43" s="409"/>
      <c r="F43" s="456">
        <f t="shared" si="1"/>
        <v>0.27633003442404069</v>
      </c>
      <c r="G43" s="409" t="s">
        <v>515</v>
      </c>
      <c r="H43" s="409"/>
      <c r="I43" s="409"/>
      <c r="J43" s="409"/>
      <c r="K43" s="409"/>
      <c r="L43" s="409"/>
      <c r="M43" s="409"/>
      <c r="N43" s="409"/>
      <c r="O43" s="409"/>
      <c r="P43" s="409"/>
      <c r="Q43" s="409"/>
    </row>
    <row r="44" spans="2:17" x14ac:dyDescent="0.2">
      <c r="F44" s="456">
        <f t="shared" si="1"/>
        <v>0.24273242406279547</v>
      </c>
      <c r="G44" s="409" t="s">
        <v>276</v>
      </c>
      <c r="H44" s="409"/>
      <c r="I44" s="409"/>
      <c r="J44" s="409"/>
      <c r="K44" s="409"/>
      <c r="L44" s="409"/>
      <c r="M44" s="409"/>
      <c r="N44" s="409"/>
      <c r="O44" s="409"/>
      <c r="P44" s="409"/>
      <c r="Q44" s="409"/>
    </row>
    <row r="45" spans="2:17" x14ac:dyDescent="0.2">
      <c r="F45" s="456">
        <f t="shared" si="1"/>
        <v>0.10839011687134519</v>
      </c>
      <c r="G45" s="409" t="s">
        <v>256</v>
      </c>
      <c r="H45" s="409"/>
      <c r="I45" s="409"/>
      <c r="J45" s="409"/>
      <c r="K45" s="409"/>
      <c r="L45" s="409"/>
      <c r="M45" s="409"/>
      <c r="N45" s="409"/>
      <c r="O45" s="409"/>
      <c r="P45" s="409"/>
      <c r="Q45" s="409"/>
    </row>
    <row r="46" spans="2:17" x14ac:dyDescent="0.2">
      <c r="H46" s="409"/>
      <c r="I46" s="409"/>
      <c r="J46" s="409"/>
      <c r="K46" s="409"/>
      <c r="L46" s="409"/>
      <c r="M46" s="409"/>
      <c r="N46" s="409"/>
      <c r="O46" s="409"/>
      <c r="P46" s="409"/>
      <c r="Q46" s="409"/>
    </row>
    <row r="47" spans="2:17" x14ac:dyDescent="0.2">
      <c r="H47" s="409"/>
      <c r="I47" s="409"/>
      <c r="J47" s="409"/>
      <c r="K47" s="409"/>
      <c r="L47" s="409"/>
      <c r="M47" s="409"/>
      <c r="N47" s="409"/>
      <c r="O47" s="409"/>
      <c r="P47" s="409"/>
      <c r="Q47" s="409"/>
    </row>
    <row r="48" spans="2:17" x14ac:dyDescent="0.2">
      <c r="H48" s="409"/>
      <c r="I48" s="409"/>
      <c r="J48" s="409"/>
      <c r="K48" s="409"/>
      <c r="L48" s="409"/>
      <c r="M48" s="409"/>
      <c r="N48" s="409"/>
      <c r="O48" s="409"/>
      <c r="P48" s="409"/>
      <c r="Q48" s="409"/>
    </row>
    <row r="49" spans="2:17" x14ac:dyDescent="0.2">
      <c r="H49" s="409"/>
      <c r="I49" s="409"/>
      <c r="J49" s="409"/>
      <c r="K49" s="409"/>
      <c r="L49" s="409"/>
      <c r="M49" s="409"/>
      <c r="N49" s="409"/>
      <c r="O49" s="409"/>
      <c r="P49" s="409"/>
      <c r="Q49" s="409"/>
    </row>
    <row r="50" spans="2:17" x14ac:dyDescent="0.2">
      <c r="H50" s="409"/>
      <c r="I50" s="409"/>
      <c r="J50" s="409"/>
      <c r="K50" s="409"/>
      <c r="L50" s="409"/>
      <c r="M50" s="409"/>
      <c r="N50" s="409"/>
      <c r="O50" s="409"/>
      <c r="P50" s="409"/>
      <c r="Q50" s="409"/>
    </row>
    <row r="51" spans="2:17" x14ac:dyDescent="0.2">
      <c r="B51" s="409" t="s">
        <v>1309</v>
      </c>
      <c r="C51" s="409"/>
      <c r="D51" s="409"/>
      <c r="E51" s="409"/>
      <c r="F51" s="456">
        <v>8.3071830343431657E-2</v>
      </c>
      <c r="G51" s="409" t="s">
        <v>513</v>
      </c>
      <c r="H51" s="409"/>
      <c r="I51" s="409"/>
      <c r="J51" s="409"/>
      <c r="K51" s="409"/>
      <c r="L51" s="409"/>
      <c r="M51" s="409"/>
      <c r="N51" s="409"/>
      <c r="O51" s="409"/>
      <c r="P51" s="409"/>
      <c r="Q51" s="409"/>
    </row>
    <row r="52" spans="2:17" x14ac:dyDescent="0.2">
      <c r="B52" s="409"/>
      <c r="C52" s="409"/>
      <c r="D52" s="409"/>
      <c r="E52" s="409"/>
      <c r="F52" s="456">
        <v>0</v>
      </c>
      <c r="G52" s="409" t="s">
        <v>514</v>
      </c>
      <c r="H52" s="409"/>
      <c r="I52" s="409"/>
      <c r="J52" s="409"/>
      <c r="K52" s="409"/>
      <c r="L52" s="409"/>
      <c r="M52" s="409"/>
      <c r="N52" s="409"/>
      <c r="O52" s="409"/>
      <c r="P52" s="409"/>
      <c r="Q52" s="409"/>
    </row>
    <row r="53" spans="2:17" x14ac:dyDescent="0.2">
      <c r="B53" s="409"/>
      <c r="C53" s="409"/>
      <c r="D53" s="409"/>
      <c r="E53" s="409"/>
      <c r="F53" s="456">
        <v>0.59519421793121974</v>
      </c>
      <c r="G53" s="409" t="s">
        <v>515</v>
      </c>
      <c r="H53" s="409"/>
      <c r="I53" s="409"/>
      <c r="J53" s="409"/>
      <c r="K53" s="409"/>
      <c r="L53" s="409"/>
      <c r="M53" s="409"/>
      <c r="N53" s="409"/>
      <c r="O53" s="409"/>
      <c r="P53" s="409"/>
      <c r="Q53" s="409"/>
    </row>
    <row r="54" spans="2:17" x14ac:dyDescent="0.2">
      <c r="B54" s="409"/>
      <c r="C54" s="409"/>
      <c r="D54" s="409"/>
      <c r="E54" s="409"/>
      <c r="F54" s="456">
        <v>0.16361766967800323</v>
      </c>
      <c r="G54" s="409" t="s">
        <v>276</v>
      </c>
      <c r="H54" s="409"/>
      <c r="I54" s="409"/>
      <c r="J54" s="409"/>
      <c r="K54" s="409"/>
      <c r="L54" s="409"/>
      <c r="M54" s="409"/>
      <c r="N54" s="409"/>
      <c r="O54" s="409"/>
      <c r="P54" s="409"/>
      <c r="Q54" s="409"/>
    </row>
    <row r="55" spans="2:17" x14ac:dyDescent="0.2">
      <c r="B55" s="409"/>
      <c r="C55" s="409"/>
      <c r="D55" s="409"/>
      <c r="E55" s="409"/>
      <c r="F55" s="456">
        <v>0.1581162820473454</v>
      </c>
      <c r="G55" s="409" t="s">
        <v>256</v>
      </c>
    </row>
    <row r="56" spans="2:17" x14ac:dyDescent="0.2">
      <c r="B56" s="409"/>
      <c r="C56" s="409"/>
      <c r="D56" s="409"/>
      <c r="E56" s="409"/>
      <c r="F56" s="409"/>
      <c r="G56" s="409"/>
    </row>
    <row r="57" spans="2:17" x14ac:dyDescent="0.2">
      <c r="B57" s="409"/>
      <c r="C57" s="409" t="s">
        <v>1311</v>
      </c>
      <c r="D57" s="409"/>
      <c r="E57" s="409"/>
      <c r="F57" s="409"/>
      <c r="G57" s="409"/>
    </row>
    <row r="58" spans="2:17" x14ac:dyDescent="0.2">
      <c r="C58" s="1" t="s">
        <v>1308</v>
      </c>
      <c r="D58">
        <v>0.5</v>
      </c>
      <c r="F58" s="64">
        <f>F34*$D$58+F51*$D$59</f>
        <v>8.7838589047483789E-2</v>
      </c>
      <c r="G58" s="409" t="s">
        <v>513</v>
      </c>
    </row>
    <row r="59" spans="2:17" x14ac:dyDescent="0.2">
      <c r="C59" s="1" t="s">
        <v>1309</v>
      </c>
      <c r="D59">
        <v>0.5</v>
      </c>
      <c r="F59" s="64">
        <f t="shared" ref="F59:F62" si="2">F35*$D$58+F52*$D$59</f>
        <v>0</v>
      </c>
      <c r="G59" s="409" t="s">
        <v>514</v>
      </c>
    </row>
    <row r="60" spans="2:17" x14ac:dyDescent="0.2">
      <c r="F60" s="64">
        <f t="shared" si="2"/>
        <v>0.5308492864354234</v>
      </c>
      <c r="G60" s="409" t="s">
        <v>515</v>
      </c>
    </row>
    <row r="61" spans="2:17" x14ac:dyDescent="0.2">
      <c r="F61" s="64">
        <f t="shared" si="2"/>
        <v>0.24197538445937869</v>
      </c>
      <c r="G61" s="409" t="s">
        <v>276</v>
      </c>
    </row>
    <row r="62" spans="2:17" x14ac:dyDescent="0.2">
      <c r="F62" s="64">
        <f t="shared" si="2"/>
        <v>0.13933674005771418</v>
      </c>
      <c r="G62" s="409" t="s">
        <v>256</v>
      </c>
    </row>
  </sheetData>
  <mergeCells count="1">
    <mergeCell ref="C8:G8"/>
  </mergeCells>
  <hyperlinks>
    <hyperlink ref="C5" r:id="rId1" xr:uid="{A7C7943C-C7B0-4EE4-B669-69177BD1DF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sheetViews>
  <sheetFormatPr defaultColWidth="8.85546875" defaultRowHeight="15.75" outlineLevelRow="1" x14ac:dyDescent="0.35"/>
  <cols>
    <col min="1" max="1" width="24.85546875" style="77" customWidth="1"/>
    <col min="2" max="2" width="10.42578125" style="77" customWidth="1"/>
    <col min="3" max="3" width="36.7109375" style="77" customWidth="1"/>
    <col min="4" max="4" width="14.5703125" style="77" customWidth="1"/>
    <col min="5" max="5" width="12.140625" style="77" customWidth="1"/>
    <col min="6" max="6" width="16.5703125" style="77" customWidth="1"/>
    <col min="7" max="9" width="12.140625" style="77" customWidth="1"/>
    <col min="10" max="10" width="21" style="77" customWidth="1"/>
    <col min="11" max="11" width="21.28515625" style="77" customWidth="1"/>
    <col min="12" max="13" width="14.5703125" style="77" customWidth="1"/>
    <col min="14" max="14" width="15.85546875" style="77" customWidth="1"/>
    <col min="15" max="15" width="16.28515625" style="77" customWidth="1"/>
    <col min="16" max="16" width="18.5703125" style="77" customWidth="1"/>
    <col min="17" max="17" width="29" style="77" customWidth="1"/>
    <col min="18" max="18" width="14.28515625" style="77" customWidth="1"/>
    <col min="19" max="19" width="14" style="77" customWidth="1"/>
    <col min="20" max="20" width="8.85546875" style="77"/>
    <col min="21" max="21" width="9" style="77" customWidth="1"/>
    <col min="22" max="22" width="8.85546875" style="77"/>
    <col min="23" max="23" width="14.5703125" style="77" customWidth="1"/>
    <col min="24" max="24" width="104.7109375" style="77" customWidth="1"/>
    <col min="25" max="25" width="20.42578125" style="77" customWidth="1"/>
    <col min="26" max="26" width="23.85546875" style="77" customWidth="1"/>
    <col min="27" max="29" width="8.85546875" style="77"/>
    <col min="30" max="30" width="13.7109375" style="77" bestFit="1" customWidth="1"/>
    <col min="31" max="36" width="8.85546875" style="77"/>
    <col min="37" max="37" width="36.7109375" style="77" customWidth="1"/>
    <col min="38" max="38" width="16.7109375" style="77" customWidth="1"/>
    <col min="39" max="16384" width="8.85546875" style="77"/>
  </cols>
  <sheetData>
    <row r="2" spans="1:19" s="190" customFormat="1" x14ac:dyDescent="0.35">
      <c r="A2" s="191" t="s">
        <v>874</v>
      </c>
      <c r="B2" s="191"/>
    </row>
    <row r="4" spans="1:19" ht="18" customHeight="1" x14ac:dyDescent="0.35">
      <c r="C4" s="266"/>
      <c r="D4" s="479" t="s">
        <v>873</v>
      </c>
      <c r="E4" s="480"/>
      <c r="F4" s="480"/>
      <c r="G4" s="480"/>
      <c r="H4" s="481"/>
      <c r="I4" s="479" t="s">
        <v>872</v>
      </c>
      <c r="J4" s="480"/>
      <c r="K4" s="480"/>
      <c r="L4" s="480"/>
      <c r="M4" s="481"/>
      <c r="N4" s="479" t="s">
        <v>871</v>
      </c>
      <c r="O4" s="480"/>
      <c r="P4" s="480"/>
      <c r="Q4" s="480"/>
      <c r="R4" s="480"/>
      <c r="S4" s="481"/>
    </row>
    <row r="5" spans="1:19" s="263" customFormat="1" ht="46.9" customHeight="1" x14ac:dyDescent="0.2">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1:19" x14ac:dyDescent="0.35">
      <c r="C6" s="83" t="str">
        <f>D90</f>
        <v>Tower - steel</v>
      </c>
      <c r="D6" s="261">
        <f>W96</f>
        <v>106.67548116432459</v>
      </c>
      <c r="E6" s="261">
        <f>D6*(1+$D$19)</f>
        <v>117.43990913247036</v>
      </c>
      <c r="F6" s="261">
        <f>O102</f>
        <v>121.53518852944353</v>
      </c>
      <c r="G6" s="256">
        <f t="shared" ref="G6:G12" si="0">F6/D6-1</f>
        <v>0.13929824550993875</v>
      </c>
      <c r="H6" s="256">
        <f t="shared" ref="H6:H12" si="1">F6/E6-1</f>
        <v>3.4871275252382539E-2</v>
      </c>
      <c r="I6" s="258"/>
      <c r="J6" s="259">
        <f>I6*(1+$D$19)</f>
        <v>0</v>
      </c>
      <c r="K6" s="258"/>
      <c r="L6" s="86" t="e">
        <f>K6/I6-1</f>
        <v>#DIV/0!</v>
      </c>
      <c r="M6" s="86" t="e">
        <f>K6/J6-1</f>
        <v>#DIV/0!</v>
      </c>
      <c r="N6" s="257" t="s">
        <v>858</v>
      </c>
      <c r="O6" s="257" t="s">
        <v>781</v>
      </c>
      <c r="P6" s="257" t="s">
        <v>857</v>
      </c>
      <c r="Q6" s="257">
        <v>550</v>
      </c>
      <c r="R6" s="257" t="s">
        <v>856</v>
      </c>
      <c r="S6" s="256">
        <f>'[16]From SAM'!D29</f>
        <v>0.26942155512861127</v>
      </c>
    </row>
    <row r="7" spans="1:19" x14ac:dyDescent="0.35">
      <c r="C7" s="83" t="str">
        <f>D105</f>
        <v>Tower - concrete</v>
      </c>
      <c r="D7" s="261">
        <f>W111</f>
        <v>76.8123608823241</v>
      </c>
      <c r="E7" s="261">
        <f>D7*(1+$D$19)</f>
        <v>84.563355925949139</v>
      </c>
      <c r="F7" s="261">
        <f>O117</f>
        <v>87.973019005525273</v>
      </c>
      <c r="G7" s="256">
        <f t="shared" si="0"/>
        <v>0.14529768379726282</v>
      </c>
      <c r="H7" s="256">
        <f t="shared" si="1"/>
        <v>4.0320810855258848E-2</v>
      </c>
      <c r="I7" s="258"/>
      <c r="J7" s="259">
        <f>I7*(1+$D$19)</f>
        <v>0</v>
      </c>
      <c r="K7" s="258"/>
      <c r="L7" s="86" t="e">
        <f>K7/I7-1</f>
        <v>#DIV/0!</v>
      </c>
      <c r="M7" s="86" t="e">
        <f>K7/J7-1</f>
        <v>#DIV/0!</v>
      </c>
      <c r="N7" s="262"/>
      <c r="O7" s="257" t="s">
        <v>855</v>
      </c>
      <c r="P7" s="257"/>
      <c r="Q7" s="257">
        <v>250</v>
      </c>
      <c r="R7" s="257">
        <f>ROUND(Q7*$F$34,-1)</f>
        <v>480</v>
      </c>
      <c r="S7" s="256">
        <f>'[16]From SAM'!D24</f>
        <v>0.27312447381898247</v>
      </c>
    </row>
    <row r="8" spans="1:19" x14ac:dyDescent="0.35">
      <c r="C8" s="83" t="str">
        <f>D120</f>
        <v>Nacelle</v>
      </c>
      <c r="D8" s="261">
        <f>F139</f>
        <v>488</v>
      </c>
      <c r="E8" s="261">
        <f>D8*(1+$D$19)</f>
        <v>537.2431886982846</v>
      </c>
      <c r="F8" s="261">
        <f>O139</f>
        <v>526.01669655436785</v>
      </c>
      <c r="G8" s="256">
        <f t="shared" si="0"/>
        <v>7.7903066709770208E-2</v>
      </c>
      <c r="H8" s="256">
        <f t="shared" si="1"/>
        <v>-2.0896481109640486E-2</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0.30161258163728344</v>
      </c>
    </row>
    <row r="9" spans="1:19" x14ac:dyDescent="0.35">
      <c r="C9" s="83" t="str">
        <f>D142</f>
        <v>Rotor Hub</v>
      </c>
      <c r="D9" s="261">
        <f>F154</f>
        <v>104</v>
      </c>
      <c r="E9" s="261">
        <f>D9*(1+$D$19)</f>
        <v>114.49445005045408</v>
      </c>
      <c r="F9" s="261">
        <f>O154</f>
        <v>105.69877761465656</v>
      </c>
      <c r="G9" s="256">
        <f t="shared" si="0"/>
        <v>1.6334400140928462E-2</v>
      </c>
      <c r="H9" s="256">
        <f t="shared" si="1"/>
        <v>-7.6821823520018095E-2</v>
      </c>
      <c r="I9" s="260"/>
      <c r="J9" s="259">
        <f>I9*(1+$D$19)</f>
        <v>0</v>
      </c>
      <c r="K9" s="258"/>
      <c r="L9" s="86" t="e">
        <f>K9/I9-1</f>
        <v>#DIV/0!</v>
      </c>
      <c r="M9" s="86" t="e">
        <f>K9/J9-1</f>
        <v>#DIV/0!</v>
      </c>
      <c r="N9" s="257"/>
      <c r="O9" s="257"/>
      <c r="P9" s="257"/>
      <c r="Q9" s="257"/>
      <c r="R9" s="257">
        <f>ROUND(Q9*$F$34,-1)</f>
        <v>0</v>
      </c>
      <c r="S9" s="256">
        <f>S8</f>
        <v>0.30161258163728344</v>
      </c>
    </row>
    <row r="10" spans="1:19" x14ac:dyDescent="0.35">
      <c r="C10" s="83" t="str">
        <f>D157</f>
        <v>Blades</v>
      </c>
      <c r="D10" s="261">
        <f>F169</f>
        <v>184</v>
      </c>
      <c r="E10" s="261">
        <f>D10*(1+$D$19)</f>
        <v>202.56710393541877</v>
      </c>
      <c r="F10" s="261">
        <f>O169</f>
        <v>280.19879623758533</v>
      </c>
      <c r="G10" s="256">
        <f t="shared" si="0"/>
        <v>0.52281954476948544</v>
      </c>
      <c r="H10" s="256">
        <f t="shared" si="1"/>
        <v>0.38323938484560971</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0.27312447381898247</v>
      </c>
    </row>
    <row r="11" spans="1:19" x14ac:dyDescent="0.35">
      <c r="C11" s="255" t="s">
        <v>853</v>
      </c>
      <c r="D11" s="254">
        <f>D6+D8+D9+D10</f>
        <v>882.67548116432454</v>
      </c>
      <c r="E11" s="254">
        <f>E6+E8+E9+E10</f>
        <v>971.74465181662777</v>
      </c>
      <c r="F11" s="254">
        <f>F6+F8+F9+F10</f>
        <v>1033.4494589360534</v>
      </c>
      <c r="G11" s="253">
        <f t="shared" si="0"/>
        <v>0.17081473428132954</v>
      </c>
      <c r="H11" s="253">
        <f t="shared" si="1"/>
        <v>6.3498993283957361E-2</v>
      </c>
      <c r="I11" s="252"/>
      <c r="J11" s="252"/>
      <c r="K11" s="252"/>
      <c r="L11" s="252"/>
      <c r="M11" s="252"/>
      <c r="N11" s="252"/>
      <c r="O11" s="252"/>
      <c r="P11" s="252"/>
      <c r="Q11" s="252"/>
      <c r="R11" s="252"/>
      <c r="S11" s="252"/>
    </row>
    <row r="12" spans="1:19" x14ac:dyDescent="0.35">
      <c r="C12" s="255" t="s">
        <v>852</v>
      </c>
      <c r="D12" s="254">
        <f>D7+D8+D9+D10</f>
        <v>852.81236088232413</v>
      </c>
      <c r="E12" s="254">
        <f>E7+E8+E9+E10</f>
        <v>938.8680986101067</v>
      </c>
      <c r="F12" s="254">
        <f>F7+F8+F9+F10</f>
        <v>999.88728941213503</v>
      </c>
      <c r="G12" s="253">
        <f t="shared" si="0"/>
        <v>0.17245872043604815</v>
      </c>
      <c r="H12" s="253">
        <f t="shared" si="1"/>
        <v>6.4992293265007772E-2</v>
      </c>
      <c r="I12" s="252"/>
      <c r="J12" s="252"/>
      <c r="K12" s="252"/>
      <c r="L12" s="252"/>
      <c r="M12" s="252"/>
      <c r="N12" s="252"/>
      <c r="O12" s="252"/>
      <c r="P12" s="252"/>
      <c r="Q12" s="252"/>
      <c r="R12" s="252"/>
      <c r="S12" s="252"/>
    </row>
    <row r="13" spans="1:19" x14ac:dyDescent="0.35">
      <c r="C13" s="193"/>
      <c r="D13" s="192"/>
      <c r="E13" s="192"/>
      <c r="F13" s="192"/>
      <c r="G13" s="192"/>
      <c r="H13" s="192"/>
      <c r="I13" s="92"/>
      <c r="K13" s="92"/>
      <c r="L13" s="92"/>
      <c r="M13" s="92"/>
    </row>
    <row r="14" spans="1:19" s="190" customFormat="1" x14ac:dyDescent="0.35">
      <c r="A14" s="191" t="s">
        <v>851</v>
      </c>
      <c r="B14" s="191"/>
    </row>
    <row r="15" spans="1:19" ht="16.5" thickBot="1" x14ac:dyDescent="0.4"/>
    <row r="16" spans="1:19" ht="16.5" thickBot="1" x14ac:dyDescent="0.4">
      <c r="C16" s="106" t="s">
        <v>850</v>
      </c>
      <c r="D16" s="251">
        <f>'[16]Key assumptions'!C4</f>
        <v>14.4</v>
      </c>
      <c r="E16" s="192"/>
      <c r="F16" s="77" t="s">
        <v>849</v>
      </c>
    </row>
    <row r="17" spans="3:23" ht="16.5" thickBot="1" x14ac:dyDescent="0.4">
      <c r="C17" s="106" t="s">
        <v>848</v>
      </c>
      <c r="D17" s="251">
        <f>'[16]Key assumptions'!C5</f>
        <v>0.83526682134570773</v>
      </c>
      <c r="E17" s="192"/>
      <c r="F17" s="77" t="s">
        <v>847</v>
      </c>
    </row>
    <row r="18" spans="3:23" ht="16.5" thickBot="1" x14ac:dyDescent="0.4">
      <c r="C18" s="106" t="s">
        <v>846</v>
      </c>
      <c r="D18" s="251">
        <f>'[16]Key assumptions'!C6</f>
        <v>17.239999999999998</v>
      </c>
      <c r="E18" s="192"/>
      <c r="F18" s="77" t="str">
        <f>F16</f>
        <v>Reserve Bank (april 2021)</v>
      </c>
    </row>
    <row r="19" spans="3:23" ht="16.5" thickBot="1" x14ac:dyDescent="0.4">
      <c r="C19" s="106" t="s">
        <v>845</v>
      </c>
      <c r="D19" s="250">
        <f>'[16]Key assumptions'!C7</f>
        <v>0.10090817356205853</v>
      </c>
      <c r="E19" s="249"/>
      <c r="F19" s="77" t="s">
        <v>844</v>
      </c>
      <c r="H19" s="77" t="s">
        <v>843</v>
      </c>
      <c r="N19" s="245"/>
      <c r="O19" s="192"/>
    </row>
    <row r="20" spans="3:23" x14ac:dyDescent="0.35">
      <c r="C20" s="193"/>
      <c r="D20" s="192"/>
      <c r="E20" s="192"/>
      <c r="I20" s="246"/>
      <c r="K20" s="246"/>
      <c r="L20" s="246"/>
      <c r="M20" s="246"/>
      <c r="N20" s="245"/>
      <c r="O20" s="192"/>
    </row>
    <row r="21" spans="3:23" x14ac:dyDescent="0.35">
      <c r="C21" s="248"/>
      <c r="D21" s="247">
        <v>43466</v>
      </c>
      <c r="E21" s="247">
        <v>43647</v>
      </c>
      <c r="F21" s="247">
        <v>43831</v>
      </c>
      <c r="H21" s="246"/>
      <c r="J21" s="246"/>
      <c r="K21" s="246"/>
      <c r="L21" s="246"/>
      <c r="M21" s="245"/>
      <c r="N21" s="192"/>
    </row>
    <row r="22" spans="3:23" x14ac:dyDescent="0.35">
      <c r="C22" s="244" t="s">
        <v>842</v>
      </c>
      <c r="D22" s="243">
        <f>'[16]Key assumptions'!C12</f>
        <v>0</v>
      </c>
      <c r="E22" s="243">
        <f>'[16]Key assumptions'!D12</f>
        <v>0</v>
      </c>
      <c r="F22" s="243">
        <f>'[16]Key assumptions'!E12</f>
        <v>20.9</v>
      </c>
      <c r="H22" s="246"/>
      <c r="J22" s="246"/>
      <c r="K22" s="246"/>
      <c r="L22" s="246"/>
      <c r="M22" s="245"/>
      <c r="N22" s="192"/>
    </row>
    <row r="23" spans="3:23" x14ac:dyDescent="0.35">
      <c r="C23" s="244" t="s">
        <v>839</v>
      </c>
      <c r="D23" s="243">
        <f>'[16]Key assumptions'!C13</f>
        <v>0</v>
      </c>
      <c r="E23" s="243">
        <f>'[16]Key assumptions'!D13</f>
        <v>0</v>
      </c>
      <c r="F23" s="243">
        <f>'[16]Key assumptions'!E13</f>
        <v>50.9</v>
      </c>
      <c r="H23" s="246"/>
      <c r="J23" s="246"/>
      <c r="K23" s="246"/>
      <c r="L23" s="246"/>
      <c r="M23" s="245"/>
      <c r="N23" s="192"/>
    </row>
    <row r="24" spans="3:23" x14ac:dyDescent="0.35">
      <c r="C24" s="244"/>
      <c r="D24" s="243">
        <f>'[16]Key assumptions'!C14</f>
        <v>0</v>
      </c>
      <c r="E24" s="243">
        <f>'[16]Key assumptions'!D14</f>
        <v>0</v>
      </c>
      <c r="F24" s="243">
        <f>'[16]Key assumptions'!E14</f>
        <v>2.4354066985645932</v>
      </c>
      <c r="H24" s="92"/>
      <c r="J24" s="92"/>
      <c r="K24" s="92"/>
      <c r="L24" s="92"/>
    </row>
    <row r="25" spans="3:23" x14ac:dyDescent="0.35">
      <c r="C25" s="193"/>
      <c r="D25" s="192"/>
      <c r="E25" s="192"/>
      <c r="F25" s="192"/>
      <c r="H25" s="92"/>
      <c r="J25" s="92"/>
      <c r="K25" s="92"/>
      <c r="L25" s="92"/>
    </row>
    <row r="26" spans="3:23" x14ac:dyDescent="0.35">
      <c r="C26" s="248"/>
      <c r="D26" s="247">
        <v>43466</v>
      </c>
      <c r="E26" s="247">
        <v>43647</v>
      </c>
      <c r="F26" s="247">
        <v>43831</v>
      </c>
      <c r="H26" s="246"/>
      <c r="J26" s="246"/>
      <c r="K26" s="246"/>
      <c r="L26" s="246"/>
      <c r="M26" s="245"/>
      <c r="N26" s="192"/>
    </row>
    <row r="27" spans="3:23" x14ac:dyDescent="0.35">
      <c r="C27" s="244" t="s">
        <v>841</v>
      </c>
      <c r="D27" s="243">
        <f>'[16]Key assumptions'!C17</f>
        <v>0</v>
      </c>
      <c r="E27" s="243">
        <f>'[16]Key assumptions'!D17</f>
        <v>0</v>
      </c>
      <c r="F27" s="243">
        <f>'[16]Key assumptions'!E17</f>
        <v>47.3</v>
      </c>
      <c r="H27" s="246"/>
      <c r="J27" s="246"/>
      <c r="K27" s="246"/>
      <c r="L27" s="246"/>
      <c r="M27" s="245"/>
      <c r="N27" s="192"/>
    </row>
    <row r="28" spans="3:23" x14ac:dyDescent="0.35">
      <c r="C28" s="244" t="s">
        <v>839</v>
      </c>
      <c r="D28" s="243">
        <f>'[16]Key assumptions'!C18</f>
        <v>0</v>
      </c>
      <c r="E28" s="243">
        <f>'[16]Key assumptions'!D18</f>
        <v>0</v>
      </c>
      <c r="F28" s="243">
        <f>'[16]Key assumptions'!E18</f>
        <v>50.9</v>
      </c>
      <c r="H28" s="246"/>
      <c r="J28" s="246"/>
      <c r="K28" s="246"/>
      <c r="L28" s="246"/>
      <c r="M28" s="245"/>
      <c r="N28" s="192"/>
    </row>
    <row r="29" spans="3:23" x14ac:dyDescent="0.35">
      <c r="C29" s="244"/>
      <c r="D29" s="243">
        <f>'[16]Key assumptions'!C19</f>
        <v>0</v>
      </c>
      <c r="E29" s="243">
        <f>'[16]Key assumptions'!D19</f>
        <v>0</v>
      </c>
      <c r="F29" s="243">
        <f>'[16]Key assumptions'!E19</f>
        <v>1.0761099365750528</v>
      </c>
      <c r="H29" s="92"/>
      <c r="J29" s="92"/>
      <c r="K29" s="92"/>
      <c r="L29" s="92"/>
    </row>
    <row r="30" spans="3:23" x14ac:dyDescent="0.35">
      <c r="C30" s="193"/>
      <c r="D30" s="192"/>
      <c r="E30" s="192"/>
      <c r="F30" s="192"/>
      <c r="H30" s="192"/>
      <c r="I30" s="92"/>
      <c r="K30" s="92"/>
      <c r="L30" s="92"/>
      <c r="M30" s="92"/>
    </row>
    <row r="31" spans="3:23" x14ac:dyDescent="0.35">
      <c r="C31" s="248"/>
      <c r="D31" s="247">
        <v>43466</v>
      </c>
      <c r="E31" s="247">
        <v>43647</v>
      </c>
      <c r="F31" s="247">
        <v>43831</v>
      </c>
      <c r="H31" s="246"/>
      <c r="J31" s="246"/>
      <c r="K31" s="246"/>
      <c r="L31" s="246"/>
      <c r="M31" s="245"/>
      <c r="N31" s="192"/>
      <c r="V31" s="82"/>
      <c r="W31" s="82"/>
    </row>
    <row r="32" spans="3:23" x14ac:dyDescent="0.35">
      <c r="C32" s="244" t="s">
        <v>840</v>
      </c>
      <c r="D32" s="243">
        <f>'[16]Key assumptions'!C22</f>
        <v>0</v>
      </c>
      <c r="E32" s="243">
        <f>'[16]Key assumptions'!D22</f>
        <v>0</v>
      </c>
      <c r="F32" s="243">
        <f>'[16]Key assumptions'!E22</f>
        <v>26.4</v>
      </c>
      <c r="H32" s="246"/>
      <c r="J32" s="246"/>
      <c r="K32" s="246"/>
      <c r="L32" s="246"/>
      <c r="M32" s="245"/>
      <c r="N32" s="192"/>
      <c r="V32" s="82"/>
      <c r="W32" s="82"/>
    </row>
    <row r="33" spans="1:23" x14ac:dyDescent="0.35">
      <c r="C33" s="244" t="s">
        <v>839</v>
      </c>
      <c r="D33" s="243">
        <f>'[16]Key assumptions'!C23</f>
        <v>0</v>
      </c>
      <c r="E33" s="243">
        <f>'[16]Key assumptions'!D23</f>
        <v>0</v>
      </c>
      <c r="F33" s="243">
        <f>'[16]Key assumptions'!E23</f>
        <v>50.9</v>
      </c>
      <c r="H33" s="246"/>
      <c r="J33" s="246"/>
      <c r="K33" s="246"/>
      <c r="L33" s="246"/>
      <c r="M33" s="245"/>
      <c r="N33" s="192"/>
      <c r="V33" s="82"/>
      <c r="W33" s="82"/>
    </row>
    <row r="34" spans="1:23" x14ac:dyDescent="0.35">
      <c r="C34" s="244"/>
      <c r="D34" s="243">
        <f>'[16]Key assumptions'!C24</f>
        <v>0</v>
      </c>
      <c r="E34" s="243">
        <f>'[16]Key assumptions'!D24</f>
        <v>0</v>
      </c>
      <c r="F34" s="243">
        <f>'[16]Key assumptions'!E24</f>
        <v>1.928030303030303</v>
      </c>
      <c r="H34" s="92"/>
      <c r="J34" s="92"/>
      <c r="K34" s="92"/>
      <c r="L34" s="92"/>
      <c r="V34" s="82"/>
      <c r="W34" s="82"/>
    </row>
    <row r="35" spans="1:23" x14ac:dyDescent="0.35">
      <c r="C35" s="193"/>
      <c r="D35" s="192"/>
      <c r="E35" s="192"/>
      <c r="F35" s="192"/>
      <c r="H35" s="92"/>
      <c r="J35" s="92"/>
      <c r="K35" s="92"/>
      <c r="L35" s="92"/>
      <c r="V35" s="82"/>
      <c r="W35" s="82"/>
    </row>
    <row r="36" spans="1:23" s="190" customFormat="1" x14ac:dyDescent="0.35">
      <c r="A36" s="191" t="s">
        <v>838</v>
      </c>
      <c r="B36" s="191"/>
    </row>
    <row r="37" spans="1:23" ht="16.5" outlineLevel="1" thickBot="1" x14ac:dyDescent="0.4"/>
    <row r="38" spans="1:23" ht="35.450000000000003" customHeight="1" outlineLevel="1" thickBot="1" x14ac:dyDescent="0.4">
      <c r="C38" s="242"/>
      <c r="D38" s="486" t="s">
        <v>837</v>
      </c>
      <c r="E38" s="487"/>
      <c r="F38" s="488"/>
      <c r="G38" s="485" t="s">
        <v>836</v>
      </c>
      <c r="H38" s="483"/>
      <c r="I38" s="484"/>
      <c r="J38" s="485" t="s">
        <v>805</v>
      </c>
      <c r="K38" s="484"/>
      <c r="L38" s="485" t="s">
        <v>803</v>
      </c>
      <c r="M38" s="484"/>
    </row>
    <row r="39" spans="1:23" outlineLevel="1" x14ac:dyDescent="0.35">
      <c r="C39" s="241"/>
      <c r="D39" s="240">
        <v>2014</v>
      </c>
      <c r="E39" s="238"/>
      <c r="F39" s="239">
        <v>2014</v>
      </c>
      <c r="G39" s="238" t="s">
        <v>835</v>
      </c>
      <c r="H39" s="238"/>
      <c r="I39" s="238"/>
      <c r="J39" s="238" t="s">
        <v>834</v>
      </c>
      <c r="K39" s="238">
        <v>2018</v>
      </c>
      <c r="L39" s="238" t="s">
        <v>705</v>
      </c>
      <c r="M39" s="238">
        <v>2019</v>
      </c>
    </row>
    <row r="40" spans="1:23" outlineLevel="1" x14ac:dyDescent="0.35">
      <c r="C40" s="234" t="s">
        <v>833</v>
      </c>
      <c r="D40" s="233">
        <v>0.14199999999999999</v>
      </c>
      <c r="E40" s="232"/>
      <c r="F40" s="237">
        <f t="shared" ref="F40:F45" si="2">D40/$D$62</f>
        <v>0.25818181818181807</v>
      </c>
      <c r="G40" s="83">
        <v>543389</v>
      </c>
      <c r="H40" s="83"/>
      <c r="I40" s="230">
        <f>G40/$G$62</f>
        <v>0.15886897269132089</v>
      </c>
      <c r="J40" s="83">
        <v>219</v>
      </c>
      <c r="K40" s="86">
        <f t="shared" ref="K40:K62" si="3">J40/$J$62</f>
        <v>0.21661721068249259</v>
      </c>
      <c r="L40" s="83">
        <v>215</v>
      </c>
      <c r="M40" s="86">
        <f>L40/$L$62</f>
        <v>0.21673387096774194</v>
      </c>
    </row>
    <row r="41" spans="1:23" outlineLevel="1" x14ac:dyDescent="0.35">
      <c r="C41" s="234" t="s">
        <v>832</v>
      </c>
      <c r="D41" s="233">
        <v>9.0999999999999998E-2</v>
      </c>
      <c r="E41" s="232"/>
      <c r="F41" s="231">
        <f t="shared" si="2"/>
        <v>0.16545454545454541</v>
      </c>
      <c r="G41" s="229">
        <v>460527.1</v>
      </c>
      <c r="H41" s="229"/>
      <c r="I41" s="230">
        <f>G41/$G$62</f>
        <v>0.13464289353209802</v>
      </c>
      <c r="J41" s="229">
        <v>188</v>
      </c>
      <c r="K41" s="86">
        <f t="shared" si="3"/>
        <v>0.18595450049455983</v>
      </c>
      <c r="L41" s="83">
        <v>184</v>
      </c>
      <c r="M41" s="86">
        <f>L41/$L$62</f>
        <v>0.18548387096774194</v>
      </c>
    </row>
    <row r="42" spans="1:23" outlineLevel="1" x14ac:dyDescent="0.35">
      <c r="C42" s="234" t="s">
        <v>831</v>
      </c>
      <c r="D42" s="233">
        <v>2.1000000000000001E-2</v>
      </c>
      <c r="E42" s="232"/>
      <c r="F42" s="231">
        <f t="shared" si="2"/>
        <v>3.8181818181818171E-2</v>
      </c>
      <c r="G42" s="229"/>
      <c r="H42" s="229"/>
      <c r="I42" s="230"/>
      <c r="J42" s="229">
        <v>100</v>
      </c>
      <c r="K42" s="86">
        <f t="shared" si="3"/>
        <v>9.8911968348170135E-2</v>
      </c>
      <c r="L42" s="83">
        <v>98</v>
      </c>
      <c r="M42" s="86">
        <f>L42/$L$62</f>
        <v>9.8790322580645157E-2</v>
      </c>
    </row>
    <row r="43" spans="1:23" outlineLevel="1" x14ac:dyDescent="0.35">
      <c r="C43" s="234" t="s">
        <v>830</v>
      </c>
      <c r="D43" s="217"/>
      <c r="E43" s="216"/>
      <c r="F43" s="231">
        <f t="shared" si="2"/>
        <v>0</v>
      </c>
      <c r="G43" s="236"/>
      <c r="H43" s="236"/>
      <c r="I43" s="230"/>
      <c r="J43" s="236"/>
      <c r="K43" s="86">
        <f t="shared" si="3"/>
        <v>0</v>
      </c>
      <c r="L43" s="83"/>
      <c r="M43" s="86"/>
    </row>
    <row r="44" spans="1:23" outlineLevel="1" x14ac:dyDescent="0.35">
      <c r="C44" s="235" t="s">
        <v>829</v>
      </c>
      <c r="D44" s="233">
        <v>1.4999999999999999E-2</v>
      </c>
      <c r="E44" s="232"/>
      <c r="F44" s="231">
        <f t="shared" si="2"/>
        <v>2.7272727272727264E-2</v>
      </c>
      <c r="G44" s="229">
        <v>135378.4</v>
      </c>
      <c r="H44" s="229"/>
      <c r="I44" s="230">
        <f>G44/$G$62</f>
        <v>3.9580166938592273E-2</v>
      </c>
      <c r="J44" s="229">
        <v>45</v>
      </c>
      <c r="K44" s="86">
        <f t="shared" si="3"/>
        <v>4.4510385756676561E-2</v>
      </c>
      <c r="L44" s="83">
        <v>44</v>
      </c>
      <c r="M44" s="86">
        <f>L44/$L$62</f>
        <v>4.4354838709677422E-2</v>
      </c>
    </row>
    <row r="45" spans="1:23" outlineLevel="1" x14ac:dyDescent="0.35">
      <c r="C45" s="235" t="s">
        <v>828</v>
      </c>
      <c r="D45" s="233">
        <v>2.8000000000000001E-2</v>
      </c>
      <c r="E45" s="232"/>
      <c r="F45" s="231">
        <f t="shared" si="2"/>
        <v>5.0909090909090897E-2</v>
      </c>
      <c r="G45" s="229">
        <v>184185</v>
      </c>
      <c r="H45" s="229"/>
      <c r="I45" s="230">
        <f>G45/$G$62</f>
        <v>5.3849602651417194E-2</v>
      </c>
      <c r="J45" s="229">
        <v>61</v>
      </c>
      <c r="K45" s="86">
        <f t="shared" si="3"/>
        <v>6.0336300692383778E-2</v>
      </c>
      <c r="L45" s="83">
        <v>60</v>
      </c>
      <c r="M45" s="86">
        <f>L45/$L$62</f>
        <v>6.0483870967741937E-2</v>
      </c>
    </row>
    <row r="46" spans="1:23" outlineLevel="1" x14ac:dyDescent="0.35">
      <c r="C46" s="235" t="s">
        <v>827</v>
      </c>
      <c r="D46" s="233"/>
      <c r="E46" s="232"/>
      <c r="F46" s="231"/>
      <c r="G46" s="229">
        <v>12144</v>
      </c>
      <c r="H46" s="229"/>
      <c r="I46" s="230">
        <f>G46/$G$62</f>
        <v>3.5505039748014791E-3</v>
      </c>
      <c r="J46" s="229"/>
      <c r="K46" s="86">
        <f t="shared" si="3"/>
        <v>0</v>
      </c>
      <c r="L46" s="83"/>
      <c r="M46" s="86"/>
    </row>
    <row r="47" spans="1:23" outlineLevel="1" x14ac:dyDescent="0.35">
      <c r="C47" s="234" t="s">
        <v>814</v>
      </c>
      <c r="D47" s="217"/>
      <c r="E47" s="216"/>
      <c r="F47" s="231">
        <f t="shared" ref="F47:F54" si="4">D47/$D$62</f>
        <v>0</v>
      </c>
      <c r="G47" s="229"/>
      <c r="H47" s="229"/>
      <c r="I47" s="230"/>
      <c r="J47" s="229">
        <v>195</v>
      </c>
      <c r="K47" s="86">
        <f t="shared" si="3"/>
        <v>0.19287833827893175</v>
      </c>
      <c r="L47" s="83">
        <v>192</v>
      </c>
      <c r="M47" s="86">
        <f>L47/$L$62</f>
        <v>0.19354838709677419</v>
      </c>
    </row>
    <row r="48" spans="1:23" outlineLevel="1" x14ac:dyDescent="0.35">
      <c r="C48" s="235" t="s">
        <v>763</v>
      </c>
      <c r="D48" s="233">
        <v>1.4999999999999999E-2</v>
      </c>
      <c r="E48" s="232"/>
      <c r="F48" s="231">
        <f t="shared" si="4"/>
        <v>2.7272727272727264E-2</v>
      </c>
      <c r="G48" s="229">
        <v>11265</v>
      </c>
      <c r="H48" s="229"/>
      <c r="I48" s="230">
        <f>G48/$G$62</f>
        <v>3.2935134450048308E-3</v>
      </c>
      <c r="J48" s="229"/>
      <c r="K48" s="86">
        <f t="shared" si="3"/>
        <v>0</v>
      </c>
      <c r="L48" s="83"/>
      <c r="M48" s="86"/>
    </row>
    <row r="49" spans="3:14" outlineLevel="1" x14ac:dyDescent="0.35">
      <c r="C49" s="235" t="s">
        <v>759</v>
      </c>
      <c r="D49" s="233">
        <v>9.6000000000000002E-2</v>
      </c>
      <c r="E49" s="232"/>
      <c r="F49" s="231">
        <f t="shared" si="4"/>
        <v>0.1745454545454545</v>
      </c>
      <c r="G49" s="229">
        <v>654992</v>
      </c>
      <c r="H49" s="229"/>
      <c r="I49" s="230">
        <f>G49/$G$62</f>
        <v>0.19149799896765238</v>
      </c>
      <c r="J49" s="229"/>
      <c r="K49" s="86">
        <f t="shared" si="3"/>
        <v>0</v>
      </c>
      <c r="L49" s="83"/>
      <c r="M49" s="86"/>
    </row>
    <row r="50" spans="3:14" outlineLevel="1" x14ac:dyDescent="0.35">
      <c r="C50" s="235" t="s">
        <v>826</v>
      </c>
      <c r="D50" s="233">
        <v>8.9999999999999993E-3</v>
      </c>
      <c r="E50" s="232"/>
      <c r="F50" s="231">
        <f t="shared" si="4"/>
        <v>1.6363636363636358E-2</v>
      </c>
      <c r="G50" s="229">
        <v>84822</v>
      </c>
      <c r="H50" s="229"/>
      <c r="I50" s="230">
        <f>G50/$G$62</f>
        <v>2.4799147574984443E-2</v>
      </c>
      <c r="J50" s="229"/>
      <c r="K50" s="86">
        <f t="shared" si="3"/>
        <v>0</v>
      </c>
      <c r="L50" s="83"/>
      <c r="M50" s="86"/>
    </row>
    <row r="51" spans="3:14" outlineLevel="1" x14ac:dyDescent="0.35">
      <c r="C51" s="234" t="s">
        <v>825</v>
      </c>
      <c r="D51" s="217"/>
      <c r="E51" s="216"/>
      <c r="F51" s="231">
        <f t="shared" si="4"/>
        <v>0</v>
      </c>
      <c r="G51" s="229"/>
      <c r="H51" s="229"/>
      <c r="I51" s="230"/>
      <c r="J51" s="229">
        <v>170</v>
      </c>
      <c r="K51" s="86">
        <f t="shared" si="3"/>
        <v>0.16815034619188921</v>
      </c>
      <c r="L51" s="83">
        <v>167</v>
      </c>
      <c r="M51" s="86">
        <f>L51/$L$62</f>
        <v>0.16834677419354838</v>
      </c>
    </row>
    <row r="52" spans="3:14" outlineLevel="1" x14ac:dyDescent="0.35">
      <c r="C52" s="235" t="s">
        <v>756</v>
      </c>
      <c r="D52" s="233">
        <v>1.7999999999999999E-2</v>
      </c>
      <c r="E52" s="232"/>
      <c r="F52" s="231">
        <f t="shared" si="4"/>
        <v>3.2727272727272716E-2</v>
      </c>
      <c r="G52" s="229">
        <v>336871</v>
      </c>
      <c r="H52" s="229"/>
      <c r="I52" s="230">
        <f t="shared" ref="I52:I62" si="5">G52/$G$62</f>
        <v>9.8489939434729015E-2</v>
      </c>
      <c r="J52" s="229"/>
      <c r="K52" s="86">
        <f t="shared" si="3"/>
        <v>0</v>
      </c>
      <c r="L52" s="83"/>
      <c r="M52" s="86"/>
    </row>
    <row r="53" spans="3:14" outlineLevel="1" x14ac:dyDescent="0.35">
      <c r="C53" s="235" t="s">
        <v>824</v>
      </c>
      <c r="D53" s="233">
        <v>0.02</v>
      </c>
      <c r="E53" s="232"/>
      <c r="F53" s="231">
        <f t="shared" si="4"/>
        <v>3.6363636363636355E-2</v>
      </c>
      <c r="G53" s="229"/>
      <c r="H53" s="229"/>
      <c r="I53" s="230">
        <f t="shared" si="5"/>
        <v>0</v>
      </c>
      <c r="J53" s="229"/>
      <c r="K53" s="86">
        <f t="shared" si="3"/>
        <v>0</v>
      </c>
      <c r="L53" s="83"/>
      <c r="M53" s="86"/>
    </row>
    <row r="54" spans="3:14" outlineLevel="1" x14ac:dyDescent="0.35">
      <c r="C54" s="235" t="s">
        <v>823</v>
      </c>
      <c r="D54" s="233">
        <v>2.7E-2</v>
      </c>
      <c r="E54" s="232"/>
      <c r="F54" s="231">
        <f t="shared" si="4"/>
        <v>4.9090909090909074E-2</v>
      </c>
      <c r="G54" s="236"/>
      <c r="H54" s="236"/>
      <c r="I54" s="230">
        <f t="shared" si="5"/>
        <v>0</v>
      </c>
      <c r="J54" s="236"/>
      <c r="K54" s="86">
        <f t="shared" si="3"/>
        <v>0</v>
      </c>
      <c r="L54" s="83"/>
      <c r="M54" s="86"/>
    </row>
    <row r="55" spans="3:14" outlineLevel="1" x14ac:dyDescent="0.35">
      <c r="C55" s="235" t="s">
        <v>822</v>
      </c>
      <c r="D55" s="233"/>
      <c r="E55" s="232"/>
      <c r="F55" s="231"/>
      <c r="G55" s="229">
        <v>409428</v>
      </c>
      <c r="H55" s="229"/>
      <c r="I55" s="230">
        <f t="shared" si="5"/>
        <v>0.11970320663661232</v>
      </c>
      <c r="J55" s="229"/>
      <c r="K55" s="86">
        <f t="shared" si="3"/>
        <v>0</v>
      </c>
      <c r="L55" s="83"/>
      <c r="M55" s="86"/>
    </row>
    <row r="56" spans="3:14" outlineLevel="1" x14ac:dyDescent="0.35">
      <c r="C56" s="235" t="s">
        <v>821</v>
      </c>
      <c r="D56" s="233">
        <v>7.0000000000000001E-3</v>
      </c>
      <c r="E56" s="232"/>
      <c r="F56" s="231">
        <f>D56/$D$62</f>
        <v>1.2727272727272724E-2</v>
      </c>
      <c r="G56" s="229">
        <v>10310</v>
      </c>
      <c r="H56" s="229"/>
      <c r="I56" s="230">
        <f t="shared" si="5"/>
        <v>3.014303028672863E-3</v>
      </c>
      <c r="J56" s="229"/>
      <c r="K56" s="86">
        <f t="shared" si="3"/>
        <v>0</v>
      </c>
      <c r="L56" s="83"/>
      <c r="M56" s="86"/>
    </row>
    <row r="57" spans="3:14" outlineLevel="1" x14ac:dyDescent="0.35">
      <c r="C57" s="235" t="s">
        <v>820</v>
      </c>
      <c r="D57" s="233">
        <v>7.0000000000000001E-3</v>
      </c>
      <c r="E57" s="232"/>
      <c r="F57" s="231">
        <f>D57/$D$62</f>
        <v>1.2727272727272724E-2</v>
      </c>
      <c r="G57" s="229">
        <v>109689</v>
      </c>
      <c r="H57" s="229"/>
      <c r="I57" s="230">
        <f t="shared" si="5"/>
        <v>3.2069435975955157E-2</v>
      </c>
      <c r="J57" s="229"/>
      <c r="K57" s="86">
        <f t="shared" si="3"/>
        <v>0</v>
      </c>
      <c r="L57" s="83">
        <v>32</v>
      </c>
      <c r="M57" s="86">
        <f>L57/$L$62</f>
        <v>3.2258064516129031E-2</v>
      </c>
    </row>
    <row r="58" spans="3:14" outlineLevel="1" x14ac:dyDescent="0.35">
      <c r="C58" s="235" t="s">
        <v>819</v>
      </c>
      <c r="D58" s="233">
        <v>1.4999999999999999E-2</v>
      </c>
      <c r="E58" s="232"/>
      <c r="F58" s="231">
        <f>D58/$D$62</f>
        <v>2.7272727272727264E-2</v>
      </c>
      <c r="G58" s="229">
        <v>132528</v>
      </c>
      <c r="H58" s="229"/>
      <c r="I58" s="230">
        <f t="shared" si="5"/>
        <v>3.8746804246746577E-2</v>
      </c>
      <c r="J58" s="229">
        <v>33</v>
      </c>
      <c r="K58" s="86">
        <f t="shared" si="3"/>
        <v>3.2640949554896145E-2</v>
      </c>
      <c r="L58" s="83"/>
      <c r="M58" s="86"/>
    </row>
    <row r="59" spans="3:14" outlineLevel="1" x14ac:dyDescent="0.35">
      <c r="C59" s="235" t="s">
        <v>818</v>
      </c>
      <c r="D59" s="233"/>
      <c r="E59" s="232"/>
      <c r="F59" s="231"/>
      <c r="G59" s="229">
        <v>62192</v>
      </c>
      <c r="H59" s="229"/>
      <c r="I59" s="230">
        <f t="shared" si="5"/>
        <v>1.8182883992165152E-2</v>
      </c>
      <c r="J59" s="229"/>
      <c r="K59" s="86">
        <f t="shared" si="3"/>
        <v>0</v>
      </c>
      <c r="L59" s="83"/>
      <c r="M59" s="86"/>
    </row>
    <row r="60" spans="3:14" outlineLevel="1" x14ac:dyDescent="0.35">
      <c r="C60" s="234" t="s">
        <v>817</v>
      </c>
      <c r="D60" s="233">
        <v>2.7E-2</v>
      </c>
      <c r="E60" s="232"/>
      <c r="F60" s="231">
        <f>D60/$D$62</f>
        <v>4.9090909090909074E-2</v>
      </c>
      <c r="G60" s="229">
        <v>65334</v>
      </c>
      <c r="H60" s="229"/>
      <c r="I60" s="230">
        <f t="shared" si="5"/>
        <v>1.9101500880243729E-2</v>
      </c>
      <c r="J60" s="229"/>
      <c r="K60" s="86">
        <f t="shared" si="3"/>
        <v>0</v>
      </c>
      <c r="L60" s="83"/>
      <c r="M60" s="86"/>
    </row>
    <row r="61" spans="3:14" outlineLevel="1" x14ac:dyDescent="0.35">
      <c r="C61" s="234" t="s">
        <v>816</v>
      </c>
      <c r="D61" s="233">
        <v>1.2E-2</v>
      </c>
      <c r="E61" s="232"/>
      <c r="F61" s="231">
        <f>D61/$D$62</f>
        <v>2.1818181818181813E-2</v>
      </c>
      <c r="G61" s="229">
        <v>207305</v>
      </c>
      <c r="H61" s="229"/>
      <c r="I61" s="230">
        <f t="shared" si="5"/>
        <v>6.0609126029003674E-2</v>
      </c>
      <c r="J61" s="229"/>
      <c r="K61" s="86">
        <f t="shared" si="3"/>
        <v>0</v>
      </c>
      <c r="L61" s="83"/>
      <c r="M61" s="86"/>
    </row>
    <row r="62" spans="3:14" ht="16.5" outlineLevel="1" thickBot="1" x14ac:dyDescent="0.4">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3:14" ht="16.5" outlineLevel="1" thickBot="1" x14ac:dyDescent="0.4">
      <c r="L63" s="83"/>
    </row>
    <row r="64" spans="3:14" outlineLevel="1" x14ac:dyDescent="0.35">
      <c r="C64" s="195" t="str">
        <f>C40</f>
        <v xml:space="preserve"> </v>
      </c>
      <c r="D64" s="223"/>
      <c r="E64" s="222"/>
      <c r="F64" s="220">
        <f>F40</f>
        <v>0.25818181818181807</v>
      </c>
      <c r="G64" s="218">
        <f>G40</f>
        <v>543389</v>
      </c>
      <c r="H64" s="221"/>
      <c r="I64" s="220">
        <f t="shared" ref="I64:M65" si="6">I40</f>
        <v>0.15886897269132089</v>
      </c>
      <c r="J64" s="218">
        <f t="shared" si="6"/>
        <v>219</v>
      </c>
      <c r="K64" s="219">
        <f t="shared" si="6"/>
        <v>0.21661721068249259</v>
      </c>
      <c r="L64" s="218">
        <f t="shared" si="6"/>
        <v>215</v>
      </c>
      <c r="M64" s="219">
        <f t="shared" si="6"/>
        <v>0.21673387096774194</v>
      </c>
      <c r="N64" s="218">
        <f t="shared" ref="N64:N70" si="7">L64*$D$19+L64</f>
        <v>236.69525731584258</v>
      </c>
    </row>
    <row r="65" spans="3:14" outlineLevel="1" x14ac:dyDescent="0.35">
      <c r="C65" s="195" t="str">
        <f>C41</f>
        <v>Blade</v>
      </c>
      <c r="D65" s="217"/>
      <c r="E65" s="216"/>
      <c r="F65" s="212">
        <f>F41</f>
        <v>0.16545454545454541</v>
      </c>
      <c r="G65" s="210">
        <f>G41</f>
        <v>460527.1</v>
      </c>
      <c r="H65" s="213"/>
      <c r="I65" s="212">
        <f t="shared" si="6"/>
        <v>0.13464289353209802</v>
      </c>
      <c r="J65" s="210">
        <f t="shared" si="6"/>
        <v>188</v>
      </c>
      <c r="K65" s="211">
        <f t="shared" si="6"/>
        <v>0.18595450049455983</v>
      </c>
      <c r="L65" s="210">
        <f t="shared" si="6"/>
        <v>184</v>
      </c>
      <c r="M65" s="211">
        <f t="shared" si="6"/>
        <v>0.18548387096774194</v>
      </c>
      <c r="N65" s="210">
        <f t="shared" si="7"/>
        <v>202.56710393541877</v>
      </c>
    </row>
    <row r="66" spans="3:14" outlineLevel="1" x14ac:dyDescent="0.35">
      <c r="C66" s="195" t="str">
        <f>C43</f>
        <v>Hub</v>
      </c>
      <c r="D66" s="217"/>
      <c r="E66" s="216"/>
      <c r="F66" s="212">
        <f>F44+F45</f>
        <v>7.8181818181818158E-2</v>
      </c>
      <c r="G66" s="210">
        <f>G44+G45+G46</f>
        <v>331707.40000000002</v>
      </c>
      <c r="H66" s="213"/>
      <c r="I66" s="212">
        <f>I44+I45+I46</f>
        <v>9.6980273564810954E-2</v>
      </c>
      <c r="J66" s="210">
        <f>J44+J45+J46</f>
        <v>106</v>
      </c>
      <c r="K66" s="211">
        <f>K44+K45+K46</f>
        <v>0.10484668644906034</v>
      </c>
      <c r="L66" s="210">
        <f>L44+L45</f>
        <v>104</v>
      </c>
      <c r="M66" s="211">
        <f>M44+M45</f>
        <v>0.10483870967741936</v>
      </c>
      <c r="N66" s="210">
        <f t="shared" si="7"/>
        <v>114.49445005045409</v>
      </c>
    </row>
    <row r="67" spans="3:14" outlineLevel="1" x14ac:dyDescent="0.35">
      <c r="C67" s="195" t="s">
        <v>815</v>
      </c>
      <c r="D67" s="217"/>
      <c r="E67" s="216"/>
      <c r="F67" s="212"/>
      <c r="G67" s="210"/>
      <c r="H67" s="213"/>
      <c r="I67" s="212"/>
      <c r="J67" s="210"/>
      <c r="K67" s="211"/>
      <c r="L67" s="210">
        <f>M67*J88</f>
        <v>0</v>
      </c>
      <c r="M67" s="211">
        <f>M43</f>
        <v>0</v>
      </c>
      <c r="N67" s="210">
        <f t="shared" si="7"/>
        <v>0</v>
      </c>
    </row>
    <row r="68" spans="3:14" outlineLevel="1" x14ac:dyDescent="0.35">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211.37436932391523</v>
      </c>
    </row>
    <row r="69" spans="3:14" outlineLevel="1" x14ac:dyDescent="0.35">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219.08072653884966</v>
      </c>
    </row>
    <row r="70" spans="3:14" outlineLevel="1" x14ac:dyDescent="0.35">
      <c r="C70" s="195" t="s">
        <v>200</v>
      </c>
      <c r="D70" s="215"/>
      <c r="E70" s="121"/>
      <c r="F70" s="214">
        <f>F61+F60+F42</f>
        <v>0.10909090909090907</v>
      </c>
      <c r="G70" s="210">
        <f>G60+G61+G42</f>
        <v>272639</v>
      </c>
      <c r="H70" s="213"/>
      <c r="I70" s="212">
        <f>I60+I61+I42</f>
        <v>7.9710626909247406E-2</v>
      </c>
      <c r="J70" s="210">
        <f>J42</f>
        <v>100</v>
      </c>
      <c r="K70" s="211">
        <f>K42</f>
        <v>9.8911968348170135E-2</v>
      </c>
      <c r="L70" s="210">
        <f>L42</f>
        <v>98</v>
      </c>
      <c r="M70" s="211">
        <f>M42</f>
        <v>9.8790322580645157E-2</v>
      </c>
      <c r="N70" s="210">
        <f t="shared" si="7"/>
        <v>107.88900100908174</v>
      </c>
    </row>
    <row r="71" spans="3:14" ht="16.5" outlineLevel="1" thickBot="1" x14ac:dyDescent="0.4">
      <c r="C71" s="209" t="s">
        <v>60</v>
      </c>
      <c r="D71" s="208"/>
      <c r="E71" s="207"/>
      <c r="F71" s="204">
        <f>SUM(F64:F70)</f>
        <v>0.99999999999999978</v>
      </c>
      <c r="G71" s="205">
        <f>SUM(G64:G70)</f>
        <v>3420359.5</v>
      </c>
      <c r="H71" s="206"/>
      <c r="I71" s="204">
        <f t="shared" ref="I71:N71" si="8">SUM(I64:I70)</f>
        <v>1</v>
      </c>
      <c r="J71" s="205">
        <f t="shared" si="8"/>
        <v>1011</v>
      </c>
      <c r="K71" s="204">
        <f t="shared" si="8"/>
        <v>1</v>
      </c>
      <c r="L71" s="205">
        <f t="shared" si="8"/>
        <v>992</v>
      </c>
      <c r="M71" s="204">
        <f t="shared" si="8"/>
        <v>1</v>
      </c>
      <c r="N71" s="203">
        <f t="shared" si="8"/>
        <v>1092.1009081735622</v>
      </c>
    </row>
    <row r="72" spans="3:14" ht="16.5" outlineLevel="1" thickBot="1" x14ac:dyDescent="0.4">
      <c r="C72" s="91"/>
      <c r="D72" s="91"/>
      <c r="E72" s="91"/>
      <c r="F72" s="202"/>
      <c r="G72" s="91"/>
      <c r="H72" s="91"/>
      <c r="I72" s="91"/>
    </row>
    <row r="73" spans="3:14" ht="32.25" outlineLevel="1" thickBot="1" x14ac:dyDescent="0.4">
      <c r="C73" s="109" t="s">
        <v>812</v>
      </c>
      <c r="D73" s="109" t="s">
        <v>181</v>
      </c>
      <c r="E73" s="109"/>
      <c r="F73" s="109" t="s">
        <v>811</v>
      </c>
      <c r="G73" s="482" t="s">
        <v>810</v>
      </c>
      <c r="H73" s="483"/>
      <c r="I73" s="484"/>
      <c r="J73" s="109" t="s">
        <v>809</v>
      </c>
      <c r="K73" s="109" t="s">
        <v>0</v>
      </c>
      <c r="L73" s="109" t="s">
        <v>808</v>
      </c>
    </row>
    <row r="74" spans="3:14" outlineLevel="1" x14ac:dyDescent="0.35">
      <c r="C74" s="83" t="s">
        <v>807</v>
      </c>
      <c r="D74" s="83">
        <v>3.5</v>
      </c>
      <c r="E74" s="83"/>
      <c r="F74" s="83">
        <v>90</v>
      </c>
      <c r="G74" s="83">
        <v>970</v>
      </c>
      <c r="H74" s="83"/>
      <c r="I74" s="83" t="s">
        <v>806</v>
      </c>
      <c r="J74" s="200">
        <f>G74/D17</f>
        <v>1161.3055555555554</v>
      </c>
      <c r="K74" s="201">
        <v>2018</v>
      </c>
      <c r="L74" s="200">
        <f>J74*$D$19+J74</f>
        <v>1278.4907781141383</v>
      </c>
    </row>
    <row r="75" spans="3:14" outlineLevel="1" x14ac:dyDescent="0.35">
      <c r="C75" s="83" t="s">
        <v>805</v>
      </c>
      <c r="D75" s="83">
        <v>2.4</v>
      </c>
      <c r="E75" s="83"/>
      <c r="F75" s="83">
        <v>88</v>
      </c>
      <c r="G75" s="83">
        <v>1011</v>
      </c>
      <c r="H75" s="83"/>
      <c r="I75" s="83" t="s">
        <v>804</v>
      </c>
      <c r="J75" s="200">
        <f>J71</f>
        <v>1011</v>
      </c>
      <c r="K75" s="83">
        <v>2018</v>
      </c>
      <c r="L75" s="200">
        <f>J75*$D$19+J75</f>
        <v>1113.0181634712412</v>
      </c>
    </row>
    <row r="76" spans="3:14" ht="16.5" outlineLevel="1" x14ac:dyDescent="0.35">
      <c r="C76" s="199" t="s">
        <v>803</v>
      </c>
      <c r="D76" s="83">
        <v>2.6</v>
      </c>
      <c r="E76" s="83"/>
      <c r="F76" s="83">
        <v>90</v>
      </c>
      <c r="G76" s="198">
        <v>991</v>
      </c>
      <c r="H76" s="198"/>
      <c r="I76" s="83" t="s">
        <v>802</v>
      </c>
      <c r="J76" s="198">
        <f>G76</f>
        <v>991</v>
      </c>
      <c r="K76" s="83">
        <v>2019</v>
      </c>
      <c r="L76" s="197">
        <f>J76*$D$19+J76</f>
        <v>1091</v>
      </c>
    </row>
    <row r="77" spans="3:14" ht="16.5" outlineLevel="1" thickBot="1" x14ac:dyDescent="0.4">
      <c r="C77" s="193"/>
      <c r="D77" s="192"/>
      <c r="E77" s="192"/>
      <c r="F77" s="192"/>
      <c r="G77" s="192"/>
      <c r="H77" s="192"/>
      <c r="I77" s="92"/>
      <c r="K77" s="92"/>
      <c r="L77" s="92"/>
      <c r="M77" s="92"/>
    </row>
    <row r="78" spans="3:14" ht="48" outlineLevel="1" thickBot="1" x14ac:dyDescent="0.4">
      <c r="C78" s="109" t="s">
        <v>801</v>
      </c>
      <c r="D78" s="196" t="s">
        <v>800</v>
      </c>
      <c r="E78" s="196"/>
      <c r="F78" s="196" t="s">
        <v>799</v>
      </c>
      <c r="G78" s="192"/>
      <c r="H78" s="192"/>
      <c r="I78" s="92"/>
      <c r="K78" s="92"/>
      <c r="L78" s="92"/>
      <c r="M78" s="92"/>
    </row>
    <row r="79" spans="3:14" outlineLevel="1" x14ac:dyDescent="0.35">
      <c r="C79" s="83" t="s">
        <v>798</v>
      </c>
      <c r="D79" s="194">
        <v>3.6</v>
      </c>
      <c r="E79" s="194"/>
      <c r="F79" s="194">
        <v>3.6</v>
      </c>
      <c r="G79" s="192"/>
      <c r="H79" s="192"/>
      <c r="I79" s="92"/>
      <c r="K79" s="92"/>
      <c r="L79" s="92"/>
      <c r="M79" s="92"/>
    </row>
    <row r="80" spans="3:14" outlineLevel="1" x14ac:dyDescent="0.35">
      <c r="C80" s="83" t="s">
        <v>797</v>
      </c>
      <c r="D80" s="194" t="s">
        <v>796</v>
      </c>
      <c r="E80" s="194"/>
      <c r="F80" s="194" t="s">
        <v>796</v>
      </c>
      <c r="G80" s="192"/>
      <c r="H80" s="192"/>
      <c r="I80" s="92"/>
      <c r="K80" s="92"/>
      <c r="L80" s="92"/>
      <c r="M80" s="92"/>
    </row>
    <row r="81" spans="1:31" outlineLevel="1" x14ac:dyDescent="0.35">
      <c r="C81" s="83" t="s">
        <v>795</v>
      </c>
      <c r="D81" s="194">
        <v>1138083</v>
      </c>
      <c r="E81" s="194"/>
      <c r="F81" s="194">
        <v>602587</v>
      </c>
      <c r="G81" s="192"/>
      <c r="H81" s="192"/>
      <c r="I81" s="92"/>
      <c r="K81" s="92"/>
      <c r="L81" s="92"/>
      <c r="M81" s="92"/>
    </row>
    <row r="82" spans="1:31" outlineLevel="1" x14ac:dyDescent="0.35">
      <c r="C82" s="83" t="s">
        <v>794</v>
      </c>
      <c r="D82" s="194">
        <v>0</v>
      </c>
      <c r="E82" s="194"/>
      <c r="F82" s="194">
        <v>305167</v>
      </c>
      <c r="G82" s="192"/>
      <c r="H82" s="192"/>
      <c r="I82" s="92"/>
      <c r="K82" s="92"/>
      <c r="L82" s="92"/>
      <c r="M82" s="92"/>
    </row>
    <row r="83" spans="1:31" outlineLevel="1" x14ac:dyDescent="0.35">
      <c r="C83" s="195" t="s">
        <v>793</v>
      </c>
      <c r="D83" s="194">
        <f>D81</f>
        <v>1138083</v>
      </c>
      <c r="E83" s="194"/>
      <c r="F83" s="194">
        <f>F82+F81</f>
        <v>907754</v>
      </c>
      <c r="G83" s="192"/>
      <c r="H83" s="192"/>
      <c r="I83" s="92"/>
      <c r="K83" s="92"/>
      <c r="L83" s="92"/>
      <c r="M83" s="92"/>
    </row>
    <row r="84" spans="1:31" outlineLevel="1" x14ac:dyDescent="0.35">
      <c r="C84" s="195" t="s">
        <v>792</v>
      </c>
      <c r="D84" s="194">
        <v>1</v>
      </c>
      <c r="E84" s="194"/>
      <c r="F84" s="194">
        <f>F83/D83</f>
        <v>0.79761669403725388</v>
      </c>
      <c r="G84" s="192"/>
      <c r="H84" s="192"/>
      <c r="I84" s="92"/>
      <c r="K84" s="92"/>
      <c r="L84" s="92"/>
      <c r="M84" s="92"/>
    </row>
    <row r="85" spans="1:31" outlineLevel="1" x14ac:dyDescent="0.35">
      <c r="C85" s="195" t="s">
        <v>791</v>
      </c>
      <c r="D85" s="194">
        <f>D83/D86</f>
        <v>0.49616502867127715</v>
      </c>
      <c r="E85" s="194"/>
      <c r="F85" s="194">
        <f>F83/F86</f>
        <v>0.44791790025500738</v>
      </c>
      <c r="G85" s="192"/>
      <c r="H85" s="192"/>
      <c r="I85" s="92"/>
      <c r="K85" s="92"/>
      <c r="L85" s="92"/>
      <c r="M85" s="92"/>
    </row>
    <row r="86" spans="1:31" outlineLevel="1" x14ac:dyDescent="0.35">
      <c r="C86" s="195" t="s">
        <v>790</v>
      </c>
      <c r="D86" s="194">
        <v>2293759</v>
      </c>
      <c r="E86" s="194"/>
      <c r="F86" s="194">
        <v>2026608</v>
      </c>
      <c r="G86" s="192"/>
      <c r="H86" s="192"/>
      <c r="I86" s="92"/>
      <c r="K86" s="92"/>
      <c r="L86" s="92"/>
      <c r="M86" s="92"/>
    </row>
    <row r="87" spans="1:31" x14ac:dyDescent="0.35">
      <c r="C87" s="193"/>
      <c r="G87" s="192"/>
      <c r="H87" s="192"/>
      <c r="I87" s="92"/>
      <c r="K87" s="92"/>
      <c r="L87" s="92"/>
      <c r="M87" s="92"/>
    </row>
    <row r="88" spans="1:31" s="190" customFormat="1" x14ac:dyDescent="0.35">
      <c r="A88" s="191" t="s">
        <v>789</v>
      </c>
      <c r="B88" s="191"/>
    </row>
    <row r="90" spans="1:31" s="167" customFormat="1" x14ac:dyDescent="0.35">
      <c r="C90" s="167" t="s">
        <v>733</v>
      </c>
      <c r="D90" s="168" t="s">
        <v>788</v>
      </c>
      <c r="F90" s="169" t="s">
        <v>732</v>
      </c>
      <c r="G90" s="170" t="s">
        <v>719</v>
      </c>
      <c r="H90" s="169"/>
      <c r="I90" s="169"/>
      <c r="J90" s="169"/>
      <c r="K90" s="169"/>
      <c r="L90" s="169"/>
      <c r="M90" s="169"/>
      <c r="N90" s="169"/>
      <c r="P90" s="169" t="s">
        <v>731</v>
      </c>
      <c r="Q90" s="168" t="s">
        <v>787</v>
      </c>
    </row>
    <row r="91" spans="1:31" ht="16.5" outlineLevel="1" thickBot="1" x14ac:dyDescent="0.4"/>
    <row r="92" spans="1:31" s="166" customFormat="1" ht="79.5" outlineLevel="1" thickBot="1" x14ac:dyDescent="0.25">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1:31" ht="63.75" outlineLevel="1" thickBot="1" x14ac:dyDescent="0.4">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9.7044444371923971E-2</v>
      </c>
      <c r="L93" s="101" t="s">
        <v>712</v>
      </c>
      <c r="M93" s="99">
        <f t="shared" ref="M93:M101" si="9">IF(L93="E",$F$29,IF(L93="C",$F$24,""))</f>
        <v>2.4354066985645932</v>
      </c>
      <c r="N93" s="100">
        <f t="shared" ref="N93:N101" si="10">IF(O93="","",O93/F93-1)</f>
        <v>0.13929824550993875</v>
      </c>
      <c r="O93" s="99">
        <f t="shared" ref="O93:O101" si="11">IF(F93=0,"",(K93*F93*M93*I93)+(F93-F93*K93*I93))</f>
        <v>121.53518852944353</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1:31" ht="32.25" outlineLevel="1" thickBot="1" x14ac:dyDescent="0.4">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1:31" ht="48" outlineLevel="1" thickBot="1" x14ac:dyDescent="0.4">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1:31" ht="48" outlineLevel="1" thickBot="1" x14ac:dyDescent="0.4">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x14ac:dyDescent="0.4">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x14ac:dyDescent="0.4">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x14ac:dyDescent="0.4">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6" ht="16.5" outlineLevel="1" thickBot="1" x14ac:dyDescent="0.4">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26" ht="16.5" outlineLevel="1" thickBot="1" x14ac:dyDescent="0.4">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6" s="91" customFormat="1" ht="16.5" outlineLevel="1" thickBot="1" x14ac:dyDescent="0.4">
      <c r="C102" s="157" t="s">
        <v>690</v>
      </c>
      <c r="D102" s="156">
        <f>SUM(D93:D101)</f>
        <v>1</v>
      </c>
      <c r="E102" s="156"/>
      <c r="F102" s="155">
        <f>S103</f>
        <v>106.67548116432459</v>
      </c>
      <c r="G102" s="101"/>
      <c r="H102" s="101"/>
      <c r="I102" s="154"/>
      <c r="J102" s="153"/>
      <c r="K102" s="145"/>
      <c r="L102" s="153"/>
      <c r="M102" s="153"/>
      <c r="N102" s="152">
        <f>O102/F102-1</f>
        <v>0.13929824550993875</v>
      </c>
      <c r="O102" s="151">
        <f>SUM(O93:O101)</f>
        <v>121.53518852944353</v>
      </c>
      <c r="Q102" s="146" t="s">
        <v>689</v>
      </c>
      <c r="R102" s="145" t="str">
        <f>R101</f>
        <v>US$</v>
      </c>
      <c r="S102" s="185">
        <f>W96</f>
        <v>106.67548116432459</v>
      </c>
      <c r="T102" s="149" t="s">
        <v>778</v>
      </c>
      <c r="U102" s="77"/>
      <c r="V102" s="77"/>
      <c r="W102" s="77"/>
      <c r="X102" s="77"/>
    </row>
    <row r="103" spans="3:26" ht="48" outlineLevel="1" thickBot="1" x14ac:dyDescent="0.4">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26" s="167" customFormat="1" x14ac:dyDescent="0.35">
      <c r="C105" s="167" t="s">
        <v>733</v>
      </c>
      <c r="D105" s="168" t="s">
        <v>777</v>
      </c>
      <c r="F105" s="169" t="s">
        <v>732</v>
      </c>
      <c r="G105" s="170" t="s">
        <v>705</v>
      </c>
      <c r="H105" s="169"/>
      <c r="I105" s="169"/>
      <c r="J105" s="169"/>
      <c r="K105" s="169"/>
      <c r="L105" s="169"/>
      <c r="M105" s="169"/>
      <c r="N105" s="169"/>
      <c r="P105" s="169" t="s">
        <v>731</v>
      </c>
      <c r="Q105" s="168"/>
    </row>
    <row r="106" spans="3:26" ht="16.5" outlineLevel="1" thickBot="1" x14ac:dyDescent="0.4"/>
    <row r="107" spans="3:26" s="166" customFormat="1" ht="79.5" outlineLevel="1" thickBot="1" x14ac:dyDescent="0.25">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6" ht="63.75" outlineLevel="1" thickBot="1" x14ac:dyDescent="0.4">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9.7044444371923971E-2</v>
      </c>
      <c r="L108" s="101" t="s">
        <v>712</v>
      </c>
      <c r="M108" s="99">
        <f t="shared" ref="M108:M116" si="12">IF(L108="E",$F$29,IF(L108="C",$F$24,""))</f>
        <v>2.4354066985645932</v>
      </c>
      <c r="N108" s="100">
        <f t="shared" ref="N108:N116" si="13">IF(O108="","",O108/F108-1)</f>
        <v>0.13929824550993875</v>
      </c>
      <c r="O108" s="99">
        <f t="shared" ref="O108:O116" si="14">IF(F108=0,"",(K108*F108*M108*I108)+(F108-F108*K108*I108))</f>
        <v>58.092508347356741</v>
      </c>
      <c r="Q108" s="146" t="s">
        <v>724</v>
      </c>
      <c r="R108" s="145" t="s">
        <v>701</v>
      </c>
      <c r="S108" s="101"/>
      <c r="U108" s="146" t="s">
        <v>724</v>
      </c>
      <c r="V108" s="145" t="s">
        <v>701</v>
      </c>
      <c r="W108" s="101"/>
      <c r="X108" s="101"/>
    </row>
    <row r="109" spans="3:26" ht="32.25" outlineLevel="1" thickBot="1" x14ac:dyDescent="0.4">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0.10947716642839322</v>
      </c>
      <c r="L109" s="101" t="s">
        <v>712</v>
      </c>
      <c r="M109" s="99">
        <f t="shared" si="12"/>
        <v>2.4354066985645932</v>
      </c>
      <c r="N109" s="100">
        <f t="shared" si="13"/>
        <v>0.15714425803118659</v>
      </c>
      <c r="O109" s="99">
        <f t="shared" si="14"/>
        <v>29.880510658168529</v>
      </c>
      <c r="Q109" s="146" t="s">
        <v>718</v>
      </c>
      <c r="R109" s="145" t="s">
        <v>776</v>
      </c>
      <c r="S109" s="101">
        <f>48*2*3</f>
        <v>288</v>
      </c>
      <c r="U109" s="146" t="s">
        <v>718</v>
      </c>
      <c r="V109" s="145" t="s">
        <v>181</v>
      </c>
      <c r="W109" s="101"/>
      <c r="X109" s="101"/>
    </row>
    <row r="110" spans="3:26" ht="48" outlineLevel="1" thickBot="1" x14ac:dyDescent="0.4">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6" ht="32.25" outlineLevel="1" thickBot="1" x14ac:dyDescent="0.4">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6" ht="48" outlineLevel="1" thickBot="1" x14ac:dyDescent="0.4">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38" ht="63.75" outlineLevel="1" thickBot="1" x14ac:dyDescent="0.4">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38" ht="32.25" outlineLevel="1" thickBot="1" x14ac:dyDescent="0.4">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38" ht="16.5" outlineLevel="1" thickBot="1" x14ac:dyDescent="0.4">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38" ht="16.5" outlineLevel="1" thickBot="1" x14ac:dyDescent="0.4">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38" s="91" customFormat="1" ht="16.5" outlineLevel="1" thickBot="1" x14ac:dyDescent="0.4">
      <c r="C117" s="157" t="s">
        <v>690</v>
      </c>
      <c r="D117" s="156">
        <f>SUM(D108:D116)</f>
        <v>1</v>
      </c>
      <c r="E117" s="156"/>
      <c r="F117" s="155">
        <f>S118</f>
        <v>76.8123608823241</v>
      </c>
      <c r="G117" s="101"/>
      <c r="H117" s="101"/>
      <c r="I117" s="154"/>
      <c r="J117" s="153"/>
      <c r="K117" s="145"/>
      <c r="L117" s="153"/>
      <c r="M117" s="153"/>
      <c r="N117" s="152">
        <f>O117/F117-1</f>
        <v>0.14529768379726282</v>
      </c>
      <c r="O117" s="151">
        <f>SUM(O108:O116)</f>
        <v>87.973019005525273</v>
      </c>
      <c r="Q117" s="146" t="s">
        <v>689</v>
      </c>
      <c r="R117" s="145" t="str">
        <f>R116</f>
        <v>US$</v>
      </c>
      <c r="S117" s="182">
        <f>W111</f>
        <v>76.8123608823241</v>
      </c>
      <c r="U117" s="77"/>
      <c r="V117" s="77"/>
      <c r="W117" s="77"/>
      <c r="X117" s="77"/>
    </row>
    <row r="118" spans="3:38" ht="16.5" outlineLevel="1" thickBot="1" x14ac:dyDescent="0.4">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spans="3:38" ht="17.45" customHeight="1" x14ac:dyDescent="0.35"/>
    <row r="120" spans="3:38" s="167" customFormat="1" x14ac:dyDescent="0.35">
      <c r="C120" s="167" t="s">
        <v>733</v>
      </c>
      <c r="D120" s="168" t="s">
        <v>774</v>
      </c>
      <c r="F120" s="169" t="s">
        <v>732</v>
      </c>
      <c r="G120" s="170" t="s">
        <v>705</v>
      </c>
      <c r="H120" s="169"/>
      <c r="I120" s="169"/>
      <c r="J120" s="169"/>
      <c r="K120" s="169"/>
      <c r="L120" s="169"/>
      <c r="M120" s="169"/>
      <c r="N120" s="169"/>
      <c r="P120" s="169" t="s">
        <v>731</v>
      </c>
      <c r="Q120" s="168"/>
    </row>
    <row r="121" spans="3:38" ht="16.5" outlineLevel="1" thickBot="1" x14ac:dyDescent="0.4"/>
    <row r="122" spans="3:38" s="166" customFormat="1" ht="79.5" outlineLevel="1" thickBot="1" x14ac:dyDescent="0.4">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4.3999999999999997E-2</v>
      </c>
    </row>
    <row r="123" spans="3:38" ht="63.75" outlineLevel="1" thickBot="1" x14ac:dyDescent="0.4">
      <c r="C123" s="106" t="str">
        <f>C42</f>
        <v>Nacelle asssembly</v>
      </c>
      <c r="D123" s="105">
        <f>F42/($F$70+$F$69+$F$68-$F$61)</f>
        <v>8.0152671755725186E-2</v>
      </c>
      <c r="E123" s="104"/>
      <c r="F123" s="103">
        <f t="shared" ref="F123:F138" si="15">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1.0761099365750528</v>
      </c>
      <c r="N123" s="100">
        <f t="shared" ref="N123:N138" si="16">IF(O123="","",O123/F123-1)</f>
        <v>7.6109936575052828E-2</v>
      </c>
      <c r="O123" s="99">
        <f>IF(F123=0,"",(K123*F123*M123*I123)+(F123-F123*K123*I123))</f>
        <v>42.091506221454736</v>
      </c>
      <c r="Q123" s="146" t="s">
        <v>724</v>
      </c>
      <c r="R123" s="145" t="s">
        <v>701</v>
      </c>
      <c r="S123" s="101"/>
      <c r="U123" s="146" t="s">
        <v>724</v>
      </c>
      <c r="V123" s="145" t="s">
        <v>701</v>
      </c>
      <c r="W123" s="180"/>
      <c r="X123" s="179" t="s">
        <v>769</v>
      </c>
      <c r="Y123" s="164" t="s">
        <v>768</v>
      </c>
      <c r="Z123" s="101" t="s">
        <v>703</v>
      </c>
      <c r="AC123" s="175"/>
      <c r="AD123" s="175">
        <v>1.6E-2</v>
      </c>
      <c r="AE123" s="175" t="s">
        <v>767</v>
      </c>
      <c r="AF123" s="175"/>
      <c r="AG123" s="175"/>
      <c r="AH123" s="175"/>
      <c r="AK123" s="147" t="s">
        <v>766</v>
      </c>
      <c r="AL123" s="105">
        <v>2.8000000000000001E-2</v>
      </c>
    </row>
    <row r="124" spans="3:38" ht="32.25" outlineLevel="1" thickBot="1" x14ac:dyDescent="0.4">
      <c r="C124" s="147" t="str">
        <f t="shared" ref="C124:C136" si="17">C48</f>
        <v>Main shaft</v>
      </c>
      <c r="D124" s="105">
        <f t="shared" ref="D124:D136" si="18">F48/($F$70+$F$69+$F$68-$F$61)</f>
        <v>5.7251908396946556E-2</v>
      </c>
      <c r="E124" s="104"/>
      <c r="F124" s="103">
        <f t="shared" si="15"/>
        <v>27.938931297709921</v>
      </c>
      <c r="G124" s="101" t="s">
        <v>613</v>
      </c>
      <c r="H124" s="101"/>
      <c r="I124" s="102">
        <v>1</v>
      </c>
      <c r="J124" s="101" t="str">
        <f>'[17]From SAM'!B27</f>
        <v>Basic iron and steel</v>
      </c>
      <c r="K124" s="145">
        <f>IF(F124=0,"",VLOOKUP(J124,'[17]From SAM'!$B$2:$C$52,2,))</f>
        <v>9.7044444371923971E-2</v>
      </c>
      <c r="L124" s="101" t="s">
        <v>739</v>
      </c>
      <c r="M124" s="99">
        <f>IF(L124="E",$F$29,IF(L124="C",$F$24,""))</f>
        <v>1.0761099365750528</v>
      </c>
      <c r="N124" s="100">
        <f t="shared" si="16"/>
        <v>7.3860465061081904E-3</v>
      </c>
      <c r="O124" s="99">
        <f>IF(F124=0,"",(K124*F124*M124*I124)+(F124-F124*K124*I124))</f>
        <v>28.14528954360577</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x14ac:dyDescent="0.4">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0.1009081735620585</v>
      </c>
      <c r="O125" s="99">
        <f>F125*(1+$D$19)</f>
        <v>196.85246608792104</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x14ac:dyDescent="0.4">
      <c r="C126" s="147" t="str">
        <f t="shared" si="17"/>
        <v>Rotor bearings</v>
      </c>
      <c r="D126" s="105">
        <f t="shared" si="18"/>
        <v>3.4351145038167934E-2</v>
      </c>
      <c r="E126" s="104"/>
      <c r="F126" s="103">
        <f t="shared" si="15"/>
        <v>16.763358778625953</v>
      </c>
      <c r="G126" s="101" t="s">
        <v>612</v>
      </c>
      <c r="H126" s="101"/>
      <c r="I126" s="102">
        <v>1</v>
      </c>
      <c r="J126" s="101" t="str">
        <f>'[17]From SAM'!B27</f>
        <v>Basic iron and steel</v>
      </c>
      <c r="K126" s="145">
        <f>IF(F126=0,"",VLOOKUP(J126,'[17]From SAM'!$B$2:$C$52,2,))</f>
        <v>9.7044444371923971E-2</v>
      </c>
      <c r="L126" s="101" t="s">
        <v>739</v>
      </c>
      <c r="M126" s="99">
        <f>IF(L126="E",$F$29,IF(L126="C",$F$24,""))</f>
        <v>1.0761099365750528</v>
      </c>
      <c r="N126" s="100">
        <f t="shared" si="16"/>
        <v>0.1009081735620585</v>
      </c>
      <c r="O126" s="99">
        <f>F126*(1+$D$19)</f>
        <v>18.454918695742599</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x14ac:dyDescent="0.4">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8.3849230769230773E-2</v>
      </c>
    </row>
    <row r="128" spans="3:38" ht="63.75" outlineLevel="1" thickBot="1" x14ac:dyDescent="0.4">
      <c r="C128" s="147" t="str">
        <f t="shared" si="17"/>
        <v>Generator</v>
      </c>
      <c r="D128" s="105">
        <f t="shared" si="18"/>
        <v>6.8702290076335867E-2</v>
      </c>
      <c r="E128" s="104"/>
      <c r="F128" s="103">
        <f t="shared" si="15"/>
        <v>33.526717557251906</v>
      </c>
      <c r="G128" s="101" t="s">
        <v>612</v>
      </c>
      <c r="H128" s="101"/>
      <c r="I128" s="102">
        <v>1</v>
      </c>
      <c r="J128" s="101" t="str">
        <f>'[17]From SAM'!B31</f>
        <v>Electrical machinery</v>
      </c>
      <c r="K128" s="145">
        <f>IF(F128=0,"",VLOOKUP(J128,'[17]From SAM'!$B$2:$C$52,2,))</f>
        <v>0.13001734713264965</v>
      </c>
      <c r="L128" s="101" t="s">
        <v>739</v>
      </c>
      <c r="M128" s="99">
        <f>IF(L128="E",$F$29,IF(L128="C",$F$24,""))</f>
        <v>1.0761099365750528</v>
      </c>
      <c r="N128" s="100">
        <f t="shared" si="16"/>
        <v>0.1009081735620585</v>
      </c>
      <c r="O128" s="99">
        <f>F128*(1+$D$19)</f>
        <v>36.909837391485198</v>
      </c>
      <c r="Q128" s="146" t="s">
        <v>697</v>
      </c>
      <c r="R128" s="145" t="s">
        <v>694</v>
      </c>
      <c r="S128" s="145" t="e">
        <f>S127/S126-1</f>
        <v>#DIV/0!</v>
      </c>
      <c r="U128" s="146" t="s">
        <v>697</v>
      </c>
      <c r="V128" s="145" t="s">
        <v>694</v>
      </c>
      <c r="W128" s="145"/>
      <c r="X128" s="101"/>
      <c r="Y128" s="145"/>
      <c r="Z128" s="101"/>
      <c r="AK128" s="147" t="s">
        <v>751</v>
      </c>
      <c r="AL128" s="105">
        <v>6.0084102564102564E-2</v>
      </c>
    </row>
    <row r="129" spans="3:38" ht="32.25" outlineLevel="1" thickBot="1" x14ac:dyDescent="0.4">
      <c r="C129" s="147" t="str">
        <f t="shared" si="17"/>
        <v>Tranformer</v>
      </c>
      <c r="D129" s="105">
        <f t="shared" si="18"/>
        <v>7.6335877862595422E-2</v>
      </c>
      <c r="E129" s="104"/>
      <c r="F129" s="103">
        <f t="shared" si="15"/>
        <v>37.251908396946568</v>
      </c>
      <c r="G129" s="101" t="s">
        <v>613</v>
      </c>
      <c r="H129" s="101"/>
      <c r="I129" s="102">
        <v>1</v>
      </c>
      <c r="J129" s="101" t="str">
        <f>'[17]From SAM'!B31</f>
        <v>Electrical machinery</v>
      </c>
      <c r="K129" s="145">
        <f>IF(F129=0,"",VLOOKUP(J129,'[17]From SAM'!$B$2:$C$52,2,))</f>
        <v>0.13001734713264965</v>
      </c>
      <c r="L129" s="101" t="s">
        <v>739</v>
      </c>
      <c r="M129" s="99">
        <f>IF(L129="E",$F$29,IF(L129="C",$F$24,""))</f>
        <v>1.0761099365750528</v>
      </c>
      <c r="N129" s="100">
        <f t="shared" si="16"/>
        <v>9.8956120439224193E-3</v>
      </c>
      <c r="O129" s="99">
        <f>IF(F129=0,"",(K129*F129*M129*I129)+(F129-F129*K129*I129))</f>
        <v>37.620538830338489</v>
      </c>
      <c r="Q129" s="146" t="s">
        <v>695</v>
      </c>
      <c r="R129" s="145" t="s">
        <v>694</v>
      </c>
      <c r="S129" s="101"/>
      <c r="U129" s="146" t="s">
        <v>695</v>
      </c>
      <c r="V129" s="145" t="s">
        <v>694</v>
      </c>
      <c r="W129" s="101"/>
      <c r="X129" s="101"/>
      <c r="Y129" s="101"/>
      <c r="Z129" s="101"/>
      <c r="AK129" s="147" t="s">
        <v>750</v>
      </c>
      <c r="AL129" s="105">
        <v>1.6066666666666667E-2</v>
      </c>
    </row>
    <row r="130" spans="3:38" ht="16.5" outlineLevel="1" thickBot="1" x14ac:dyDescent="0.4">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0.1009081735620585</v>
      </c>
      <c r="O130" s="99">
        <f>F130*(1+$D$19)</f>
        <v>55.364756087227789</v>
      </c>
      <c r="AK130" s="147" t="s">
        <v>749</v>
      </c>
      <c r="AL130" s="105">
        <v>2.8000000000000001E-2</v>
      </c>
    </row>
    <row r="131" spans="3:38" ht="16.5" outlineLevel="1" thickBot="1" x14ac:dyDescent="0.4">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ref="M131:M138" si="19">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x14ac:dyDescent="0.4">
      <c r="C132" s="147" t="str">
        <f t="shared" si="17"/>
        <v>Brake system</v>
      </c>
      <c r="D132" s="105">
        <f t="shared" si="18"/>
        <v>2.6717557251908396E-2</v>
      </c>
      <c r="E132" s="104"/>
      <c r="F132" s="103">
        <f t="shared" si="15"/>
        <v>13.038167938931297</v>
      </c>
      <c r="G132" s="101" t="s">
        <v>612</v>
      </c>
      <c r="H132" s="101"/>
      <c r="I132" s="102">
        <v>1</v>
      </c>
      <c r="J132" s="101" t="str">
        <f>'[17]From SAM'!B30</f>
        <v>General machinery</v>
      </c>
      <c r="K132" s="145">
        <f>IF(F132=0,"",VLOOKUP(J132,'[17]From SAM'!$B$2:$C$52,2,))</f>
        <v>0.21461586851831049</v>
      </c>
      <c r="L132" s="101" t="s">
        <v>739</v>
      </c>
      <c r="M132" s="99">
        <f t="shared" si="19"/>
        <v>1.0761099365750528</v>
      </c>
      <c r="N132" s="100">
        <f t="shared" si="16"/>
        <v>0.1009081735620585</v>
      </c>
      <c r="O132" s="99">
        <f>F132*(1+$D$19)</f>
        <v>14.353825652244243</v>
      </c>
      <c r="Q132" s="146" t="s">
        <v>689</v>
      </c>
      <c r="R132" s="145" t="str">
        <f>R131</f>
        <v>US$</v>
      </c>
      <c r="S132" s="150">
        <f>W126</f>
        <v>489</v>
      </c>
      <c r="T132" s="149" t="s">
        <v>688</v>
      </c>
      <c r="AK132" s="147" t="s">
        <v>747</v>
      </c>
      <c r="AL132" s="105">
        <v>1.7999999999999999E-2</v>
      </c>
    </row>
    <row r="133" spans="3:38" ht="16.5" outlineLevel="1" thickBot="1" x14ac:dyDescent="0.4">
      <c r="C133" s="147" t="str">
        <f t="shared" si="17"/>
        <v>Yaw system</v>
      </c>
      <c r="D133" s="105">
        <f t="shared" si="18"/>
        <v>2.6717557251908396E-2</v>
      </c>
      <c r="E133" s="104"/>
      <c r="F133" s="103">
        <f t="shared" si="15"/>
        <v>13.038167938931297</v>
      </c>
      <c r="G133" s="101" t="s">
        <v>612</v>
      </c>
      <c r="H133" s="101"/>
      <c r="I133" s="102">
        <v>1</v>
      </c>
      <c r="J133" s="101" t="str">
        <f>'[17]From SAM'!B30</f>
        <v>General machinery</v>
      </c>
      <c r="K133" s="145">
        <f>IF(F133=0,"",VLOOKUP(J133,'[17]From SAM'!$B$2:$C$52,2,))</f>
        <v>0.21461586851831049</v>
      </c>
      <c r="L133" s="101" t="s">
        <v>739</v>
      </c>
      <c r="M133" s="99">
        <f t="shared" si="19"/>
        <v>1.0761099365750528</v>
      </c>
      <c r="N133" s="100">
        <f t="shared" si="16"/>
        <v>0.1009081735620585</v>
      </c>
      <c r="O133" s="99">
        <f>F133*(1+$D$19)</f>
        <v>14.353825652244243</v>
      </c>
      <c r="Q133" s="146" t="s">
        <v>686</v>
      </c>
      <c r="R133" s="145" t="str">
        <f>R132</f>
        <v>US$</v>
      </c>
      <c r="S133" s="101">
        <v>488</v>
      </c>
      <c r="T133" s="143" t="s">
        <v>685</v>
      </c>
      <c r="AK133" s="147" t="s">
        <v>746</v>
      </c>
      <c r="AL133" s="105">
        <v>2.3640000000000001E-2</v>
      </c>
    </row>
    <row r="134" spans="3:38" ht="16.5" outlineLevel="1" thickBot="1" x14ac:dyDescent="0.4">
      <c r="C134" s="147" t="str">
        <f t="shared" si="17"/>
        <v>Mainfraim</v>
      </c>
      <c r="D134" s="105">
        <f t="shared" si="18"/>
        <v>5.7251908396946556E-2</v>
      </c>
      <c r="E134" s="104"/>
      <c r="F134" s="103">
        <f t="shared" si="15"/>
        <v>27.938931297709921</v>
      </c>
      <c r="G134" s="101" t="s">
        <v>612</v>
      </c>
      <c r="H134" s="101"/>
      <c r="I134" s="102">
        <v>1</v>
      </c>
      <c r="J134" s="101" t="str">
        <f>'[17]From SAM'!B27</f>
        <v>Basic iron and steel</v>
      </c>
      <c r="K134" s="145">
        <f>IF(F134=0,"",VLOOKUP(J134,'[17]From SAM'!$B$2:$C$52,2,))</f>
        <v>9.7044444371923971E-2</v>
      </c>
      <c r="L134" s="101" t="s">
        <v>739</v>
      </c>
      <c r="M134" s="99">
        <f t="shared" si="19"/>
        <v>1.0761099365750528</v>
      </c>
      <c r="N134" s="100">
        <f t="shared" si="16"/>
        <v>0.1009081735620585</v>
      </c>
      <c r="O134" s="99">
        <f>F134*(1+$D$19)</f>
        <v>30.758197826237662</v>
      </c>
      <c r="AK134" s="147" t="s">
        <v>745</v>
      </c>
      <c r="AL134" s="105">
        <v>0.03</v>
      </c>
    </row>
    <row r="135" spans="3:38" ht="16.5" outlineLevel="1" thickBot="1" x14ac:dyDescent="0.4">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5.0000000000000001E-3</v>
      </c>
    </row>
    <row r="136" spans="3:38" ht="16.5" outlineLevel="1" thickBot="1" x14ac:dyDescent="0.4">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0.21461586851831049</v>
      </c>
      <c r="L136" s="101" t="s">
        <v>739</v>
      </c>
      <c r="M136" s="99">
        <f t="shared" si="19"/>
        <v>1.0761099365750528</v>
      </c>
      <c r="N136" s="100">
        <f t="shared" si="16"/>
        <v>1.6334400140928462E-2</v>
      </c>
      <c r="O136" s="99">
        <f>IF(F136=0,"",(K136*F136*M136*I136)+(F136-F136*K136*I136))</f>
        <v>51.111534565865924</v>
      </c>
      <c r="AK136" s="147" t="s">
        <v>743</v>
      </c>
      <c r="AL136" s="105">
        <v>6.0000000000000001E-3</v>
      </c>
    </row>
    <row r="137" spans="3:38" ht="16.5" outlineLevel="1" thickBot="1" x14ac:dyDescent="0.4">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38" ht="16.5" outlineLevel="1" thickBot="1" x14ac:dyDescent="0.4">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38" s="91" customFormat="1" ht="16.5" outlineLevel="1" thickBot="1" x14ac:dyDescent="0.4">
      <c r="C139" s="157" t="s">
        <v>690</v>
      </c>
      <c r="D139" s="156">
        <f>SUM(D123:D138)</f>
        <v>1</v>
      </c>
      <c r="E139" s="156"/>
      <c r="F139" s="174">
        <f>S133</f>
        <v>488</v>
      </c>
      <c r="G139" s="101"/>
      <c r="H139" s="101"/>
      <c r="I139" s="154"/>
      <c r="J139" s="153"/>
      <c r="K139" s="145"/>
      <c r="L139" s="153"/>
      <c r="M139" s="153"/>
      <c r="N139" s="152">
        <f>O139/F139-1</f>
        <v>7.7903066709770208E-2</v>
      </c>
      <c r="O139" s="151">
        <f>SUM(O123:O138)</f>
        <v>526.01669655436785</v>
      </c>
      <c r="Q139" s="77"/>
      <c r="R139" s="77"/>
      <c r="S139" s="77"/>
      <c r="T139" s="77"/>
      <c r="U139" s="77"/>
      <c r="V139" s="77"/>
      <c r="W139" s="77"/>
      <c r="X139" s="77"/>
    </row>
    <row r="140" spans="3:38" ht="48" outlineLevel="1" thickBot="1" x14ac:dyDescent="0.4">
      <c r="C140" s="146"/>
      <c r="D140" s="148"/>
      <c r="E140" s="148"/>
      <c r="F140" s="147" t="s">
        <v>735</v>
      </c>
      <c r="G140" s="147"/>
      <c r="H140" s="147"/>
      <c r="I140" s="147" t="s">
        <v>734</v>
      </c>
      <c r="J140" s="147"/>
      <c r="K140" s="147"/>
      <c r="L140" s="147"/>
      <c r="M140" s="147"/>
      <c r="N140" s="145"/>
      <c r="O140" s="145"/>
    </row>
    <row r="142" spans="3:38" s="167" customFormat="1" ht="19.149999999999999" customHeight="1" x14ac:dyDescent="0.35">
      <c r="C142" s="167" t="s">
        <v>733</v>
      </c>
      <c r="D142" s="168" t="s">
        <v>741</v>
      </c>
      <c r="F142" s="169" t="s">
        <v>732</v>
      </c>
      <c r="G142" s="170" t="s">
        <v>705</v>
      </c>
      <c r="H142" s="169"/>
      <c r="I142" s="169"/>
      <c r="J142" s="169"/>
      <c r="K142" s="169"/>
      <c r="L142" s="169"/>
      <c r="M142" s="169"/>
      <c r="N142" s="169"/>
      <c r="P142" s="169" t="s">
        <v>731</v>
      </c>
      <c r="Q142" s="168" t="s">
        <v>740</v>
      </c>
    </row>
    <row r="143" spans="3:38" ht="16.5" outlineLevel="1" thickBot="1" x14ac:dyDescent="0.4"/>
    <row r="144" spans="3:38" s="166" customFormat="1" ht="79.5" outlineLevel="1" thickBot="1" x14ac:dyDescent="0.25">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31" ht="63.75" outlineLevel="1" thickBot="1" x14ac:dyDescent="0.4">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0.21461586851831049</v>
      </c>
      <c r="L145" s="101" t="s">
        <v>739</v>
      </c>
      <c r="M145" s="99">
        <f t="shared" ref="M145:M153" si="20">IF(L145="E",$F$29,IF(L145="C",$F$24,""))</f>
        <v>1.0761099365750528</v>
      </c>
      <c r="N145" s="100">
        <f t="shared" ref="N145:N153" si="21">IF(O145="","",O145/F145-1)</f>
        <v>1.6334400140928462E-2</v>
      </c>
      <c r="O145" s="99">
        <f t="shared" ref="O145:O153" si="22">IF(F145=0,"",(K145*F145*M145*I145)+(F145-F145*K145*I145))</f>
        <v>60.980064008455706</v>
      </c>
      <c r="Q145" s="146" t="s">
        <v>724</v>
      </c>
      <c r="R145" s="145" t="s">
        <v>701</v>
      </c>
      <c r="S145" s="101"/>
      <c r="U145" s="146" t="s">
        <v>724</v>
      </c>
      <c r="V145" s="145" t="s">
        <v>701</v>
      </c>
      <c r="W145" s="101"/>
      <c r="X145" s="101"/>
    </row>
    <row r="146" spans="3:31" ht="32.25" outlineLevel="1" thickBot="1" x14ac:dyDescent="0.4">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0.21461586851831049</v>
      </c>
      <c r="L146" s="101" t="s">
        <v>739</v>
      </c>
      <c r="M146" s="99">
        <f t="shared" si="20"/>
        <v>1.0761099365750528</v>
      </c>
      <c r="N146" s="100">
        <f t="shared" si="21"/>
        <v>1.6334400140928684E-2</v>
      </c>
      <c r="O146" s="99">
        <f t="shared" si="22"/>
        <v>44.718713606200858</v>
      </c>
      <c r="Q146" s="146" t="s">
        <v>718</v>
      </c>
      <c r="R146" s="145" t="s">
        <v>719</v>
      </c>
      <c r="S146" s="101"/>
      <c r="U146" s="146" t="s">
        <v>718</v>
      </c>
      <c r="V146" s="145" t="s">
        <v>701</v>
      </c>
      <c r="W146" s="101"/>
      <c r="X146" s="101"/>
    </row>
    <row r="147" spans="3:31" ht="48" outlineLevel="1" thickBot="1" x14ac:dyDescent="0.4">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31" ht="48" outlineLevel="1" thickBot="1" x14ac:dyDescent="0.4">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31" ht="48" outlineLevel="1" thickBot="1" x14ac:dyDescent="0.4">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31" ht="63.75" outlineLevel="1" thickBot="1" x14ac:dyDescent="0.4">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31" ht="32.25" outlineLevel="1" thickBot="1" x14ac:dyDescent="0.4">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31" ht="16.5" outlineLevel="1" thickBot="1" x14ac:dyDescent="0.4">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31" ht="16.5" outlineLevel="1" thickBot="1" x14ac:dyDescent="0.4">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31" s="91" customFormat="1" ht="16.5" outlineLevel="1" thickBot="1" x14ac:dyDescent="0.4">
      <c r="C154" s="157" t="s">
        <v>690</v>
      </c>
      <c r="D154" s="156">
        <f>SUM(D145:D153)</f>
        <v>1</v>
      </c>
      <c r="E154" s="156"/>
      <c r="F154" s="171">
        <f>S155</f>
        <v>104</v>
      </c>
      <c r="G154" s="101"/>
      <c r="H154" s="101"/>
      <c r="I154" s="154"/>
      <c r="J154" s="153"/>
      <c r="K154" s="145"/>
      <c r="L154" s="153"/>
      <c r="M154" s="153"/>
      <c r="N154" s="152">
        <f>O154/F154-1</f>
        <v>1.6334400140928462E-2</v>
      </c>
      <c r="O154" s="151">
        <f>SUM(O145:O153)</f>
        <v>105.69877761465656</v>
      </c>
      <c r="Q154" s="146" t="s">
        <v>689</v>
      </c>
      <c r="R154" s="145" t="str">
        <f>R153</f>
        <v>US$</v>
      </c>
      <c r="S154" s="145">
        <v>104</v>
      </c>
      <c r="T154" s="149" t="s">
        <v>736</v>
      </c>
      <c r="U154" s="77"/>
      <c r="V154" s="77"/>
      <c r="W154" s="77"/>
      <c r="X154" s="77"/>
    </row>
    <row r="155" spans="3:31" ht="48" outlineLevel="1" thickBot="1" x14ac:dyDescent="0.4">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31" s="167" customFormat="1" x14ac:dyDescent="0.35">
      <c r="C157" s="167" t="s">
        <v>733</v>
      </c>
      <c r="D157" s="168" t="s">
        <v>622</v>
      </c>
      <c r="F157" s="169" t="s">
        <v>732</v>
      </c>
      <c r="G157" s="170" t="s">
        <v>705</v>
      </c>
      <c r="H157" s="169"/>
      <c r="I157" s="169"/>
      <c r="J157" s="169"/>
      <c r="K157" s="169"/>
      <c r="L157" s="169"/>
      <c r="M157" s="169"/>
      <c r="N157" s="169"/>
      <c r="P157" s="169" t="s">
        <v>731</v>
      </c>
      <c r="Q157" s="168"/>
    </row>
    <row r="158" spans="3:31" ht="16.5" outlineLevel="1" thickBot="1" x14ac:dyDescent="0.4"/>
    <row r="159" spans="3:31" s="166" customFormat="1" ht="79.5" outlineLevel="1" thickBot="1" x14ac:dyDescent="0.25">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31" ht="63.75" outlineLevel="1" thickBot="1" x14ac:dyDescent="0.4">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ref="N160:N168" si="23">IF(O160="","",O160/F160-1)</f>
        <v>0.1009081735620585</v>
      </c>
      <c r="O160" s="99">
        <f>F160*(1+$D$19)</f>
        <v>96.805527824066886</v>
      </c>
      <c r="Q160" s="146" t="s">
        <v>724</v>
      </c>
      <c r="R160" s="145" t="s">
        <v>701</v>
      </c>
      <c r="S160" s="101"/>
      <c r="U160" s="146" t="s">
        <v>724</v>
      </c>
      <c r="V160" s="145" t="s">
        <v>723</v>
      </c>
      <c r="W160" s="164" t="s">
        <v>722</v>
      </c>
      <c r="X160" s="101" t="s">
        <v>709</v>
      </c>
      <c r="Y160" s="164" t="s">
        <v>721</v>
      </c>
      <c r="Z160" s="163" t="s">
        <v>703</v>
      </c>
    </row>
    <row r="161" spans="1:34" ht="32.25" outlineLevel="1" thickBot="1" x14ac:dyDescent="0.4">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2.4354066985645932</v>
      </c>
      <c r="N161" s="100">
        <f t="shared" si="23"/>
        <v>1.4354066985645932</v>
      </c>
      <c r="O161" s="99">
        <f>IF(F161=0,"",IF(G161="N",F161,(K161*F161*M161*I161)+(F161-F161*K161*I161)))</f>
        <v>111.42335190450686</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1:34" ht="48" outlineLevel="1" thickBot="1" x14ac:dyDescent="0.4">
      <c r="C162" s="147" t="s">
        <v>713</v>
      </c>
      <c r="D162" s="104">
        <v>7.4594718425028433E-2</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2.4354066985645932</v>
      </c>
      <c r="N162" s="100">
        <f t="shared" si="23"/>
        <v>1.4354066985645928</v>
      </c>
      <c r="O162" s="99">
        <f>IF(F162=0,"",IF(G162="N",F162,(K162*F162*M162*I162)+(F162-F162*K162*I162)))</f>
        <v>33.426999755093121</v>
      </c>
      <c r="Q162" s="146" t="s">
        <v>711</v>
      </c>
      <c r="R162" s="145" t="s">
        <v>710</v>
      </c>
      <c r="S162" s="101"/>
      <c r="U162" s="146" t="s">
        <v>711</v>
      </c>
      <c r="V162" s="145" t="s">
        <v>710</v>
      </c>
      <c r="W162" s="164">
        <v>300</v>
      </c>
      <c r="X162" s="101" t="s">
        <v>709</v>
      </c>
      <c r="Y162" s="164">
        <v>650</v>
      </c>
      <c r="Z162" s="163"/>
      <c r="AF162" s="77">
        <v>480</v>
      </c>
      <c r="AG162" s="77" t="s">
        <v>141</v>
      </c>
    </row>
    <row r="163" spans="1:34" ht="63.75" outlineLevel="1" thickBot="1" x14ac:dyDescent="0.4">
      <c r="C163" s="147" t="s">
        <v>708</v>
      </c>
      <c r="D163" s="104">
        <v>4.4978142700648456E-3</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1:34" ht="48" outlineLevel="1" thickBot="1" x14ac:dyDescent="0.4">
      <c r="C164" s="147" t="s">
        <v>702</v>
      </c>
      <c r="D164" s="104">
        <v>2.821175102407418E-2</v>
      </c>
      <c r="E164" s="104"/>
      <c r="F164" s="103">
        <f>D164*$F169</f>
        <v>5.1909621884296495</v>
      </c>
      <c r="G164" s="101" t="s">
        <v>612</v>
      </c>
      <c r="H164" s="101"/>
      <c r="I164" s="102"/>
      <c r="J164" s="101"/>
      <c r="K164" s="145" t="str">
        <f>IF(F164=0,"",IF(G164="N","",VLOOKUP(J164,'[17]From SAM'!$B$2:$C$52,2,)))</f>
        <v/>
      </c>
      <c r="L164" s="101"/>
      <c r="M164" s="99"/>
      <c r="N164" s="100">
        <f t="shared" si="23"/>
        <v>0.1009081735620585</v>
      </c>
      <c r="O164" s="99">
        <f>F164*(1+$D$19)</f>
        <v>5.7147727018937919</v>
      </c>
      <c r="Q164" s="146" t="s">
        <v>700</v>
      </c>
      <c r="R164" s="145" t="s">
        <v>701</v>
      </c>
      <c r="S164" s="101"/>
      <c r="U164" s="146" t="s">
        <v>700</v>
      </c>
      <c r="V164" s="145" t="s">
        <v>699</v>
      </c>
      <c r="W164" s="161"/>
      <c r="X164" s="160"/>
      <c r="Y164" s="161"/>
      <c r="Z164" s="160"/>
    </row>
    <row r="165" spans="1:34" ht="63.75" outlineLevel="1" thickBot="1" x14ac:dyDescent="0.4">
      <c r="C165" s="147" t="s">
        <v>698</v>
      </c>
      <c r="D165" s="104">
        <v>7.6931593402314494E-2</v>
      </c>
      <c r="E165" s="104"/>
      <c r="F165" s="103">
        <f>D165*$F169</f>
        <v>14.155413186025866</v>
      </c>
      <c r="G165" s="101" t="s">
        <v>612</v>
      </c>
      <c r="H165" s="101"/>
      <c r="I165" s="102"/>
      <c r="J165" s="101"/>
      <c r="K165" s="145" t="str">
        <f>IF(F165=0,"",IF(G165="N","",VLOOKUP(J165,'[17]From SAM'!$B$2:$C$52,2,)))</f>
        <v/>
      </c>
      <c r="L165" s="101"/>
      <c r="M165" s="99"/>
      <c r="N165" s="100">
        <f t="shared" si="23"/>
        <v>0.1009081735620585</v>
      </c>
      <c r="O165" s="99">
        <f>F165*(1+$D$19)</f>
        <v>15.583810076644015</v>
      </c>
      <c r="Q165" s="146" t="s">
        <v>697</v>
      </c>
      <c r="R165" s="145" t="s">
        <v>694</v>
      </c>
      <c r="S165" s="145" t="e">
        <f>S164/S163-1</f>
        <v>#DIV/0!</v>
      </c>
      <c r="U165" s="146" t="s">
        <v>697</v>
      </c>
      <c r="V165" s="145" t="s">
        <v>694</v>
      </c>
      <c r="W165" s="145"/>
      <c r="X165" s="101"/>
      <c r="Y165" s="145"/>
      <c r="Z165" s="101"/>
    </row>
    <row r="166" spans="1:34" ht="32.25" outlineLevel="1" thickBot="1" x14ac:dyDescent="0.4">
      <c r="C166" s="147" t="s">
        <v>696</v>
      </c>
      <c r="D166" s="104">
        <v>4.2282971554360293E-3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1:34" ht="16.5" outlineLevel="1" thickBot="1" x14ac:dyDescent="0.4">
      <c r="C167" s="147" t="s">
        <v>693</v>
      </c>
      <c r="D167" s="104">
        <v>2.8667717132280793E-2</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1:34" ht="16.5" outlineLevel="1" thickBot="1" x14ac:dyDescent="0.4">
      <c r="C168" s="147" t="s">
        <v>692</v>
      </c>
      <c r="D168" s="104">
        <v>5.6325377830156849E-2</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1:34" s="91" customFormat="1" ht="16.5" outlineLevel="1" thickBot="1" x14ac:dyDescent="0.4">
      <c r="C169" s="157" t="s">
        <v>690</v>
      </c>
      <c r="D169" s="156">
        <f>SUM(D160:D168)</f>
        <v>1</v>
      </c>
      <c r="E169" s="156"/>
      <c r="F169" s="155">
        <f>S170</f>
        <v>184</v>
      </c>
      <c r="G169" s="101"/>
      <c r="H169" s="101"/>
      <c r="I169" s="154"/>
      <c r="J169" s="153"/>
      <c r="K169" s="145"/>
      <c r="L169" s="153"/>
      <c r="M169" s="153"/>
      <c r="N169" s="152">
        <f>O169/F169-1</f>
        <v>0.52281954476948544</v>
      </c>
      <c r="O169" s="151">
        <f>SUM(O160:O168)</f>
        <v>280.19879623758533</v>
      </c>
      <c r="Q169" s="146" t="s">
        <v>689</v>
      </c>
      <c r="R169" s="145" t="str">
        <f>R168</f>
        <v>US$</v>
      </c>
      <c r="S169" s="150">
        <f>W163</f>
        <v>184</v>
      </c>
      <c r="T169" s="149" t="s">
        <v>688</v>
      </c>
      <c r="U169" s="77"/>
      <c r="V169" s="77"/>
      <c r="W169" s="77"/>
      <c r="X169" s="77"/>
    </row>
    <row r="170" spans="1:34" ht="63.75" outlineLevel="1" thickBot="1" x14ac:dyDescent="0.4">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4" x14ac:dyDescent="0.35">
      <c r="A172" s="107"/>
      <c r="B172" s="107"/>
      <c r="C172" s="107"/>
    </row>
    <row r="174" spans="1:34" ht="17.25" x14ac:dyDescent="0.35">
      <c r="A174" s="78"/>
      <c r="B174" s="78"/>
      <c r="K174" s="96"/>
    </row>
    <row r="175" spans="1:34" ht="17.25" x14ac:dyDescent="0.35">
      <c r="A175" s="142" t="s">
        <v>684</v>
      </c>
      <c r="B175" s="78"/>
      <c r="K175" s="96"/>
    </row>
    <row r="176" spans="1:34" ht="17.25" x14ac:dyDescent="0.35">
      <c r="A176" s="78"/>
      <c r="B176" s="78"/>
      <c r="K176" s="96"/>
    </row>
    <row r="177" spans="1:14" ht="17.25" x14ac:dyDescent="0.35">
      <c r="A177" s="78"/>
      <c r="B177" s="78"/>
      <c r="C177" s="124" t="s">
        <v>683</v>
      </c>
      <c r="D177" s="121"/>
      <c r="E177" s="121"/>
      <c r="F177" s="140"/>
      <c r="H177" s="124" t="s">
        <v>682</v>
      </c>
      <c r="I177" s="121"/>
      <c r="J177" s="121"/>
      <c r="K177" s="141"/>
      <c r="L177" s="121"/>
      <c r="M177" s="121"/>
      <c r="N177" s="140"/>
    </row>
    <row r="178" spans="1:14" ht="17.25" x14ac:dyDescent="0.35">
      <c r="A178" s="78"/>
      <c r="B178" s="78"/>
      <c r="C178" s="139" t="s">
        <v>681</v>
      </c>
      <c r="D178" s="137"/>
      <c r="E178" s="137"/>
      <c r="F178" s="130"/>
      <c r="H178" s="134" t="s">
        <v>680</v>
      </c>
      <c r="K178" s="96"/>
      <c r="L178" s="77" t="s">
        <v>679</v>
      </c>
      <c r="M178" s="77" t="s">
        <v>678</v>
      </c>
      <c r="N178" s="130"/>
    </row>
    <row r="179" spans="1:14" ht="17.25" x14ac:dyDescent="0.35">
      <c r="A179" s="78"/>
      <c r="B179" s="78"/>
      <c r="C179" s="138">
        <v>116</v>
      </c>
      <c r="D179" s="137" t="s">
        <v>677</v>
      </c>
      <c r="E179" s="137" t="s">
        <v>676</v>
      </c>
      <c r="F179" s="130"/>
      <c r="H179" s="134" t="s">
        <v>675</v>
      </c>
      <c r="K179" s="96"/>
      <c r="L179" s="133">
        <v>33000</v>
      </c>
      <c r="M179" s="77" t="s">
        <v>674</v>
      </c>
      <c r="N179" s="130"/>
    </row>
    <row r="180" spans="1:14" ht="17.25" x14ac:dyDescent="0.35">
      <c r="A180" s="78"/>
      <c r="B180" s="78"/>
      <c r="C180" s="134" t="s">
        <v>673</v>
      </c>
      <c r="D180" s="77">
        <v>7.85</v>
      </c>
      <c r="E180" s="77" t="s">
        <v>672</v>
      </c>
      <c r="F180" s="130"/>
      <c r="H180" s="136">
        <v>109</v>
      </c>
      <c r="I180" s="77" t="s">
        <v>671</v>
      </c>
      <c r="K180" s="96"/>
      <c r="L180" s="133">
        <f>L179*(1-15%)</f>
        <v>28050</v>
      </c>
      <c r="M180" s="77" t="s">
        <v>670</v>
      </c>
      <c r="N180" s="130"/>
    </row>
    <row r="181" spans="1:14" ht="17.25" x14ac:dyDescent="0.35">
      <c r="A181" s="78"/>
      <c r="B181" s="78"/>
      <c r="C181" s="134"/>
      <c r="F181" s="130"/>
      <c r="H181" s="134">
        <v>50</v>
      </c>
      <c r="I181" s="77" t="s">
        <v>669</v>
      </c>
      <c r="K181" s="96"/>
      <c r="L181" s="77">
        <v>2.4</v>
      </c>
      <c r="M181" s="77" t="s">
        <v>668</v>
      </c>
      <c r="N181" s="130"/>
    </row>
    <row r="182" spans="1:14" ht="17.25" x14ac:dyDescent="0.35">
      <c r="A182" s="78"/>
      <c r="B182" s="78"/>
      <c r="C182" s="134" t="s">
        <v>667</v>
      </c>
      <c r="D182" s="77">
        <f>650*(PI()*0.6^2)</f>
        <v>735.1326809400116</v>
      </c>
      <c r="E182" s="77" t="s">
        <v>666</v>
      </c>
      <c r="F182" s="130"/>
      <c r="H182" s="134"/>
      <c r="K182" s="96"/>
      <c r="L182" s="133">
        <f>L180/25</f>
        <v>1122</v>
      </c>
      <c r="M182" s="77" t="s">
        <v>665</v>
      </c>
      <c r="N182" s="130"/>
    </row>
    <row r="183" spans="1:14" ht="17.25" x14ac:dyDescent="0.35">
      <c r="A183" s="78"/>
      <c r="B183" s="78"/>
      <c r="C183" s="134"/>
      <c r="F183" s="130"/>
      <c r="H183" s="132">
        <f>H180*(1-15%)/H181</f>
        <v>1.8529999999999998</v>
      </c>
      <c r="I183" s="77" t="s">
        <v>664</v>
      </c>
      <c r="K183" s="96"/>
      <c r="L183" s="135">
        <f>L182/L181</f>
        <v>467.5</v>
      </c>
      <c r="M183" s="91" t="s">
        <v>663</v>
      </c>
      <c r="N183" s="130"/>
    </row>
    <row r="184" spans="1:14" ht="17.25" x14ac:dyDescent="0.3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x14ac:dyDescent="0.35">
      <c r="A185" s="78"/>
      <c r="B185" s="78"/>
      <c r="C185" s="129"/>
      <c r="D185" s="90"/>
      <c r="E185" s="90">
        <f>D16</f>
        <v>14.4</v>
      </c>
      <c r="F185" s="126" t="s">
        <v>659</v>
      </c>
      <c r="H185" s="128">
        <v>0.1</v>
      </c>
      <c r="I185" s="127" t="s">
        <v>658</v>
      </c>
      <c r="J185" s="90"/>
      <c r="K185" s="97"/>
      <c r="L185" s="90"/>
      <c r="M185" s="90"/>
      <c r="N185" s="126"/>
    </row>
    <row r="186" spans="1:14" ht="17.25" x14ac:dyDescent="0.35">
      <c r="B186" s="78"/>
      <c r="C186" s="91" t="s">
        <v>657</v>
      </c>
      <c r="K186" s="96"/>
    </row>
    <row r="187" spans="1:14" ht="17.25" x14ac:dyDescent="0.35">
      <c r="B187" s="78"/>
      <c r="C187" s="77" t="s">
        <v>656</v>
      </c>
      <c r="D187" s="125" t="s">
        <v>655</v>
      </c>
      <c r="E187" s="90"/>
      <c r="F187" s="90"/>
      <c r="K187" s="96"/>
    </row>
    <row r="188" spans="1:14" ht="17.25" x14ac:dyDescent="0.35">
      <c r="B188" s="78"/>
      <c r="D188" s="91" t="s">
        <v>626</v>
      </c>
      <c r="E188" s="91" t="s">
        <v>654</v>
      </c>
      <c r="F188" s="91" t="s">
        <v>221</v>
      </c>
      <c r="K188" s="96"/>
    </row>
    <row r="189" spans="1:14" ht="17.25" x14ac:dyDescent="0.35">
      <c r="B189" s="78"/>
      <c r="C189" s="91" t="s">
        <v>653</v>
      </c>
      <c r="D189" s="92">
        <f>'[16]Materials used'!Z44</f>
        <v>15.57</v>
      </c>
      <c r="E189" s="92">
        <f>'[16]Materials used'!AA44</f>
        <v>85.72</v>
      </c>
      <c r="F189" s="92">
        <f>SUM(D189:E189)</f>
        <v>101.28999999999999</v>
      </c>
      <c r="K189" s="96"/>
    </row>
    <row r="190" spans="1:14" ht="17.25" x14ac:dyDescent="0.35">
      <c r="B190" s="78"/>
      <c r="C190" s="91" t="s">
        <v>604</v>
      </c>
      <c r="D190" s="92">
        <f>'[16]Materials used'!Z45</f>
        <v>242.59</v>
      </c>
      <c r="F190" s="92">
        <f>SUM(D190:E190)</f>
        <v>242.59</v>
      </c>
      <c r="K190" s="96"/>
    </row>
    <row r="191" spans="1:14" ht="17.25" x14ac:dyDescent="0.35">
      <c r="B191" s="78"/>
      <c r="C191" s="91"/>
      <c r="D191" s="82"/>
      <c r="E191" s="82"/>
      <c r="K191" s="96"/>
    </row>
    <row r="192" spans="1:14" ht="17.25" x14ac:dyDescent="0.35">
      <c r="B192" s="78"/>
      <c r="C192" s="91" t="s">
        <v>652</v>
      </c>
      <c r="D192" s="82"/>
      <c r="E192" s="82"/>
      <c r="K192" s="96"/>
    </row>
    <row r="193" spans="1:21" ht="17.25" x14ac:dyDescent="0.35">
      <c r="B193" s="78"/>
      <c r="C193" s="124"/>
      <c r="D193" s="121"/>
      <c r="E193" s="123"/>
      <c r="F193" s="121"/>
      <c r="G193" s="121"/>
      <c r="H193" s="121"/>
      <c r="I193" s="121"/>
      <c r="J193" s="121"/>
      <c r="K193" s="122" t="s">
        <v>651</v>
      </c>
      <c r="L193" s="121"/>
      <c r="M193" s="121"/>
      <c r="N193" s="121"/>
      <c r="O193" s="121"/>
      <c r="P193" s="120" t="s">
        <v>650</v>
      </c>
    </row>
    <row r="194" spans="1:21" ht="17.25" x14ac:dyDescent="0.35">
      <c r="B194" s="78" t="s">
        <v>648</v>
      </c>
      <c r="C194" s="119" t="s">
        <v>649</v>
      </c>
      <c r="E194" s="113"/>
      <c r="G194" s="77" t="s">
        <v>613</v>
      </c>
      <c r="K194" s="77" t="s">
        <v>606</v>
      </c>
      <c r="P194" s="118">
        <f>E184*D189/1000</f>
        <v>21.734453413142766</v>
      </c>
    </row>
    <row r="195" spans="1:21" ht="17.25" x14ac:dyDescent="0.3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1:21" ht="17.25" x14ac:dyDescent="0.35">
      <c r="B196" s="78"/>
      <c r="C196" s="91"/>
      <c r="E196" s="113"/>
      <c r="P196" s="112"/>
    </row>
    <row r="197" spans="1:21" ht="27.75" x14ac:dyDescent="0.55000000000000004">
      <c r="B197" s="78"/>
      <c r="C197" s="114" t="s">
        <v>646</v>
      </c>
      <c r="E197" s="113"/>
      <c r="P197" s="112"/>
    </row>
    <row r="198" spans="1:21" ht="17.25" x14ac:dyDescent="0.35">
      <c r="B198" s="78"/>
      <c r="C198" s="77" t="s">
        <v>645</v>
      </c>
      <c r="E198" s="113"/>
      <c r="P198" s="112"/>
    </row>
    <row r="199" spans="1:21" ht="17.25" x14ac:dyDescent="0.35">
      <c r="B199" s="78"/>
      <c r="C199" s="77" t="s">
        <v>644</v>
      </c>
      <c r="E199" s="113"/>
      <c r="P199" s="112"/>
    </row>
    <row r="200" spans="1:21" ht="17.25" x14ac:dyDescent="0.35">
      <c r="B200" s="78"/>
      <c r="C200" s="77" t="s">
        <v>643</v>
      </c>
      <c r="E200" s="113"/>
      <c r="P200" s="112"/>
    </row>
    <row r="201" spans="1:21" ht="17.25" x14ac:dyDescent="0.35">
      <c r="B201" s="78"/>
      <c r="C201" s="77" t="s">
        <v>642</v>
      </c>
      <c r="E201" s="113"/>
      <c r="P201" s="112"/>
    </row>
    <row r="202" spans="1:21" ht="17.25" x14ac:dyDescent="0.35">
      <c r="B202" s="78"/>
      <c r="C202" s="91"/>
      <c r="E202" s="113"/>
      <c r="P202" s="112"/>
    </row>
    <row r="203" spans="1:21" ht="25.5" thickBot="1" x14ac:dyDescent="0.55000000000000004">
      <c r="B203" s="78"/>
      <c r="C203" s="91"/>
      <c r="E203" s="113"/>
      <c r="P203" s="112"/>
      <c r="T203" s="111" t="s">
        <v>641</v>
      </c>
    </row>
    <row r="204" spans="1:21" ht="63.75" thickBot="1" x14ac:dyDescent="0.4">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x14ac:dyDescent="0.35">
      <c r="A205" s="78" t="s">
        <v>626</v>
      </c>
      <c r="B205" s="78"/>
      <c r="C205" s="77" t="str">
        <f>C194</f>
        <v>For Rebar (steel)</v>
      </c>
      <c r="G205" s="77" t="s">
        <v>613</v>
      </c>
      <c r="K205" s="77" t="s">
        <v>606</v>
      </c>
      <c r="P205" s="108">
        <f>P194</f>
        <v>21.734453413142766</v>
      </c>
      <c r="T205" s="77" t="s">
        <v>613</v>
      </c>
      <c r="U205" s="77" t="s">
        <v>613</v>
      </c>
    </row>
    <row r="206" spans="1:21" ht="18" thickBot="1" x14ac:dyDescent="0.4">
      <c r="B206" s="78"/>
      <c r="C206" s="77" t="str">
        <f>C195</f>
        <v xml:space="preserve">for Concrete </v>
      </c>
      <c r="G206" s="77" t="s">
        <v>613</v>
      </c>
      <c r="K206" s="77" t="s">
        <v>604</v>
      </c>
      <c r="P206" s="108">
        <f>P195</f>
        <v>7.8757517361111109</v>
      </c>
      <c r="T206" s="77" t="s">
        <v>613</v>
      </c>
      <c r="U206" s="77" t="s">
        <v>613</v>
      </c>
    </row>
    <row r="207" spans="1:21" ht="18" thickBot="1" x14ac:dyDescent="0.4">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9.7044444371923971E-2</v>
      </c>
      <c r="M207" s="101" t="str">
        <f>L93</f>
        <v>C</v>
      </c>
      <c r="N207" s="99">
        <f>M93</f>
        <v>2.4354066985645932</v>
      </c>
      <c r="O207" s="100">
        <f>N93</f>
        <v>0.13929824550993875</v>
      </c>
      <c r="P207" s="99">
        <f>O93</f>
        <v>121.53518852944353</v>
      </c>
      <c r="T207" s="77" t="s">
        <v>613</v>
      </c>
      <c r="U207" s="77" t="s">
        <v>613</v>
      </c>
    </row>
    <row r="208" spans="1:21" ht="18" thickBot="1" x14ac:dyDescent="0.4">
      <c r="A208" s="78" t="str">
        <f>D105</f>
        <v>Tower - concrete</v>
      </c>
      <c r="B208" s="78"/>
      <c r="C208" s="106" t="str">
        <f t="shared" ref="C208:G209" si="24">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ref="L208:P209" si="25">K108</f>
        <v>9.7044444371923971E-2</v>
      </c>
      <c r="M208" s="101" t="str">
        <f t="shared" si="25"/>
        <v>C</v>
      </c>
      <c r="N208" s="99">
        <f t="shared" si="25"/>
        <v>2.4354066985645932</v>
      </c>
      <c r="O208" s="100">
        <f t="shared" si="25"/>
        <v>0.13929824550993875</v>
      </c>
      <c r="P208" s="99">
        <f t="shared" si="25"/>
        <v>58.092508347356741</v>
      </c>
      <c r="T208" s="77" t="s">
        <v>613</v>
      </c>
      <c r="U208" s="77" t="s">
        <v>613</v>
      </c>
    </row>
    <row r="209" spans="1:21" ht="18" thickBot="1" x14ac:dyDescent="0.4">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0.10947716642839322</v>
      </c>
      <c r="M209" s="101" t="str">
        <f t="shared" si="25"/>
        <v>C</v>
      </c>
      <c r="N209" s="99">
        <f t="shared" si="25"/>
        <v>2.4354066985645932</v>
      </c>
      <c r="O209" s="100">
        <f t="shared" si="25"/>
        <v>0.15714425803118659</v>
      </c>
      <c r="P209" s="99">
        <f t="shared" si="25"/>
        <v>29.880510658168529</v>
      </c>
      <c r="T209" s="77" t="s">
        <v>613</v>
      </c>
      <c r="U209" s="77" t="s">
        <v>613</v>
      </c>
    </row>
    <row r="210" spans="1:21" ht="18" thickBot="1" x14ac:dyDescent="0.4">
      <c r="A210" s="78" t="str">
        <f>D120</f>
        <v>Nacelle</v>
      </c>
      <c r="B210" s="78"/>
      <c r="C210" s="106" t="str">
        <f t="shared" ref="C210:G223" si="26">C123</f>
        <v>Nacelle asssembly</v>
      </c>
      <c r="D210" s="105">
        <f t="shared" si="26"/>
        <v>8.0152671755725186E-2</v>
      </c>
      <c r="E210" s="104">
        <f t="shared" si="26"/>
        <v>0</v>
      </c>
      <c r="F210" s="103">
        <f t="shared" si="26"/>
        <v>39.114503816793892</v>
      </c>
      <c r="G210" s="101" t="str">
        <f t="shared" si="26"/>
        <v>Y</v>
      </c>
      <c r="H210" s="101"/>
      <c r="I210" s="102">
        <f t="shared" ref="I210:J223" si="27">I123</f>
        <v>1</v>
      </c>
      <c r="J210" s="101" t="str">
        <f t="shared" si="27"/>
        <v xml:space="preserve">Labour </v>
      </c>
      <c r="K210" s="77" t="s">
        <v>608</v>
      </c>
      <c r="L210" s="99">
        <f t="shared" ref="L210:P223" si="28">K123</f>
        <v>1</v>
      </c>
      <c r="M210" s="101" t="str">
        <f t="shared" si="28"/>
        <v>E</v>
      </c>
      <c r="N210" s="99">
        <f t="shared" si="28"/>
        <v>1.0761099365750528</v>
      </c>
      <c r="O210" s="100">
        <f t="shared" si="28"/>
        <v>7.6109936575052828E-2</v>
      </c>
      <c r="P210" s="99">
        <f t="shared" si="28"/>
        <v>42.091506221454736</v>
      </c>
      <c r="T210" s="77" t="s">
        <v>613</v>
      </c>
      <c r="U210" s="77" t="s">
        <v>613</v>
      </c>
    </row>
    <row r="211" spans="1:21" ht="18" thickBot="1" x14ac:dyDescent="0.4">
      <c r="A211" s="78"/>
      <c r="B211" s="78"/>
      <c r="C211" s="106" t="str">
        <f t="shared" si="26"/>
        <v>Main shaft</v>
      </c>
      <c r="D211" s="105">
        <f t="shared" si="26"/>
        <v>5.7251908396946556E-2</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9.7044444371923971E-2</v>
      </c>
      <c r="M211" s="101" t="str">
        <f t="shared" si="28"/>
        <v>E</v>
      </c>
      <c r="N211" s="99">
        <f t="shared" si="28"/>
        <v>1.0761099365750528</v>
      </c>
      <c r="O211" s="100">
        <f t="shared" si="28"/>
        <v>7.3860465061081904E-3</v>
      </c>
      <c r="P211" s="99">
        <f t="shared" si="28"/>
        <v>28.14528954360577</v>
      </c>
      <c r="Q211" s="77" t="s">
        <v>625</v>
      </c>
      <c r="T211" s="77" t="s">
        <v>613</v>
      </c>
      <c r="U211" s="77" t="s">
        <v>613</v>
      </c>
    </row>
    <row r="212" spans="1:21" ht="18" thickBot="1" x14ac:dyDescent="0.4">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0.1009081735620585</v>
      </c>
      <c r="P212" s="99">
        <f t="shared" si="28"/>
        <v>196.85246608792104</v>
      </c>
      <c r="Q212" s="77" t="s">
        <v>624</v>
      </c>
      <c r="T212" s="77" t="s">
        <v>612</v>
      </c>
      <c r="U212" s="77" t="s">
        <v>613</v>
      </c>
    </row>
    <row r="213" spans="1:21" ht="18" thickBot="1" x14ac:dyDescent="0.4">
      <c r="A213" s="78"/>
      <c r="B213" s="78"/>
      <c r="C213" s="106" t="str">
        <f t="shared" si="26"/>
        <v>Rotor bearings</v>
      </c>
      <c r="D213" s="105">
        <f t="shared" si="26"/>
        <v>3.4351145038167934E-2</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9.7044444371923971E-2</v>
      </c>
      <c r="M213" s="101" t="str">
        <f t="shared" si="28"/>
        <v>E</v>
      </c>
      <c r="N213" s="99">
        <f t="shared" si="28"/>
        <v>1.0761099365750528</v>
      </c>
      <c r="O213" s="100">
        <f t="shared" si="28"/>
        <v>0.1009081735620585</v>
      </c>
      <c r="P213" s="99">
        <f t="shared" si="28"/>
        <v>18.454918695742599</v>
      </c>
      <c r="T213" s="77" t="s">
        <v>613</v>
      </c>
      <c r="U213" s="77" t="s">
        <v>613</v>
      </c>
    </row>
    <row r="214" spans="1:21" ht="18" thickBot="1" x14ac:dyDescent="0.4">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x14ac:dyDescent="0.4">
      <c r="A215" s="78"/>
      <c r="B215" s="78"/>
      <c r="C215" s="106" t="str">
        <f t="shared" si="26"/>
        <v>Generator</v>
      </c>
      <c r="D215" s="105">
        <f t="shared" si="26"/>
        <v>6.8702290076335867E-2</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0.13001734713264965</v>
      </c>
      <c r="M215" s="101" t="str">
        <f t="shared" si="28"/>
        <v>E</v>
      </c>
      <c r="N215" s="99">
        <f t="shared" si="28"/>
        <v>1.0761099365750528</v>
      </c>
      <c r="O215" s="100">
        <f t="shared" si="28"/>
        <v>0.1009081735620585</v>
      </c>
      <c r="P215" s="99">
        <f t="shared" si="28"/>
        <v>36.909837391485198</v>
      </c>
      <c r="T215" s="77" t="s">
        <v>612</v>
      </c>
      <c r="U215" s="77" t="s">
        <v>613</v>
      </c>
    </row>
    <row r="216" spans="1:21" ht="18" thickBot="1" x14ac:dyDescent="0.4">
      <c r="A216" s="78"/>
      <c r="B216" s="78"/>
      <c r="C216" s="106" t="str">
        <f t="shared" si="26"/>
        <v>Tranformer</v>
      </c>
      <c r="D216" s="105">
        <f t="shared" si="26"/>
        <v>7.6335877862595422E-2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0.13001734713264965</v>
      </c>
      <c r="M216" s="101" t="str">
        <f t="shared" si="28"/>
        <v>E</v>
      </c>
      <c r="N216" s="99">
        <f t="shared" si="28"/>
        <v>1.0761099365750528</v>
      </c>
      <c r="O216" s="100">
        <f t="shared" si="28"/>
        <v>9.8956120439224193E-3</v>
      </c>
      <c r="P216" s="99">
        <f t="shared" si="28"/>
        <v>37.620538830338489</v>
      </c>
      <c r="T216" s="77" t="s">
        <v>613</v>
      </c>
      <c r="U216" s="77" t="s">
        <v>613</v>
      </c>
    </row>
    <row r="217" spans="1:21" ht="18" thickBot="1" x14ac:dyDescent="0.4">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0.1009081735620585</v>
      </c>
      <c r="P217" s="99">
        <f t="shared" si="28"/>
        <v>55.364756087227789</v>
      </c>
      <c r="Q217" s="77" t="s">
        <v>623</v>
      </c>
      <c r="T217" s="77" t="s">
        <v>613</v>
      </c>
      <c r="U217" s="77" t="s">
        <v>613</v>
      </c>
    </row>
    <row r="218" spans="1:21" ht="18" thickBot="1" x14ac:dyDescent="0.4">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x14ac:dyDescent="0.4">
      <c r="A219" s="78"/>
      <c r="B219" s="78"/>
      <c r="C219" s="106" t="str">
        <f t="shared" si="26"/>
        <v>Brake system</v>
      </c>
      <c r="D219" s="105">
        <f t="shared" si="26"/>
        <v>2.6717557251908396E-2</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0.21461586851831049</v>
      </c>
      <c r="M219" s="101" t="str">
        <f t="shared" si="28"/>
        <v>E</v>
      </c>
      <c r="N219" s="99">
        <f t="shared" si="28"/>
        <v>1.0761099365750528</v>
      </c>
      <c r="O219" s="100">
        <f t="shared" si="28"/>
        <v>0.1009081735620585</v>
      </c>
      <c r="P219" s="99">
        <f t="shared" si="28"/>
        <v>14.353825652244243</v>
      </c>
      <c r="T219" s="77" t="s">
        <v>612</v>
      </c>
      <c r="U219" s="77" t="s">
        <v>613</v>
      </c>
    </row>
    <row r="220" spans="1:21" ht="18" thickBot="1" x14ac:dyDescent="0.4">
      <c r="A220" s="78"/>
      <c r="B220" s="78"/>
      <c r="C220" s="106" t="str">
        <f t="shared" si="26"/>
        <v>Yaw system</v>
      </c>
      <c r="D220" s="105">
        <f t="shared" si="26"/>
        <v>2.6717557251908396E-2</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0.21461586851831049</v>
      </c>
      <c r="M220" s="101" t="str">
        <f t="shared" si="28"/>
        <v>E</v>
      </c>
      <c r="N220" s="99">
        <f t="shared" si="28"/>
        <v>1.0761099365750528</v>
      </c>
      <c r="O220" s="100">
        <f t="shared" si="28"/>
        <v>0.1009081735620585</v>
      </c>
      <c r="P220" s="99">
        <f t="shared" si="28"/>
        <v>14.353825652244243</v>
      </c>
      <c r="T220" s="77" t="s">
        <v>612</v>
      </c>
      <c r="U220" s="77" t="s">
        <v>613</v>
      </c>
    </row>
    <row r="221" spans="1:21" ht="18" thickBot="1" x14ac:dyDescent="0.4">
      <c r="A221" s="78"/>
      <c r="B221" s="78"/>
      <c r="C221" s="106" t="str">
        <f t="shared" si="26"/>
        <v>Mainfraim</v>
      </c>
      <c r="D221" s="105">
        <f t="shared" si="26"/>
        <v>5.7251908396946556E-2</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9.7044444371923971E-2</v>
      </c>
      <c r="M221" s="101" t="str">
        <f t="shared" si="28"/>
        <v>E</v>
      </c>
      <c r="N221" s="99">
        <f t="shared" si="28"/>
        <v>1.0761099365750528</v>
      </c>
      <c r="O221" s="100">
        <f t="shared" si="28"/>
        <v>0.1009081735620585</v>
      </c>
      <c r="P221" s="99">
        <f t="shared" si="28"/>
        <v>30.758197826237662</v>
      </c>
      <c r="T221" s="77" t="s">
        <v>612</v>
      </c>
      <c r="U221" s="77" t="s">
        <v>613</v>
      </c>
    </row>
    <row r="222" spans="1:21" ht="18" thickBot="1" x14ac:dyDescent="0.4">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x14ac:dyDescent="0.4">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0.21461586851831049</v>
      </c>
      <c r="M223" s="101" t="str">
        <f t="shared" si="28"/>
        <v>E</v>
      </c>
      <c r="N223" s="99">
        <f t="shared" si="28"/>
        <v>1.0761099365750528</v>
      </c>
      <c r="O223" s="100">
        <f t="shared" si="28"/>
        <v>1.6334400140928462E-2</v>
      </c>
      <c r="P223" s="99">
        <f t="shared" si="28"/>
        <v>51.111534565865924</v>
      </c>
      <c r="T223" s="77" t="s">
        <v>613</v>
      </c>
      <c r="U223" s="77" t="s">
        <v>613</v>
      </c>
    </row>
    <row r="224" spans="1:21" ht="18" thickBot="1" x14ac:dyDescent="0.4">
      <c r="A224" s="78" t="str">
        <f>D142</f>
        <v>Rotor Hub</v>
      </c>
      <c r="B224" s="78"/>
      <c r="C224" s="106" t="str">
        <f t="shared" ref="C224:G225" si="29">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ref="L224:P225" si="30">K145</f>
        <v>0.21461586851831049</v>
      </c>
      <c r="M224" s="101" t="str">
        <f t="shared" si="30"/>
        <v>E</v>
      </c>
      <c r="N224" s="99">
        <f t="shared" si="30"/>
        <v>1.0761099365750528</v>
      </c>
      <c r="O224" s="100">
        <f t="shared" si="30"/>
        <v>1.6334400140928462E-2</v>
      </c>
      <c r="P224" s="99">
        <f t="shared" si="30"/>
        <v>60.980064008455706</v>
      </c>
      <c r="T224" s="77" t="s">
        <v>613</v>
      </c>
      <c r="U224" s="77" t="s">
        <v>613</v>
      </c>
    </row>
    <row r="225" spans="1:21" ht="18" thickBot="1" x14ac:dyDescent="0.4">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0.21461586851831049</v>
      </c>
      <c r="M225" s="101" t="str">
        <f t="shared" si="30"/>
        <v>E</v>
      </c>
      <c r="N225" s="99">
        <f t="shared" si="30"/>
        <v>1.0761099365750528</v>
      </c>
      <c r="O225" s="100">
        <f t="shared" si="30"/>
        <v>1.6334400140928684E-2</v>
      </c>
      <c r="P225" s="99">
        <f t="shared" si="30"/>
        <v>44.718713606200858</v>
      </c>
      <c r="T225" s="77" t="s">
        <v>613</v>
      </c>
      <c r="U225" s="77" t="s">
        <v>613</v>
      </c>
    </row>
    <row r="226" spans="1:21" ht="18" thickBot="1" x14ac:dyDescent="0.4">
      <c r="A226" s="78" t="s">
        <v>622</v>
      </c>
      <c r="B226" s="78"/>
      <c r="C226" s="106" t="str">
        <f t="shared" ref="C226:G234" si="31">C160</f>
        <v>Material cost</v>
      </c>
      <c r="D226" s="105">
        <f t="shared" si="31"/>
        <v>0.47789362607923669</v>
      </c>
      <c r="E226" s="104">
        <f t="shared" si="31"/>
        <v>0</v>
      </c>
      <c r="F226" s="103">
        <f t="shared" si="31"/>
        <v>87.932427198579546</v>
      </c>
      <c r="G226" s="101" t="str">
        <f t="shared" si="31"/>
        <v>N</v>
      </c>
      <c r="H226" s="101"/>
      <c r="I226" s="102">
        <f t="shared" ref="I226:J228" si="32">I160</f>
        <v>0</v>
      </c>
      <c r="J226" s="101">
        <f t="shared" si="32"/>
        <v>0</v>
      </c>
      <c r="K226" s="77" t="s">
        <v>601</v>
      </c>
      <c r="L226" s="99" t="str">
        <f t="shared" ref="L226:P228" si="33">K160</f>
        <v/>
      </c>
      <c r="M226" s="101">
        <f t="shared" si="33"/>
        <v>0</v>
      </c>
      <c r="N226" s="99" t="str">
        <f t="shared" si="33"/>
        <v/>
      </c>
      <c r="O226" s="100">
        <f t="shared" si="33"/>
        <v>0.1009081735620585</v>
      </c>
      <c r="P226" s="99">
        <f t="shared" si="33"/>
        <v>96.805527824066886</v>
      </c>
      <c r="Q226" s="77" t="s">
        <v>621</v>
      </c>
      <c r="R226" s="77" t="s">
        <v>620</v>
      </c>
      <c r="T226" s="77" t="s">
        <v>612</v>
      </c>
      <c r="U226" s="77" t="s">
        <v>612</v>
      </c>
    </row>
    <row r="227" spans="1:21" ht="18" thickBot="1" x14ac:dyDescent="0.4">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2.4354066985645932</v>
      </c>
      <c r="O227" s="100">
        <f t="shared" si="33"/>
        <v>1.4354066985645932</v>
      </c>
      <c r="P227" s="99">
        <f t="shared" si="33"/>
        <v>111.42335190450686</v>
      </c>
      <c r="T227" s="77" t="s">
        <v>613</v>
      </c>
      <c r="U227" s="77" t="s">
        <v>613</v>
      </c>
    </row>
    <row r="228" spans="1:21" ht="18" thickBot="1" x14ac:dyDescent="0.4">
      <c r="A228" s="78"/>
      <c r="B228" s="78"/>
      <c r="C228" s="106" t="str">
        <f t="shared" si="31"/>
        <v>Overhead labour costs</v>
      </c>
      <c r="D228" s="105">
        <f t="shared" si="31"/>
        <v>7.4594718425028433E-2</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2.4354066985645932</v>
      </c>
      <c r="O228" s="100">
        <f t="shared" si="33"/>
        <v>1.4354066985645928</v>
      </c>
      <c r="P228" s="99">
        <f t="shared" si="33"/>
        <v>33.426999755093121</v>
      </c>
      <c r="T228" s="77" t="s">
        <v>613</v>
      </c>
      <c r="U228" s="77" t="s">
        <v>613</v>
      </c>
    </row>
    <row r="229" spans="1:21" ht="18" thickBot="1" x14ac:dyDescent="0.4">
      <c r="A229" s="78"/>
      <c r="B229" s="78"/>
      <c r="C229" s="106" t="str">
        <f t="shared" si="31"/>
        <v>Utility costs</v>
      </c>
      <c r="D229" s="105">
        <f t="shared" si="31"/>
        <v>4.4978142700648456E-3</v>
      </c>
      <c r="E229" s="104">
        <f t="shared" si="31"/>
        <v>0</v>
      </c>
      <c r="F229" s="103">
        <f t="shared" si="31"/>
        <v>0.82759782569193163</v>
      </c>
      <c r="G229" s="101" t="str">
        <f t="shared" si="31"/>
        <v>N</v>
      </c>
      <c r="H229" s="101"/>
      <c r="I229" s="102"/>
      <c r="J229" s="101"/>
      <c r="L229" s="99"/>
      <c r="M229" s="101"/>
      <c r="N229" s="99"/>
      <c r="O229" s="100">
        <f t="shared" ref="O229:P234" si="34">N163</f>
        <v>0</v>
      </c>
      <c r="P229" s="99">
        <f t="shared" si="34"/>
        <v>0.82759782569193163</v>
      </c>
      <c r="Q229" s="77" t="s">
        <v>619</v>
      </c>
    </row>
    <row r="230" spans="1:21" ht="18" thickBot="1" x14ac:dyDescent="0.4">
      <c r="A230" s="78"/>
      <c r="B230" s="78"/>
      <c r="C230" s="106" t="str">
        <f t="shared" si="31"/>
        <v>Equipment costs</v>
      </c>
      <c r="D230" s="105">
        <f t="shared" si="31"/>
        <v>2.821175102407418E-2</v>
      </c>
      <c r="E230" s="104">
        <f t="shared" si="31"/>
        <v>0</v>
      </c>
      <c r="F230" s="103">
        <f t="shared" si="31"/>
        <v>5.1909621884296495</v>
      </c>
      <c r="G230" s="101" t="str">
        <f t="shared" si="31"/>
        <v>N</v>
      </c>
      <c r="H230" s="101"/>
      <c r="I230" s="102"/>
      <c r="J230" s="101"/>
      <c r="L230" s="99"/>
      <c r="M230" s="101"/>
      <c r="N230" s="99"/>
      <c r="O230" s="100">
        <f t="shared" si="34"/>
        <v>0.1009081735620585</v>
      </c>
      <c r="P230" s="99">
        <f t="shared" si="34"/>
        <v>5.7147727018937919</v>
      </c>
    </row>
    <row r="231" spans="1:21" ht="18" thickBot="1" x14ac:dyDescent="0.4">
      <c r="A231" s="78"/>
      <c r="B231" s="78"/>
      <c r="C231" s="106" t="str">
        <f t="shared" si="31"/>
        <v>Tooling costs</v>
      </c>
      <c r="D231" s="105">
        <f t="shared" si="31"/>
        <v>7.6931593402314494E-2</v>
      </c>
      <c r="E231" s="104">
        <f t="shared" si="31"/>
        <v>0</v>
      </c>
      <c r="F231" s="103">
        <f t="shared" si="31"/>
        <v>14.155413186025866</v>
      </c>
      <c r="G231" s="101" t="str">
        <f t="shared" si="31"/>
        <v>N</v>
      </c>
      <c r="H231" s="101"/>
      <c r="I231" s="102"/>
      <c r="J231" s="101"/>
      <c r="L231" s="99"/>
      <c r="M231" s="101"/>
      <c r="N231" s="99"/>
      <c r="O231" s="100">
        <f t="shared" si="34"/>
        <v>0.1009081735620585</v>
      </c>
      <c r="P231" s="99">
        <f t="shared" si="34"/>
        <v>15.583810076644015</v>
      </c>
    </row>
    <row r="232" spans="1:21" ht="18" thickBot="1" x14ac:dyDescent="0.4">
      <c r="A232" s="78"/>
      <c r="B232" s="78"/>
      <c r="C232" s="106" t="str">
        <f t="shared" si="31"/>
        <v>Building costs</v>
      </c>
      <c r="D232" s="105">
        <f t="shared" si="31"/>
        <v>4.2282971554360293E-3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21" ht="18" thickBot="1" x14ac:dyDescent="0.4">
      <c r="A233" s="78"/>
      <c r="B233" s="78"/>
      <c r="C233" s="106" t="str">
        <f t="shared" si="31"/>
        <v>Maintenance costs</v>
      </c>
      <c r="D233" s="105">
        <f t="shared" si="31"/>
        <v>2.8667717132280793E-2</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21" ht="18" thickBot="1" x14ac:dyDescent="0.4">
      <c r="A234" s="78"/>
      <c r="B234" s="78"/>
      <c r="C234" s="106" t="str">
        <f t="shared" si="31"/>
        <v>Cost of capital</v>
      </c>
      <c r="D234" s="105">
        <f t="shared" si="31"/>
        <v>5.6325377830156849E-2</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21" ht="17.25" x14ac:dyDescent="0.35">
      <c r="A235" s="78"/>
      <c r="B235" s="78"/>
      <c r="K235" s="96"/>
    </row>
    <row r="236" spans="1:21" ht="17.25" x14ac:dyDescent="0.35">
      <c r="A236" s="78"/>
      <c r="B236" s="78"/>
      <c r="D236" s="82"/>
      <c r="E236" s="82"/>
      <c r="K236" s="96"/>
    </row>
    <row r="237" spans="1:21" ht="17.25" x14ac:dyDescent="0.3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x14ac:dyDescent="0.35">
      <c r="A238" s="78"/>
      <c r="B238" s="78"/>
      <c r="C238" s="77" t="s">
        <v>609</v>
      </c>
      <c r="D238" s="77" t="s">
        <v>613</v>
      </c>
      <c r="J238" s="77" t="s">
        <v>606</v>
      </c>
      <c r="K238" s="96"/>
      <c r="P238" s="95">
        <f t="shared" ref="P238:P247" si="35">(SUMIFS($P$210:$P$234,$K$210:$K$234,$J238,$G$210:$G$234,$D238)+SUMIFS($P$205:$P$207,$K$205:$K$207,$J238,$G$205:$G$207,$D238))*$D$16</f>
        <v>2799.0889417217122</v>
      </c>
      <c r="T238" s="95">
        <f t="shared" ref="T238:T247" si="36">(SUMIFS($P$210:$P$234,$K$210:$K$234,$J238,$T$210:$T$234,$D238)+SUMIFS($P$205:$P$207,$K$205:$K$207,$J238,$T$205:$T$207,$D238))*$D$16</f>
        <v>3064.8397709404057</v>
      </c>
      <c r="U238" s="95">
        <f t="shared" ref="U238:U247" si="37">(SUMIFS($P$210:$P$234,$K$210:$K$234,$J238,$U$210:$U$234,$D238)+SUMIFS($P$205:$P$207,$K$205:$K$207,$J238,$U$205:$U$207,$D238))*$D$16</f>
        <v>3064.8397709404057</v>
      </c>
    </row>
    <row r="239" spans="1:21" ht="17.25" x14ac:dyDescent="0.35">
      <c r="A239" s="78"/>
      <c r="B239" s="78"/>
      <c r="D239" s="77" t="s">
        <v>613</v>
      </c>
      <c r="J239" s="77" t="s">
        <v>604</v>
      </c>
      <c r="K239" s="96"/>
      <c r="P239" s="95">
        <f t="shared" si="35"/>
        <v>113.410825</v>
      </c>
      <c r="T239" s="95">
        <f t="shared" si="36"/>
        <v>113.410825</v>
      </c>
      <c r="U239" s="95">
        <f t="shared" si="37"/>
        <v>113.410825</v>
      </c>
    </row>
    <row r="240" spans="1:21" ht="17.25" x14ac:dyDescent="0.35">
      <c r="A240" s="78"/>
      <c r="B240" s="78"/>
      <c r="D240" s="77" t="s">
        <v>613</v>
      </c>
      <c r="J240" s="77" t="s">
        <v>608</v>
      </c>
      <c r="K240" s="96"/>
      <c r="P240" s="95">
        <f t="shared" si="35"/>
        <v>2691.9627534871879</v>
      </c>
      <c r="T240" s="95">
        <f t="shared" si="36"/>
        <v>2691.9627534871879</v>
      </c>
      <c r="U240" s="95">
        <f t="shared" si="37"/>
        <v>2691.9627534871879</v>
      </c>
    </row>
    <row r="241" spans="1:21" ht="17.25" x14ac:dyDescent="0.35">
      <c r="A241" s="78"/>
      <c r="B241" s="78"/>
      <c r="D241" s="77" t="s">
        <v>613</v>
      </c>
      <c r="J241" s="77" t="s">
        <v>602</v>
      </c>
      <c r="K241" s="96"/>
      <c r="P241" s="95">
        <f t="shared" si="35"/>
        <v>541.73575915687422</v>
      </c>
      <c r="T241" s="95">
        <f t="shared" si="36"/>
        <v>1338.9882468129545</v>
      </c>
      <c r="U241" s="95">
        <f t="shared" si="37"/>
        <v>1870.4899052503411</v>
      </c>
    </row>
    <row r="242" spans="1:21" ht="17.25" x14ac:dyDescent="0.35">
      <c r="A242" s="78"/>
      <c r="B242" s="78"/>
      <c r="C242" s="90"/>
      <c r="D242" s="77" t="s">
        <v>613</v>
      </c>
      <c r="E242" s="90"/>
      <c r="F242" s="90"/>
      <c r="G242" s="90"/>
      <c r="H242" s="90"/>
      <c r="I242" s="90"/>
      <c r="J242" s="90" t="s">
        <v>601</v>
      </c>
      <c r="K242" s="97"/>
      <c r="L242" s="90"/>
      <c r="M242" s="90"/>
      <c r="N242" s="90"/>
      <c r="P242" s="95">
        <f t="shared" si="35"/>
        <v>1927.3545670789777</v>
      </c>
      <c r="T242" s="95">
        <f t="shared" si="36"/>
        <v>1927.3545670789777</v>
      </c>
      <c r="U242" s="95">
        <f t="shared" si="37"/>
        <v>5618.338306227497</v>
      </c>
    </row>
    <row r="243" spans="1:21" ht="17.25" x14ac:dyDescent="0.35">
      <c r="A243" s="78"/>
      <c r="B243" s="78"/>
      <c r="C243" s="77" t="s">
        <v>607</v>
      </c>
      <c r="D243" s="77" t="s">
        <v>612</v>
      </c>
      <c r="J243" s="77" t="s">
        <v>606</v>
      </c>
      <c r="K243" s="96"/>
      <c r="P243" s="95">
        <f t="shared" si="35"/>
        <v>265.75082921869341</v>
      </c>
      <c r="T243" s="95">
        <f t="shared" si="36"/>
        <v>0</v>
      </c>
      <c r="U243" s="95">
        <f t="shared" si="37"/>
        <v>0</v>
      </c>
    </row>
    <row r="244" spans="1:21" ht="17.25" x14ac:dyDescent="0.35">
      <c r="A244" s="78"/>
      <c r="B244" s="78"/>
      <c r="D244" s="77" t="s">
        <v>612</v>
      </c>
      <c r="J244" s="77" t="s">
        <v>604</v>
      </c>
      <c r="K244" s="96"/>
      <c r="P244" s="95">
        <f t="shared" si="35"/>
        <v>0</v>
      </c>
      <c r="T244" s="95">
        <f t="shared" si="36"/>
        <v>0</v>
      </c>
      <c r="U244" s="95">
        <f t="shared" si="37"/>
        <v>0</v>
      </c>
    </row>
    <row r="245" spans="1:21" ht="17.25" x14ac:dyDescent="0.35">
      <c r="A245" s="78"/>
      <c r="B245" s="78"/>
      <c r="D245" s="77" t="s">
        <v>612</v>
      </c>
      <c r="J245" s="77" t="s">
        <v>603</v>
      </c>
      <c r="K245" s="96"/>
      <c r="P245" s="95">
        <f t="shared" si="35"/>
        <v>0</v>
      </c>
      <c r="T245" s="95">
        <f t="shared" si="36"/>
        <v>0</v>
      </c>
      <c r="U245" s="95">
        <f t="shared" si="37"/>
        <v>0</v>
      </c>
    </row>
    <row r="246" spans="1:21" ht="17.25" x14ac:dyDescent="0.35">
      <c r="A246" s="78"/>
      <c r="B246" s="78"/>
      <c r="D246" s="77" t="s">
        <v>612</v>
      </c>
      <c r="J246" s="77" t="s">
        <v>602</v>
      </c>
      <c r="K246" s="96"/>
      <c r="P246" s="95">
        <f t="shared" si="35"/>
        <v>1328.7541460934669</v>
      </c>
      <c r="T246" s="95">
        <f t="shared" si="36"/>
        <v>531.50165843738682</v>
      </c>
      <c r="U246" s="95">
        <f t="shared" si="37"/>
        <v>0</v>
      </c>
    </row>
    <row r="247" spans="1:21" ht="17.25" x14ac:dyDescent="0.35">
      <c r="A247" s="78"/>
      <c r="B247" s="78"/>
      <c r="D247" s="77" t="s">
        <v>612</v>
      </c>
      <c r="J247" s="90" t="s">
        <v>601</v>
      </c>
      <c r="K247" s="96"/>
      <c r="P247" s="95">
        <f t="shared" si="35"/>
        <v>5084.9833398150822</v>
      </c>
      <c r="T247" s="95">
        <f t="shared" si="36"/>
        <v>5084.9833398150822</v>
      </c>
      <c r="U247" s="95">
        <f t="shared" si="37"/>
        <v>1393.9996006665631</v>
      </c>
    </row>
    <row r="248" spans="1:21" ht="17.25" x14ac:dyDescent="0.35">
      <c r="A248" s="78"/>
      <c r="B248" s="78"/>
      <c r="K248" s="96"/>
      <c r="P248" s="94">
        <f>SUM(P238:P247)</f>
        <v>14753.041161571995</v>
      </c>
    </row>
    <row r="249" spans="1:21" ht="17.25" x14ac:dyDescent="0.35">
      <c r="A249" s="78" t="s">
        <v>614</v>
      </c>
      <c r="B249" s="78"/>
      <c r="K249" s="96"/>
    </row>
    <row r="250" spans="1:21" ht="17.25" x14ac:dyDescent="0.35">
      <c r="A250" s="78"/>
      <c r="B250" s="78"/>
      <c r="C250" s="77" t="s">
        <v>609</v>
      </c>
      <c r="D250" s="77" t="s">
        <v>613</v>
      </c>
      <c r="J250" s="77" t="s">
        <v>606</v>
      </c>
      <c r="K250" s="96"/>
      <c r="P250" s="95">
        <f t="shared" ref="P250:P259" si="38">(SUMIFS($P$208:$P$234,$K$208:$K$234,$J250,$G$208:$G$234,$D250)+SUMIFS($P$205:$P$206,$K$205:$K$206,$J250,$G$205:$G$206,$D250))*$D$16</f>
        <v>1885.5143470996622</v>
      </c>
      <c r="T250" s="95">
        <f t="shared" ref="T250:T259" si="39">(SUMIFS($P$208:$P$234,$K$208:$K$234,$J250,$T$208:$T$234,$D250)+SUMIFS($P$205:$P$206,$K$205:$K$206,$J250,$T$205:$T$206,$D250))*$D$16</f>
        <v>2151.2651763183558</v>
      </c>
      <c r="U250" s="95">
        <f t="shared" ref="U250:U259" si="40">(SUMIFS($P$208:$P$234,$K$208:$K$234,$J250,$U$208:$U$234,$D250)+SUMIFS($P$205:$P$206,$K$205:$K$206,$J250,$U$205:$U$206,$D250))*$D$16</f>
        <v>2151.2651763183558</v>
      </c>
    </row>
    <row r="251" spans="1:21" ht="17.25" x14ac:dyDescent="0.35">
      <c r="A251" s="78"/>
      <c r="B251" s="78"/>
      <c r="D251" s="77" t="s">
        <v>613</v>
      </c>
      <c r="J251" s="77" t="s">
        <v>604</v>
      </c>
      <c r="K251" s="96"/>
      <c r="P251" s="95">
        <f t="shared" si="38"/>
        <v>543.69017847762677</v>
      </c>
      <c r="T251" s="95">
        <f t="shared" si="39"/>
        <v>543.69017847762677</v>
      </c>
      <c r="U251" s="95">
        <f t="shared" si="40"/>
        <v>543.69017847762677</v>
      </c>
    </row>
    <row r="252" spans="1:21" ht="17.25" x14ac:dyDescent="0.35">
      <c r="A252" s="78"/>
      <c r="B252" s="78"/>
      <c r="D252" s="77" t="s">
        <v>613</v>
      </c>
      <c r="J252" s="77" t="s">
        <v>608</v>
      </c>
      <c r="K252" s="96"/>
      <c r="P252" s="95">
        <f t="shared" si="38"/>
        <v>2691.9627534871879</v>
      </c>
      <c r="T252" s="95">
        <f t="shared" si="39"/>
        <v>2691.9627534871879</v>
      </c>
      <c r="U252" s="95">
        <f t="shared" si="40"/>
        <v>2691.9627534871879</v>
      </c>
    </row>
    <row r="253" spans="1:21" ht="17.25" x14ac:dyDescent="0.35">
      <c r="A253" s="78"/>
      <c r="B253" s="78"/>
      <c r="D253" s="77" t="s">
        <v>613</v>
      </c>
      <c r="J253" s="77" t="s">
        <v>602</v>
      </c>
      <c r="K253" s="96"/>
      <c r="P253" s="95">
        <f t="shared" si="38"/>
        <v>541.73575915687422</v>
      </c>
      <c r="T253" s="95">
        <f t="shared" si="39"/>
        <v>1338.9882468129545</v>
      </c>
      <c r="U253" s="95">
        <f t="shared" si="40"/>
        <v>1870.4899052503411</v>
      </c>
    </row>
    <row r="254" spans="1:21" ht="17.25" x14ac:dyDescent="0.35">
      <c r="A254" s="78"/>
      <c r="B254" s="78"/>
      <c r="C254" s="90"/>
      <c r="D254" s="77" t="s">
        <v>613</v>
      </c>
      <c r="E254" s="90"/>
      <c r="F254" s="90"/>
      <c r="G254" s="90"/>
      <c r="H254" s="90"/>
      <c r="I254" s="90"/>
      <c r="J254" s="90" t="s">
        <v>601</v>
      </c>
      <c r="K254" s="97"/>
      <c r="L254" s="90"/>
      <c r="M254" s="90"/>
      <c r="N254" s="90"/>
      <c r="P254" s="95">
        <f t="shared" si="38"/>
        <v>1927.3545670789777</v>
      </c>
      <c r="T254" s="95">
        <f t="shared" si="39"/>
        <v>1927.3545670789777</v>
      </c>
      <c r="U254" s="95">
        <f t="shared" si="40"/>
        <v>5618.338306227497</v>
      </c>
    </row>
    <row r="255" spans="1:21" ht="17.25" x14ac:dyDescent="0.35">
      <c r="A255" s="78"/>
      <c r="B255" s="78"/>
      <c r="C255" s="77" t="s">
        <v>607</v>
      </c>
      <c r="D255" s="77" t="s">
        <v>612</v>
      </c>
      <c r="J255" s="77" t="s">
        <v>606</v>
      </c>
      <c r="K255" s="96"/>
      <c r="P255" s="95">
        <f t="shared" si="38"/>
        <v>265.75082921869341</v>
      </c>
      <c r="T255" s="95">
        <f t="shared" si="39"/>
        <v>0</v>
      </c>
      <c r="U255" s="95">
        <f t="shared" si="40"/>
        <v>0</v>
      </c>
    </row>
    <row r="256" spans="1:21" ht="17.25" x14ac:dyDescent="0.35">
      <c r="A256" s="78"/>
      <c r="B256" s="78"/>
      <c r="D256" s="77" t="s">
        <v>612</v>
      </c>
      <c r="J256" s="77" t="s">
        <v>604</v>
      </c>
      <c r="K256" s="96"/>
      <c r="P256" s="95">
        <f t="shared" si="38"/>
        <v>0</v>
      </c>
      <c r="T256" s="95">
        <f t="shared" si="39"/>
        <v>0</v>
      </c>
      <c r="U256" s="95">
        <f t="shared" si="40"/>
        <v>0</v>
      </c>
    </row>
    <row r="257" spans="1:21" ht="17.25" x14ac:dyDescent="0.35">
      <c r="A257" s="78"/>
      <c r="B257" s="78"/>
      <c r="D257" s="77" t="s">
        <v>612</v>
      </c>
      <c r="J257" s="77" t="s">
        <v>603</v>
      </c>
      <c r="K257" s="96"/>
      <c r="P257" s="95">
        <f t="shared" si="38"/>
        <v>0</v>
      </c>
      <c r="T257" s="95">
        <f t="shared" si="39"/>
        <v>0</v>
      </c>
      <c r="U257" s="95">
        <f t="shared" si="40"/>
        <v>0</v>
      </c>
    </row>
    <row r="258" spans="1:21" ht="17.25" x14ac:dyDescent="0.35">
      <c r="A258" s="78"/>
      <c r="B258" s="78"/>
      <c r="D258" s="77" t="s">
        <v>612</v>
      </c>
      <c r="J258" s="77" t="s">
        <v>602</v>
      </c>
      <c r="K258" s="96"/>
      <c r="P258" s="95">
        <f t="shared" si="38"/>
        <v>1328.7541460934669</v>
      </c>
      <c r="T258" s="95">
        <f t="shared" si="39"/>
        <v>531.50165843738682</v>
      </c>
      <c r="U258" s="95">
        <f t="shared" si="40"/>
        <v>0</v>
      </c>
    </row>
    <row r="259" spans="1:21" ht="17.25" x14ac:dyDescent="0.35">
      <c r="A259" s="78"/>
      <c r="B259" s="78"/>
      <c r="D259" s="77" t="s">
        <v>612</v>
      </c>
      <c r="J259" s="77" t="s">
        <v>601</v>
      </c>
      <c r="K259" s="96"/>
      <c r="P259" s="95">
        <f t="shared" si="38"/>
        <v>5084.9833398150822</v>
      </c>
      <c r="T259" s="95">
        <f t="shared" si="39"/>
        <v>5084.9833398150822</v>
      </c>
      <c r="U259" s="95">
        <f t="shared" si="40"/>
        <v>1393.9996006665631</v>
      </c>
    </row>
    <row r="260" spans="1:21" ht="17.25" x14ac:dyDescent="0.35">
      <c r="A260" s="78"/>
      <c r="B260" s="78"/>
      <c r="P260" s="94">
        <f>SUM(P250:P259)</f>
        <v>14269.745920427571</v>
      </c>
    </row>
    <row r="261" spans="1:21" ht="17.25" x14ac:dyDescent="0.35">
      <c r="A261" s="78"/>
      <c r="B261" s="78"/>
      <c r="Q261" s="92">
        <f>K266/$P$260</f>
        <v>0.21477886067704929</v>
      </c>
    </row>
    <row r="262" spans="1:21" ht="17.25" x14ac:dyDescent="0.35">
      <c r="A262" s="78"/>
      <c r="B262" s="78"/>
      <c r="Q262" s="92">
        <f>K267/$P$260</f>
        <v>7.9476415089948446E-3</v>
      </c>
    </row>
    <row r="263" spans="1:21" ht="17.25" x14ac:dyDescent="0.35">
      <c r="A263" s="78"/>
      <c r="B263" s="78"/>
      <c r="D263" s="91" t="s">
        <v>611</v>
      </c>
      <c r="Q263" s="92">
        <f>K268/$P$260</f>
        <v>0.18864826104812155</v>
      </c>
    </row>
    <row r="264" spans="1:21" ht="17.25" x14ac:dyDescent="0.35">
      <c r="A264" s="78"/>
      <c r="B264" s="78"/>
      <c r="D264" s="83"/>
      <c r="E264" s="81" t="s">
        <v>523</v>
      </c>
      <c r="F264" s="81" t="s">
        <v>522</v>
      </c>
      <c r="G264" s="93" t="s">
        <v>610</v>
      </c>
      <c r="K264" s="77" t="s">
        <v>495</v>
      </c>
      <c r="M264" s="77" t="s">
        <v>604</v>
      </c>
      <c r="Q264" s="92">
        <f>K270/$P$260</f>
        <v>0.13108081360948959</v>
      </c>
    </row>
    <row r="265" spans="1:21" ht="17.25" x14ac:dyDescent="0.35">
      <c r="A265" s="78"/>
      <c r="B265" s="78"/>
      <c r="D265" s="81" t="s">
        <v>609</v>
      </c>
      <c r="E265" s="83"/>
      <c r="F265" s="89">
        <f>SUM(F266:F270)</f>
        <v>0.54724668344817951</v>
      </c>
    </row>
    <row r="266" spans="1:21" ht="17.25" x14ac:dyDescent="0.35">
      <c r="A266" s="78"/>
      <c r="B266" s="78"/>
      <c r="D266" s="83" t="s">
        <v>606</v>
      </c>
      <c r="E266" s="87">
        <f>P238</f>
        <v>2799.0889417217122</v>
      </c>
      <c r="F266" s="86">
        <f>E266/$E$277</f>
        <v>0.18972962327337925</v>
      </c>
      <c r="H266" s="91"/>
      <c r="I266" s="91"/>
      <c r="J266" s="77" t="str">
        <f>J238</f>
        <v>Metal Products</v>
      </c>
      <c r="K266" s="88">
        <f>SUMIF($J$238:$J$247,J266,$P$238:$P$247)</f>
        <v>3064.8397709404057</v>
      </c>
      <c r="L266" s="82">
        <f>K266/K$271</f>
        <v>0.20774291465569497</v>
      </c>
      <c r="M266" s="88">
        <f>SUMIF($J$250:$J$259,J266,$P$250:$P$259)</f>
        <v>2151.2651763183558</v>
      </c>
      <c r="N266" s="82">
        <f>M266/M$271</f>
        <v>0.15075707642690084</v>
      </c>
    </row>
    <row r="267" spans="1:21" ht="17.25" x14ac:dyDescent="0.35">
      <c r="A267" s="78"/>
      <c r="B267" s="78"/>
      <c r="D267" s="83" t="s">
        <v>604</v>
      </c>
      <c r="E267" s="87">
        <f>P239</f>
        <v>113.410825</v>
      </c>
      <c r="F267" s="86">
        <f>E267/$E$277</f>
        <v>7.6872845237771726E-3</v>
      </c>
      <c r="H267" s="91"/>
      <c r="I267" s="91"/>
      <c r="J267" s="77" t="str">
        <f>J239</f>
        <v>Concrete</v>
      </c>
      <c r="K267" s="88">
        <f>SUMIF($J$238:$J$247,J267,$P$238:$P$247)</f>
        <v>113.410825</v>
      </c>
      <c r="L267" s="82">
        <f>K267/K$271</f>
        <v>7.6872845237771735E-3</v>
      </c>
      <c r="M267" s="88">
        <f>SUMIF($J$250:$J$259,J267,$P$250:$P$259)</f>
        <v>543.69017847762677</v>
      </c>
      <c r="N267" s="82">
        <f>M267/M$271</f>
        <v>3.8100901130924687E-2</v>
      </c>
    </row>
    <row r="268" spans="1:21" ht="17.25" x14ac:dyDescent="0.35">
      <c r="A268" s="78"/>
      <c r="B268" s="78"/>
      <c r="D268" s="83" t="s">
        <v>608</v>
      </c>
      <c r="E268" s="87">
        <f>P240</f>
        <v>2691.9627534871879</v>
      </c>
      <c r="F268" s="86">
        <f>E268/$E$277</f>
        <v>0.18246832798779697</v>
      </c>
      <c r="H268" s="91"/>
      <c r="I268" s="91"/>
      <c r="J268" s="77" t="str">
        <f>J240</f>
        <v>Labour</v>
      </c>
      <c r="K268" s="88">
        <f>SUMIF($J$238:$J$247,J268,$P$238:$P$247)</f>
        <v>2691.9627534871879</v>
      </c>
      <c r="L268" s="82">
        <f>K268/K$271</f>
        <v>0.182468327987797</v>
      </c>
      <c r="M268" s="88">
        <f>SUMIF($J$250:$J$259,J268,$P$250:$P$259)</f>
        <v>2691.9627534871879</v>
      </c>
      <c r="N268" s="82">
        <f>M268/M$271</f>
        <v>0.18864826104812155</v>
      </c>
    </row>
    <row r="269" spans="1:21" ht="17.25" x14ac:dyDescent="0.35">
      <c r="A269" s="78"/>
      <c r="B269" s="78"/>
      <c r="D269" s="83" t="s">
        <v>602</v>
      </c>
      <c r="E269" s="87">
        <f>P241</f>
        <v>541.73575915687422</v>
      </c>
      <c r="F269" s="86">
        <f>E269/$E$277</f>
        <v>3.6720277075343706E-2</v>
      </c>
      <c r="H269" s="91"/>
      <c r="I269" s="91"/>
      <c r="J269" s="90" t="s">
        <v>601</v>
      </c>
      <c r="K269" s="88">
        <f>SUMIF($J$238:$J$247,J269,$P$238:$P$247)</f>
        <v>7012.3379068940594</v>
      </c>
      <c r="L269" s="82">
        <f>K269/K$271</f>
        <v>0.47531473884580877</v>
      </c>
      <c r="M269" s="88">
        <f>SUMIF($J$250:$J$259,J269,$P$250:$P$259)</f>
        <v>7012.3379068940594</v>
      </c>
      <c r="N269" s="82">
        <f>M269/M$271</f>
        <v>0.49141294778456335</v>
      </c>
    </row>
    <row r="270" spans="1:21" ht="17.25" x14ac:dyDescent="0.35">
      <c r="A270" s="78"/>
      <c r="B270" s="78"/>
      <c r="D270" s="83" t="s">
        <v>601</v>
      </c>
      <c r="E270" s="87">
        <f>P242</f>
        <v>1927.3545670789777</v>
      </c>
      <c r="F270" s="86">
        <f>E270/$E$277</f>
        <v>0.13064117058788238</v>
      </c>
      <c r="J270" s="77" t="str">
        <f>J241</f>
        <v>Electrical machinery</v>
      </c>
      <c r="K270" s="88">
        <f>SUMIF($J$238:$J$247,J270,$P$238:$P$247)</f>
        <v>1870.4899052503411</v>
      </c>
      <c r="L270" s="82">
        <f>K270/K$271</f>
        <v>0.12678673398692214</v>
      </c>
      <c r="M270" s="88">
        <f>SUMIF($J$250:$J$259,J270,$P$250:$P$259)</f>
        <v>1870.4899052503411</v>
      </c>
      <c r="N270" s="82">
        <f>M270/M$271</f>
        <v>0.13108081360948959</v>
      </c>
    </row>
    <row r="271" spans="1:21" ht="17.25" x14ac:dyDescent="0.35">
      <c r="A271" s="78"/>
      <c r="B271" s="78"/>
      <c r="D271" s="81" t="s">
        <v>607</v>
      </c>
      <c r="E271" s="83"/>
      <c r="F271" s="89">
        <f>SUM(F272:F276)</f>
        <v>0.45275331655182049</v>
      </c>
      <c r="K271" s="88">
        <f>SUM(K266:K270)</f>
        <v>14753.041161571993</v>
      </c>
      <c r="M271" s="88">
        <f>SUM(M266:M270)</f>
        <v>14269.745920427571</v>
      </c>
    </row>
    <row r="272" spans="1:21" ht="17.25" x14ac:dyDescent="0.35">
      <c r="A272" s="78"/>
      <c r="B272" s="78"/>
      <c r="D272" s="83" t="s">
        <v>606</v>
      </c>
      <c r="E272" s="87">
        <f>P243</f>
        <v>265.75082921869341</v>
      </c>
      <c r="F272" s="86">
        <f>E272/$E$277</f>
        <v>1.8013291382315687E-2</v>
      </c>
      <c r="J272" s="77" t="s">
        <v>605</v>
      </c>
    </row>
    <row r="273" spans="1:14" ht="17.25" x14ac:dyDescent="0.35">
      <c r="A273" s="78"/>
      <c r="B273" s="78"/>
      <c r="D273" s="83" t="s">
        <v>604</v>
      </c>
      <c r="E273" s="87">
        <f>P244</f>
        <v>0</v>
      </c>
      <c r="F273" s="86">
        <f>E273/$E$277</f>
        <v>0</v>
      </c>
      <c r="J273" s="77" t="s">
        <v>513</v>
      </c>
      <c r="L273" s="85">
        <f>L267+L268/2</f>
        <v>9.8921448517675675E-2</v>
      </c>
      <c r="N273" s="85">
        <f>N267+N268/2</f>
        <v>0.13242503165498545</v>
      </c>
    </row>
    <row r="274" spans="1:14" ht="17.25" x14ac:dyDescent="0.35">
      <c r="A274" s="78"/>
      <c r="B274" s="78"/>
      <c r="D274" s="83" t="s">
        <v>603</v>
      </c>
      <c r="E274" s="87">
        <f>P245</f>
        <v>0</v>
      </c>
      <c r="F274" s="86">
        <f>E274/$E$277</f>
        <v>0</v>
      </c>
      <c r="J274" s="77" t="s">
        <v>514</v>
      </c>
      <c r="L274" s="85">
        <f>L269</f>
        <v>0.47531473884580877</v>
      </c>
      <c r="N274" s="85">
        <f>N269</f>
        <v>0.49141294778456335</v>
      </c>
    </row>
    <row r="275" spans="1:14" ht="17.25" x14ac:dyDescent="0.35">
      <c r="A275" s="78"/>
      <c r="B275" s="78"/>
      <c r="D275" s="83" t="s">
        <v>602</v>
      </c>
      <c r="E275" s="87">
        <f>P246</f>
        <v>1328.7541460934669</v>
      </c>
      <c r="F275" s="86">
        <f>E275/$E$277</f>
        <v>9.0066456911578427E-2</v>
      </c>
      <c r="J275" s="77" t="s">
        <v>515</v>
      </c>
      <c r="L275" s="85">
        <f>L270</f>
        <v>0.12678673398692214</v>
      </c>
      <c r="N275" s="85">
        <f>N270</f>
        <v>0.13108081360948959</v>
      </c>
    </row>
    <row r="276" spans="1:14" ht="17.25" x14ac:dyDescent="0.35">
      <c r="A276" s="78"/>
      <c r="B276" s="78"/>
      <c r="D276" s="83" t="s">
        <v>601</v>
      </c>
      <c r="E276" s="87">
        <f>P247</f>
        <v>5084.9833398150822</v>
      </c>
      <c r="F276" s="86">
        <f>E276/$E$277</f>
        <v>0.34467356825792639</v>
      </c>
      <c r="J276" s="77" t="s">
        <v>276</v>
      </c>
      <c r="L276" s="85">
        <f>L266</f>
        <v>0.20774291465569497</v>
      </c>
      <c r="N276" s="85">
        <f>N266</f>
        <v>0.15075707642690084</v>
      </c>
    </row>
    <row r="277" spans="1:14" ht="17.25" x14ac:dyDescent="0.35">
      <c r="A277" s="78"/>
      <c r="B277" s="78"/>
      <c r="D277" s="81" t="s">
        <v>60</v>
      </c>
      <c r="E277" s="84">
        <f>SUM(E266:E276)</f>
        <v>14753.041161571995</v>
      </c>
      <c r="F277" s="83"/>
      <c r="J277" s="77" t="s">
        <v>256</v>
      </c>
      <c r="L277" s="82">
        <f>L268/2</f>
        <v>9.1234163993898498E-2</v>
      </c>
      <c r="N277" s="82">
        <f>N268/2</f>
        <v>9.4324130524060773E-2</v>
      </c>
    </row>
    <row r="278" spans="1:14" ht="17.25" x14ac:dyDescent="0.35">
      <c r="A278" s="78"/>
      <c r="B278" s="78"/>
      <c r="D278" s="81" t="s">
        <v>600</v>
      </c>
      <c r="E278" s="80">
        <f>E277-E268</f>
        <v>12061.078408084806</v>
      </c>
      <c r="F278" s="79"/>
    </row>
    <row r="279" spans="1:14" ht="17.25" x14ac:dyDescent="0.35">
      <c r="A279" s="78"/>
      <c r="B279" s="78"/>
    </row>
    <row r="280" spans="1:14" ht="17.25" x14ac:dyDescent="0.35">
      <c r="A280" s="78"/>
      <c r="B280" s="78"/>
    </row>
    <row r="281" spans="1:14" ht="17.25" x14ac:dyDescent="0.35">
      <c r="A281" s="78"/>
      <c r="B281" s="78"/>
    </row>
    <row r="282" spans="1:14" ht="17.25" x14ac:dyDescent="0.35">
      <c r="A282" s="78"/>
      <c r="B282" s="78"/>
    </row>
    <row r="283" spans="1:14" ht="17.25" x14ac:dyDescent="0.35">
      <c r="A283" s="78"/>
      <c r="B283" s="78"/>
    </row>
    <row r="284" spans="1:14" ht="17.25" x14ac:dyDescent="0.35">
      <c r="A284" s="78"/>
      <c r="B284" s="78"/>
    </row>
    <row r="285" spans="1:14" ht="17.25" x14ac:dyDescent="0.35">
      <c r="A285" s="78"/>
      <c r="B285" s="78"/>
    </row>
    <row r="286" spans="1:14" ht="17.25" x14ac:dyDescent="0.35">
      <c r="A286" s="78"/>
      <c r="B286" s="78"/>
    </row>
    <row r="287" spans="1:14" ht="17.25" x14ac:dyDescent="0.35">
      <c r="A287" s="78"/>
      <c r="B287" s="78"/>
    </row>
    <row r="288" spans="1:14" ht="17.25" x14ac:dyDescent="0.35">
      <c r="A288" s="78"/>
      <c r="B288" s="78"/>
    </row>
    <row r="289" spans="1:2" ht="17.25" x14ac:dyDescent="0.35">
      <c r="A289" s="78"/>
      <c r="B289" s="78"/>
    </row>
    <row r="290" spans="1:2" ht="17.25" x14ac:dyDescent="0.35">
      <c r="A290" s="78"/>
      <c r="B290" s="78"/>
    </row>
    <row r="291" spans="1:2" ht="17.25" x14ac:dyDescent="0.3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workbookViewId="0"/>
  </sheetViews>
  <sheetFormatPr defaultColWidth="8.85546875" defaultRowHeight="15.75" outlineLevelRow="1" x14ac:dyDescent="0.35"/>
  <cols>
    <col min="1" max="1" width="24.85546875" style="77" customWidth="1"/>
    <col min="2" max="2" width="48.7109375" style="77" customWidth="1"/>
    <col min="3" max="3" width="24.140625" style="77" customWidth="1"/>
    <col min="4" max="4" width="21" style="77" customWidth="1"/>
    <col min="5" max="6" width="17" style="77" customWidth="1"/>
    <col min="7" max="7" width="16.140625" style="77" customWidth="1"/>
    <col min="8" max="8" width="18.42578125" style="77" customWidth="1"/>
    <col min="9" max="13" width="16.42578125" style="77" customWidth="1"/>
    <col min="14" max="14" width="15.140625" style="77" customWidth="1"/>
    <col min="15" max="15" width="39.28515625" style="77" customWidth="1"/>
    <col min="16" max="16" width="17.85546875" style="77" customWidth="1"/>
    <col min="17" max="17" width="22.28515625" style="77" customWidth="1"/>
    <col min="18" max="18" width="14" style="77" customWidth="1"/>
    <col min="19" max="19" width="13.7109375" style="77" bestFit="1" customWidth="1"/>
    <col min="20" max="20" width="28.85546875" style="77" customWidth="1"/>
    <col min="21" max="21" width="8.85546875" style="77"/>
    <col min="22" max="22" width="14.5703125" style="77" customWidth="1"/>
    <col min="23" max="23" width="23.85546875" style="77" customWidth="1"/>
    <col min="24" max="24" width="17" style="77" customWidth="1"/>
    <col min="25" max="25" width="32.28515625" style="77" customWidth="1"/>
    <col min="26" max="26" width="14.7109375" style="77" customWidth="1"/>
    <col min="27" max="27" width="16.140625" style="77" customWidth="1"/>
    <col min="28" max="28" width="27.85546875" style="77" customWidth="1"/>
    <col min="29" max="29" width="32.28515625" style="77" customWidth="1"/>
    <col min="30" max="30" width="18" style="77" customWidth="1"/>
    <col min="31" max="31" width="17" style="77" customWidth="1"/>
    <col min="32" max="32" width="14.28515625" style="77" customWidth="1"/>
    <col min="33" max="16384" width="8.85546875" style="77"/>
  </cols>
  <sheetData>
    <row r="1" spans="1:27" ht="18" customHeight="1" x14ac:dyDescent="0.35"/>
    <row r="2" spans="1:27" s="190" customFormat="1" x14ac:dyDescent="0.35">
      <c r="A2" s="191" t="s">
        <v>874</v>
      </c>
    </row>
    <row r="4" spans="1:27" x14ac:dyDescent="0.35">
      <c r="B4" s="266"/>
      <c r="C4" s="374" t="s">
        <v>873</v>
      </c>
      <c r="D4" s="373"/>
      <c r="E4" s="373"/>
      <c r="F4" s="373"/>
      <c r="G4" s="373"/>
      <c r="H4" s="374" t="s">
        <v>872</v>
      </c>
      <c r="I4" s="373"/>
      <c r="J4" s="373"/>
      <c r="K4" s="373"/>
      <c r="L4" s="372"/>
      <c r="M4" s="266" t="s">
        <v>871</v>
      </c>
      <c r="N4" s="266"/>
      <c r="O4" s="266"/>
      <c r="P4" s="266"/>
    </row>
    <row r="5" spans="1:27" s="369" customFormat="1" ht="47.25" x14ac:dyDescent="0.3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1:27" x14ac:dyDescent="0.35">
      <c r="B6" s="83" t="str">
        <f>C79</f>
        <v>Solar cell</v>
      </c>
      <c r="C6" s="258">
        <f>D91</f>
        <v>0.14499999999999999</v>
      </c>
      <c r="D6" s="259">
        <f>C6*(1+$C$23)</f>
        <v>0.16191666666666665</v>
      </c>
      <c r="E6" s="259">
        <f>M91</f>
        <v>0.21124644138755977</v>
      </c>
      <c r="F6" s="86">
        <f t="shared" ref="F6:F14" si="0">E6/C6-1</f>
        <v>0.4568720095693779</v>
      </c>
      <c r="G6" s="86">
        <f t="shared" ref="G6:G14" si="1">E6/D6-1</f>
        <v>0.3046615011069056</v>
      </c>
      <c r="H6" s="258">
        <f>R85</f>
        <v>0.18</v>
      </c>
      <c r="I6" s="259">
        <f>H6*(1+$C$23)</f>
        <v>0.20099999999999998</v>
      </c>
      <c r="J6" s="258">
        <f>R86</f>
        <v>0.27</v>
      </c>
      <c r="K6" s="86">
        <f>J6/H6-1</f>
        <v>0.50000000000000022</v>
      </c>
      <c r="L6" s="86">
        <f>J6/I6-1</f>
        <v>0.34328358208955234</v>
      </c>
      <c r="M6" s="257" t="s">
        <v>1097</v>
      </c>
      <c r="N6" s="257" t="s">
        <v>1096</v>
      </c>
      <c r="O6" s="257" t="s">
        <v>1095</v>
      </c>
      <c r="P6" s="365">
        <f>N47+N49</f>
        <v>0.10714285714285714</v>
      </c>
    </row>
    <row r="7" spans="1:27" x14ac:dyDescent="0.35">
      <c r="B7" s="83" t="str">
        <f>C94</f>
        <v>PV module - using locally produced cell</v>
      </c>
      <c r="C7" s="258">
        <f>D106</f>
        <v>0.23</v>
      </c>
      <c r="D7" s="259">
        <f>C7*(1+$C$23)</f>
        <v>0.25683333333333336</v>
      </c>
      <c r="E7" s="259">
        <f>M106</f>
        <v>0.38703877981481999</v>
      </c>
      <c r="F7" s="86">
        <f t="shared" si="0"/>
        <v>0.68277730354269561</v>
      </c>
      <c r="G7" s="86">
        <f t="shared" si="1"/>
        <v>0.50696474944121972</v>
      </c>
      <c r="H7" s="258">
        <f>R100</f>
        <v>0.27</v>
      </c>
      <c r="I7" s="259">
        <f>H7*(1+$C$23)</f>
        <v>0.30150000000000005</v>
      </c>
      <c r="J7" s="258">
        <f>R101</f>
        <v>0.3175</v>
      </c>
      <c r="K7" s="86">
        <f>J7/H7-1</f>
        <v>0.17592592592592582</v>
      </c>
      <c r="L7" s="86">
        <f>J7/I7-1</f>
        <v>5.3067993366500588E-2</v>
      </c>
      <c r="M7" s="368" t="s">
        <v>1093</v>
      </c>
      <c r="N7" s="257" t="s">
        <v>1094</v>
      </c>
      <c r="O7" s="257">
        <v>160</v>
      </c>
      <c r="P7" s="365">
        <v>0.17</v>
      </c>
    </row>
    <row r="8" spans="1:27" x14ac:dyDescent="0.35">
      <c r="B8" s="83" t="str">
        <f>C110</f>
        <v>PV module - using imported cell</v>
      </c>
      <c r="C8" s="258">
        <f>D122</f>
        <v>0.23</v>
      </c>
      <c r="D8" s="259">
        <f>C8*(1+$C$23)</f>
        <v>0.25683333333333336</v>
      </c>
      <c r="E8" s="259">
        <f>M122</f>
        <v>0.29753329448516036</v>
      </c>
      <c r="F8" s="86">
        <f t="shared" si="0"/>
        <v>0.29362301950069725</v>
      </c>
      <c r="G8" s="86">
        <f t="shared" si="1"/>
        <v>0.15846837567226602</v>
      </c>
      <c r="H8" s="258">
        <f>R100</f>
        <v>0.27</v>
      </c>
      <c r="I8" s="259">
        <f>H8*(1+$C$23)</f>
        <v>0.30150000000000005</v>
      </c>
      <c r="J8" s="258">
        <f>R101</f>
        <v>0.3175</v>
      </c>
      <c r="K8" s="86">
        <f>J8/H8-1</f>
        <v>0.17592592592592582</v>
      </c>
      <c r="L8" s="86">
        <f>J8/I8-1</f>
        <v>5.3067993366500588E-2</v>
      </c>
      <c r="M8" s="368" t="str">
        <f>M7</f>
        <v>US$10 m</v>
      </c>
      <c r="N8" s="257" t="str">
        <f>N7</f>
        <v>200,000 kWp</v>
      </c>
      <c r="O8" s="257">
        <f>O7</f>
        <v>160</v>
      </c>
      <c r="P8" s="365">
        <f>P7</f>
        <v>0.17</v>
      </c>
    </row>
    <row r="9" spans="1:27" x14ac:dyDescent="0.35">
      <c r="B9" s="83" t="str">
        <f>C124</f>
        <v>Mounting hardware</v>
      </c>
      <c r="C9" s="258">
        <f>D136</f>
        <v>0.14256296530967844</v>
      </c>
      <c r="D9" s="259">
        <f>C9*(1+$C$23)</f>
        <v>0.15919531126247427</v>
      </c>
      <c r="E9" s="259">
        <f>M136</f>
        <v>0.17370024647329457</v>
      </c>
      <c r="F9" s="86">
        <f t="shared" si="0"/>
        <v>0.21841072887323176</v>
      </c>
      <c r="G9" s="86">
        <f t="shared" si="1"/>
        <v>9.1114085558118063E-2</v>
      </c>
      <c r="H9" s="260">
        <f>I9/(1+C23)</f>
        <v>6.4179104477611937E-2</v>
      </c>
      <c r="I9" s="259">
        <f>R135</f>
        <v>7.166666666666667E-2</v>
      </c>
      <c r="J9" s="258">
        <f>R131</f>
        <v>8.5999999999999993E-2</v>
      </c>
      <c r="K9" s="86">
        <f>J9/H9-1</f>
        <v>0.33999999999999986</v>
      </c>
      <c r="L9" s="86">
        <f>J9/I9-1</f>
        <v>0.19999999999999996</v>
      </c>
      <c r="M9" s="257" t="s">
        <v>1093</v>
      </c>
      <c r="N9" s="257" t="s">
        <v>1090</v>
      </c>
      <c r="O9" s="257">
        <v>60</v>
      </c>
      <c r="P9" s="365">
        <f>'[16]From SAM'!D29</f>
        <v>0.26942155512861127</v>
      </c>
    </row>
    <row r="10" spans="1:27" x14ac:dyDescent="0.35">
      <c r="B10" s="83" t="s">
        <v>1092</v>
      </c>
      <c r="C10" s="258">
        <f>D176</f>
        <v>6.347826086956522E-2</v>
      </c>
      <c r="D10" s="259">
        <f>C10*(1+$C$23)</f>
        <v>7.0884057971014491E-2</v>
      </c>
      <c r="E10" s="364">
        <f>M176</f>
        <v>7.9964884697026728E-2</v>
      </c>
      <c r="F10" s="86">
        <f t="shared" si="0"/>
        <v>0.25972078632302376</v>
      </c>
      <c r="G10" s="86">
        <f t="shared" si="1"/>
        <v>0.12810816685643922</v>
      </c>
      <c r="H10" s="366">
        <f>I10/(1+C23)</f>
        <v>4.0298507462686567E-2</v>
      </c>
      <c r="I10" s="367">
        <f>R170</f>
        <v>4.4999999999999998E-2</v>
      </c>
      <c r="J10" s="366">
        <f>R171</f>
        <v>4.4999999999999998E-2</v>
      </c>
      <c r="K10" s="86">
        <f>J10/H10-1</f>
        <v>0.1166666666666667</v>
      </c>
      <c r="L10" s="86">
        <f>J10/I10-1</f>
        <v>0</v>
      </c>
      <c r="M10" s="257" t="s">
        <v>1091</v>
      </c>
      <c r="N10" s="257" t="s">
        <v>1090</v>
      </c>
      <c r="O10" s="257">
        <v>55</v>
      </c>
      <c r="P10" s="365">
        <f>R173</f>
        <v>0.4</v>
      </c>
    </row>
    <row r="11" spans="1:27" x14ac:dyDescent="0.35">
      <c r="B11" s="83" t="s">
        <v>1089</v>
      </c>
      <c r="C11" s="258">
        <f>D72</f>
        <v>1.3559322033898305E-2</v>
      </c>
      <c r="D11" s="259">
        <f>C11*(1+C23)</f>
        <v>1.5141242937853107E-2</v>
      </c>
      <c r="E11" s="364">
        <f>M192</f>
        <v>1.4195080352551835E-2</v>
      </c>
      <c r="F11" s="86">
        <f t="shared" si="0"/>
        <v>4.6887176000697917E-2</v>
      </c>
      <c r="G11" s="86">
        <f t="shared" si="1"/>
        <v>-6.2489096118777954E-2</v>
      </c>
      <c r="H11" s="258"/>
      <c r="I11" s="259">
        <f>H11*(1+$C$23)</f>
        <v>0</v>
      </c>
      <c r="J11" s="258"/>
      <c r="K11" s="86"/>
      <c r="L11" s="86"/>
      <c r="M11" s="83"/>
      <c r="N11" s="83"/>
      <c r="O11" s="83"/>
      <c r="P11" s="83"/>
    </row>
    <row r="12" spans="1:27" x14ac:dyDescent="0.35">
      <c r="B12" s="83" t="s">
        <v>1088</v>
      </c>
      <c r="C12" s="258">
        <f>V201</f>
        <v>7.1186440677966104E-2</v>
      </c>
      <c r="D12" s="259">
        <f>C12*(1+$C$23)</f>
        <v>7.9491525423728823E-2</v>
      </c>
      <c r="E12" s="364">
        <f>M207</f>
        <v>7.6327644071955927E-2</v>
      </c>
      <c r="F12" s="86">
        <f t="shared" si="0"/>
        <v>7.2221666725095224E-2</v>
      </c>
      <c r="G12" s="86">
        <f t="shared" si="1"/>
        <v>-3.9801492484989542E-2</v>
      </c>
      <c r="H12" s="362"/>
      <c r="I12" s="363"/>
      <c r="J12" s="362"/>
      <c r="K12" s="361"/>
      <c r="L12" s="361"/>
      <c r="M12" s="360"/>
      <c r="N12" s="360"/>
      <c r="O12" s="360"/>
      <c r="P12" s="360"/>
    </row>
    <row r="13" spans="1:27" x14ac:dyDescent="0.35">
      <c r="B13" s="255" t="s">
        <v>1087</v>
      </c>
      <c r="C13" s="359">
        <f>C7+C9+C10+C11+C12</f>
        <v>0.52078698889110808</v>
      </c>
      <c r="D13" s="359">
        <f>D7+D9+D10+D11+D12</f>
        <v>0.58154547092840403</v>
      </c>
      <c r="E13" s="359">
        <f>E7+E9+E10+E11+E12</f>
        <v>0.73122663540964905</v>
      </c>
      <c r="F13" s="358">
        <f t="shared" si="0"/>
        <v>0.40408007689789271</v>
      </c>
      <c r="G13" s="358">
        <f t="shared" si="1"/>
        <v>0.25738514349065023</v>
      </c>
      <c r="H13" s="359">
        <f>H7+H9+H10+H11+H12</f>
        <v>0.37447761194029849</v>
      </c>
      <c r="I13" s="359">
        <f>I7+I9+I10+I11+I12</f>
        <v>0.41816666666666669</v>
      </c>
      <c r="J13" s="359">
        <f>J7+J9+J10+J11+J12</f>
        <v>0.44849999999999995</v>
      </c>
      <c r="K13" s="358">
        <f>J13/H13-1</f>
        <v>0.19766839378238332</v>
      </c>
      <c r="L13" s="358">
        <f>J13/I13-1</f>
        <v>7.2538860103626757E-2</v>
      </c>
      <c r="M13" s="255"/>
      <c r="N13" s="255"/>
      <c r="O13" s="255"/>
      <c r="P13" s="255"/>
    </row>
    <row r="14" spans="1:27" x14ac:dyDescent="0.35">
      <c r="B14" s="255" t="s">
        <v>1086</v>
      </c>
      <c r="C14" s="359">
        <f>C8+C9+C10+C11+C12</f>
        <v>0.52078698889110808</v>
      </c>
      <c r="D14" s="359">
        <f>D8+D9+D10+D11+D12</f>
        <v>0.58154547092840403</v>
      </c>
      <c r="E14" s="359">
        <f>E8+E9+E10+E11+E12</f>
        <v>0.64172115007998931</v>
      </c>
      <c r="F14" s="358">
        <f t="shared" si="0"/>
        <v>0.23221425221544356</v>
      </c>
      <c r="G14" s="358">
        <f t="shared" si="1"/>
        <v>0.10347544974517353</v>
      </c>
      <c r="H14" s="359">
        <f>H8+H9+H10+H11+H12</f>
        <v>0.37447761194029849</v>
      </c>
      <c r="I14" s="359">
        <f>I8+I9+I10+I11+I12</f>
        <v>0.41816666666666669</v>
      </c>
      <c r="J14" s="359">
        <f>J8+J9+J10+J11+J12</f>
        <v>0.44849999999999995</v>
      </c>
      <c r="K14" s="358">
        <f>J14/H14-1</f>
        <v>0.19766839378238332</v>
      </c>
      <c r="L14" s="358">
        <f>J14/I14-1</f>
        <v>7.2538860103626757E-2</v>
      </c>
      <c r="M14" s="255"/>
      <c r="N14" s="255"/>
      <c r="O14" s="255"/>
      <c r="P14" s="255"/>
    </row>
    <row r="15" spans="1:27" x14ac:dyDescent="0.35">
      <c r="B15" s="83" t="str">
        <f>C139</f>
        <v>Charge controllers</v>
      </c>
      <c r="C15" s="357"/>
      <c r="D15" s="259">
        <f>C15*(1+$C$23)</f>
        <v>0</v>
      </c>
      <c r="E15" s="356"/>
      <c r="F15" s="86">
        <f>G15/(1+C23)</f>
        <v>1.100355576598586</v>
      </c>
      <c r="G15" s="86">
        <f>F163</f>
        <v>1.2287303938684211</v>
      </c>
      <c r="H15" s="258"/>
      <c r="I15" s="259">
        <f>H15*(1+$C$23)</f>
        <v>0</v>
      </c>
      <c r="J15" s="258"/>
      <c r="K15" s="86"/>
      <c r="L15" s="86"/>
      <c r="M15" s="83"/>
      <c r="N15" s="83"/>
      <c r="O15" s="83"/>
      <c r="P15" s="83"/>
    </row>
    <row r="16" spans="1:27" x14ac:dyDescent="0.35">
      <c r="B16" s="91"/>
      <c r="C16" s="355"/>
      <c r="D16" s="355"/>
      <c r="E16" s="355"/>
      <c r="F16" s="355"/>
      <c r="G16" s="354"/>
      <c r="H16" s="354"/>
      <c r="I16" s="91"/>
      <c r="J16" s="91"/>
      <c r="K16" s="91"/>
      <c r="L16" s="91"/>
      <c r="M16" s="91"/>
      <c r="N16" s="91"/>
      <c r="O16" s="91"/>
    </row>
    <row r="17" spans="1:23" s="190" customFormat="1" x14ac:dyDescent="0.35">
      <c r="A17" s="191" t="s">
        <v>851</v>
      </c>
    </row>
    <row r="18" spans="1:23" ht="16.5" outlineLevel="1" thickBot="1" x14ac:dyDescent="0.4">
      <c r="T18" s="353"/>
      <c r="U18" s="352"/>
      <c r="V18" s="352"/>
      <c r="W18" s="352"/>
    </row>
    <row r="19" spans="1:23" ht="16.5" outlineLevel="1" thickBot="1" x14ac:dyDescent="0.4">
      <c r="B19" s="106" t="s">
        <v>850</v>
      </c>
      <c r="C19" s="251">
        <f>'[16]Key assumptions'!C4</f>
        <v>14.4</v>
      </c>
      <c r="D19" s="77" t="s">
        <v>849</v>
      </c>
    </row>
    <row r="20" spans="1:23" ht="16.5" outlineLevel="1" thickBot="1" x14ac:dyDescent="0.4">
      <c r="B20" s="106" t="s">
        <v>848</v>
      </c>
      <c r="C20" s="251">
        <f>'[16]Key assumptions'!C5</f>
        <v>0.83526682134570773</v>
      </c>
      <c r="D20" s="77" t="s">
        <v>847</v>
      </c>
    </row>
    <row r="21" spans="1:23" ht="16.5" outlineLevel="1" thickBot="1" x14ac:dyDescent="0.4">
      <c r="B21" s="106" t="s">
        <v>846</v>
      </c>
      <c r="C21" s="251">
        <f>'[16]Key assumptions'!C6</f>
        <v>17.239999999999998</v>
      </c>
      <c r="D21" s="77" t="str">
        <f>D19</f>
        <v>Reserve Bank (april 2021)</v>
      </c>
    </row>
    <row r="22" spans="1:23" ht="16.5" outlineLevel="1" thickBot="1" x14ac:dyDescent="0.4">
      <c r="B22" s="106" t="s">
        <v>1085</v>
      </c>
      <c r="C22" s="250">
        <f>'[16]Key assumptions'!C8</f>
        <v>7.0000000000000007E-2</v>
      </c>
    </row>
    <row r="23" spans="1:23" ht="16.5" outlineLevel="1" thickBot="1" x14ac:dyDescent="0.4">
      <c r="B23" s="106" t="s">
        <v>1084</v>
      </c>
      <c r="C23" s="351">
        <f>'[16]Key assumptions'!C9</f>
        <v>0.11666666666666668</v>
      </c>
      <c r="D23" s="77" t="s">
        <v>1083</v>
      </c>
      <c r="L23" s="245"/>
      <c r="M23" s="192"/>
    </row>
    <row r="24" spans="1:23" outlineLevel="1" x14ac:dyDescent="0.35">
      <c r="B24" s="193"/>
      <c r="C24" s="192"/>
      <c r="G24" s="246"/>
      <c r="I24" s="246"/>
      <c r="J24" s="246"/>
      <c r="K24" s="246"/>
      <c r="L24" s="245"/>
      <c r="M24" s="192"/>
    </row>
    <row r="25" spans="1:23" outlineLevel="1" x14ac:dyDescent="0.35">
      <c r="B25" s="248"/>
      <c r="C25" s="247">
        <v>43466</v>
      </c>
      <c r="D25" s="247">
        <v>43647</v>
      </c>
      <c r="E25" s="247">
        <v>43831</v>
      </c>
      <c r="F25" s="350"/>
      <c r="G25" s="246"/>
      <c r="I25" s="246"/>
      <c r="J25" s="246"/>
      <c r="K25" s="246"/>
      <c r="L25" s="245"/>
      <c r="M25" s="192"/>
    </row>
    <row r="26" spans="1:23" outlineLevel="1" x14ac:dyDescent="0.35">
      <c r="B26" s="244" t="s">
        <v>842</v>
      </c>
      <c r="C26" s="243">
        <f>'[16]Key assumptions'!C12</f>
        <v>0</v>
      </c>
      <c r="D26" s="243">
        <f>'[16]Key assumptions'!D12</f>
        <v>0</v>
      </c>
      <c r="E26" s="243">
        <f>'[16]Key assumptions'!E12</f>
        <v>20.9</v>
      </c>
      <c r="F26" s="349"/>
      <c r="G26" s="246"/>
      <c r="I26" s="246"/>
      <c r="J26" s="246"/>
      <c r="K26" s="246"/>
      <c r="L26" s="245"/>
      <c r="M26" s="192"/>
    </row>
    <row r="27" spans="1:23" outlineLevel="1" x14ac:dyDescent="0.35">
      <c r="B27" s="244" t="s">
        <v>839</v>
      </c>
      <c r="C27" s="243">
        <f>'[16]Key assumptions'!C13</f>
        <v>0</v>
      </c>
      <c r="D27" s="243">
        <f>'[16]Key assumptions'!D13</f>
        <v>0</v>
      </c>
      <c r="E27" s="243">
        <f>'[16]Key assumptions'!E13</f>
        <v>50.9</v>
      </c>
      <c r="F27" s="349"/>
      <c r="G27" s="246"/>
      <c r="I27" s="246"/>
      <c r="J27" s="246"/>
      <c r="K27" s="246"/>
      <c r="L27" s="245"/>
      <c r="M27" s="192"/>
    </row>
    <row r="28" spans="1:23" outlineLevel="1" x14ac:dyDescent="0.35">
      <c r="B28" s="244"/>
      <c r="C28" s="243" t="e">
        <f>C27/C26</f>
        <v>#DIV/0!</v>
      </c>
      <c r="D28" s="243" t="e">
        <f>D27/D26</f>
        <v>#DIV/0!</v>
      </c>
      <c r="E28" s="243">
        <f>E27/E26</f>
        <v>2.4354066985645932</v>
      </c>
      <c r="F28" s="349"/>
      <c r="G28" s="92"/>
      <c r="I28" s="92"/>
      <c r="J28" s="92"/>
      <c r="K28" s="92"/>
    </row>
    <row r="29" spans="1:23" outlineLevel="1" x14ac:dyDescent="0.35">
      <c r="B29" s="193"/>
      <c r="C29" s="192"/>
      <c r="D29" s="192"/>
      <c r="E29" s="192"/>
      <c r="F29" s="192"/>
      <c r="G29" s="92"/>
      <c r="I29" s="92"/>
      <c r="J29" s="92"/>
      <c r="K29" s="92"/>
    </row>
    <row r="30" spans="1:23" outlineLevel="1" x14ac:dyDescent="0.35">
      <c r="B30" s="248"/>
      <c r="C30" s="247">
        <v>43466</v>
      </c>
      <c r="D30" s="247">
        <v>43647</v>
      </c>
      <c r="E30" s="247">
        <v>43831</v>
      </c>
      <c r="F30" s="350"/>
      <c r="G30" s="246"/>
      <c r="I30" s="246"/>
      <c r="J30" s="246"/>
      <c r="K30" s="246"/>
      <c r="L30" s="245"/>
      <c r="M30" s="192"/>
      <c r="U30" s="82"/>
      <c r="V30" s="82"/>
    </row>
    <row r="31" spans="1:23" outlineLevel="1" x14ac:dyDescent="0.35">
      <c r="B31" s="244" t="s">
        <v>841</v>
      </c>
      <c r="C31" s="243">
        <f>'[16]Key assumptions'!C17</f>
        <v>0</v>
      </c>
      <c r="D31" s="243">
        <f>'[16]Key assumptions'!D17</f>
        <v>0</v>
      </c>
      <c r="E31" s="243">
        <f>'[16]Key assumptions'!E17</f>
        <v>47.3</v>
      </c>
      <c r="F31" s="349"/>
      <c r="G31" s="246"/>
      <c r="I31" s="246"/>
      <c r="J31" s="246"/>
      <c r="K31" s="246"/>
      <c r="L31" s="245"/>
      <c r="M31" s="192"/>
      <c r="U31" s="82"/>
      <c r="V31" s="82"/>
    </row>
    <row r="32" spans="1:23" outlineLevel="1" x14ac:dyDescent="0.35">
      <c r="B32" s="244" t="s">
        <v>839</v>
      </c>
      <c r="C32" s="243">
        <f>'[16]Key assumptions'!C18</f>
        <v>0</v>
      </c>
      <c r="D32" s="243">
        <f>'[16]Key assumptions'!D18</f>
        <v>0</v>
      </c>
      <c r="E32" s="243">
        <f>'[16]Key assumptions'!E18</f>
        <v>50.9</v>
      </c>
      <c r="F32" s="349"/>
      <c r="G32" s="246"/>
      <c r="I32" s="246"/>
      <c r="J32" s="246"/>
      <c r="K32" s="246"/>
      <c r="L32" s="245"/>
      <c r="M32" s="192"/>
      <c r="U32" s="82"/>
      <c r="V32" s="82"/>
    </row>
    <row r="33" spans="1:23" outlineLevel="1" x14ac:dyDescent="0.35">
      <c r="B33" s="244"/>
      <c r="C33" s="243">
        <f>'[16]Key assumptions'!C19</f>
        <v>0</v>
      </c>
      <c r="D33" s="243">
        <f>'[16]Key assumptions'!D19</f>
        <v>0</v>
      </c>
      <c r="E33" s="243">
        <f>'[16]Key assumptions'!E19</f>
        <v>1.0761099365750528</v>
      </c>
      <c r="F33" s="349"/>
      <c r="G33" s="92"/>
      <c r="I33" s="92"/>
      <c r="J33" s="92"/>
      <c r="K33" s="92"/>
      <c r="U33" s="82"/>
      <c r="V33" s="82"/>
    </row>
    <row r="34" spans="1:23" outlineLevel="1" x14ac:dyDescent="0.35">
      <c r="B34" s="193"/>
      <c r="C34" s="192"/>
      <c r="D34" s="192"/>
      <c r="E34" s="192"/>
      <c r="F34" s="192"/>
      <c r="G34" s="92"/>
      <c r="I34" s="92"/>
      <c r="J34" s="92"/>
      <c r="K34" s="92"/>
    </row>
    <row r="35" spans="1:23" outlineLevel="1" x14ac:dyDescent="0.35">
      <c r="B35" s="248"/>
      <c r="C35" s="247">
        <v>43466</v>
      </c>
      <c r="D35" s="247">
        <v>43647</v>
      </c>
      <c r="E35" s="247">
        <v>43831</v>
      </c>
      <c r="F35" s="350"/>
      <c r="G35" s="246"/>
      <c r="I35" s="246"/>
      <c r="J35" s="246"/>
      <c r="K35" s="246"/>
      <c r="L35" s="245"/>
      <c r="M35" s="192"/>
      <c r="U35" s="82"/>
      <c r="V35" s="82"/>
    </row>
    <row r="36" spans="1:23" outlineLevel="1" x14ac:dyDescent="0.35">
      <c r="B36" s="244" t="s">
        <v>840</v>
      </c>
      <c r="C36" s="243">
        <f>'[16]Key assumptions'!C22</f>
        <v>0</v>
      </c>
      <c r="D36" s="243">
        <f>'[16]Key assumptions'!D22</f>
        <v>0</v>
      </c>
      <c r="E36" s="243">
        <f>'[16]Key assumptions'!E22</f>
        <v>26.4</v>
      </c>
      <c r="F36" s="349"/>
      <c r="G36" s="246"/>
      <c r="I36" s="246"/>
      <c r="J36" s="246"/>
      <c r="K36" s="246"/>
      <c r="L36" s="245"/>
      <c r="M36" s="192"/>
      <c r="U36" s="82"/>
      <c r="V36" s="82"/>
    </row>
    <row r="37" spans="1:23" outlineLevel="1" x14ac:dyDescent="0.35">
      <c r="B37" s="244" t="s">
        <v>839</v>
      </c>
      <c r="C37" s="243">
        <f>'[16]Key assumptions'!C23</f>
        <v>0</v>
      </c>
      <c r="D37" s="243">
        <f>'[16]Key assumptions'!D23</f>
        <v>0</v>
      </c>
      <c r="E37" s="243">
        <f>'[16]Key assumptions'!E23</f>
        <v>50.9</v>
      </c>
      <c r="F37" s="349"/>
      <c r="G37" s="246"/>
      <c r="I37" s="246"/>
      <c r="J37" s="246"/>
      <c r="K37" s="246"/>
      <c r="L37" s="245"/>
      <c r="M37" s="192"/>
      <c r="U37" s="82"/>
      <c r="V37" s="82"/>
    </row>
    <row r="38" spans="1:23" outlineLevel="1" x14ac:dyDescent="0.35">
      <c r="B38" s="244"/>
      <c r="C38" s="243">
        <f>'[16]Key assumptions'!C24</f>
        <v>0</v>
      </c>
      <c r="D38" s="243">
        <f>'[16]Key assumptions'!D24</f>
        <v>0</v>
      </c>
      <c r="E38" s="243">
        <f>'[16]Key assumptions'!E24</f>
        <v>1.928030303030303</v>
      </c>
      <c r="F38" s="349"/>
      <c r="G38" s="92"/>
      <c r="I38" s="92"/>
      <c r="J38" s="92"/>
      <c r="K38" s="92"/>
      <c r="U38" s="82"/>
      <c r="V38" s="82"/>
    </row>
    <row r="39" spans="1:23" x14ac:dyDescent="0.35">
      <c r="B39" s="193"/>
      <c r="C39" s="192"/>
      <c r="D39" s="192"/>
      <c r="E39" s="192"/>
      <c r="F39" s="192"/>
      <c r="G39" s="92"/>
      <c r="I39" s="92"/>
      <c r="J39" s="92"/>
      <c r="K39" s="92"/>
      <c r="U39" s="82"/>
      <c r="V39" s="82"/>
    </row>
    <row r="40" spans="1:23" s="190" customFormat="1" x14ac:dyDescent="0.35">
      <c r="A40" s="191" t="s">
        <v>1082</v>
      </c>
    </row>
    <row r="41" spans="1:23" outlineLevel="1" x14ac:dyDescent="0.35"/>
    <row r="42" spans="1:23" s="91" customFormat="1" outlineLevel="1" x14ac:dyDescent="0.35">
      <c r="B42" s="348"/>
      <c r="C42" s="489" t="s">
        <v>1081</v>
      </c>
      <c r="D42" s="489"/>
      <c r="E42" s="348" t="s">
        <v>1080</v>
      </c>
      <c r="F42" s="348"/>
      <c r="G42" s="77"/>
      <c r="H42" s="77"/>
      <c r="I42" s="348" t="s">
        <v>952</v>
      </c>
      <c r="J42" s="77"/>
      <c r="K42" s="77"/>
      <c r="L42" s="348" t="s">
        <v>1018</v>
      </c>
      <c r="M42" s="489">
        <v>2011</v>
      </c>
      <c r="N42" s="489"/>
      <c r="O42" s="348" t="s">
        <v>1018</v>
      </c>
      <c r="P42" s="489">
        <v>2018</v>
      </c>
      <c r="Q42" s="489"/>
    </row>
    <row r="43" spans="1:23" ht="16.5" outlineLevel="1" thickBot="1" x14ac:dyDescent="0.4">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1:23" s="166" customFormat="1" ht="16.5" outlineLevel="1" thickBot="1" x14ac:dyDescent="0.4">
      <c r="B44" s="106" t="s">
        <v>1071</v>
      </c>
      <c r="C44" s="327">
        <v>0.52</v>
      </c>
      <c r="D44" s="327">
        <v>0.43</v>
      </c>
      <c r="E44" s="106" t="s">
        <v>1070</v>
      </c>
      <c r="F44" s="106"/>
      <c r="G44" s="106">
        <v>4000</v>
      </c>
      <c r="H44" s="106">
        <v>5100</v>
      </c>
      <c r="I44" s="106" t="s">
        <v>1047</v>
      </c>
      <c r="J44" s="106">
        <v>0.19</v>
      </c>
      <c r="K44" s="327">
        <f t="shared" ref="K44:K55" si="2">J44/$J$56</f>
        <v>0.32203389830508483</v>
      </c>
      <c r="L44" s="106" t="s">
        <v>1069</v>
      </c>
      <c r="M44" s="106">
        <v>0.47</v>
      </c>
      <c r="N44" s="327">
        <f t="shared" ref="N44:N50" si="3">M44/$M$51</f>
        <v>0.55952380952380942</v>
      </c>
      <c r="O44" s="106" t="s">
        <v>1068</v>
      </c>
      <c r="P44" s="106">
        <v>3.5999999999999997E-2</v>
      </c>
      <c r="Q44" s="327">
        <f t="shared" ref="Q44:Q50" si="4">P44/$P$50</f>
        <v>0.22499999999999998</v>
      </c>
      <c r="R44" s="317"/>
      <c r="T44" s="317"/>
      <c r="U44" s="317"/>
      <c r="V44" s="317"/>
      <c r="W44" s="317"/>
    </row>
    <row r="45" spans="1:23" ht="16.5" outlineLevel="1" thickBot="1" x14ac:dyDescent="0.4">
      <c r="B45" s="106" t="s">
        <v>540</v>
      </c>
      <c r="C45" s="327">
        <v>0.12</v>
      </c>
      <c r="D45" s="327">
        <v>0.1</v>
      </c>
      <c r="E45" s="106" t="s">
        <v>540</v>
      </c>
      <c r="F45" s="106"/>
      <c r="G45" s="106">
        <v>700</v>
      </c>
      <c r="H45" s="106">
        <v>2000</v>
      </c>
      <c r="I45" s="106" t="s">
        <v>496</v>
      </c>
      <c r="J45" s="106">
        <v>0.02</v>
      </c>
      <c r="K45" s="327">
        <f t="shared" si="2"/>
        <v>3.389830508474577E-2</v>
      </c>
      <c r="L45" s="147" t="s">
        <v>1067</v>
      </c>
      <c r="M45" s="106">
        <f>0.68-0.47</f>
        <v>0.21000000000000008</v>
      </c>
      <c r="N45" s="327">
        <f t="shared" si="3"/>
        <v>0.25000000000000006</v>
      </c>
      <c r="O45" s="147" t="s">
        <v>1066</v>
      </c>
      <c r="P45" s="106">
        <v>5.8999999999999997E-2</v>
      </c>
      <c r="Q45" s="327">
        <f t="shared" si="4"/>
        <v>0.36874999999999997</v>
      </c>
      <c r="R45" s="192"/>
      <c r="T45" s="193"/>
      <c r="U45" s="293"/>
      <c r="V45" s="192"/>
      <c r="W45" s="293"/>
    </row>
    <row r="46" spans="1:23" ht="16.5" outlineLevel="1" thickBot="1" x14ac:dyDescent="0.4">
      <c r="B46" s="106" t="s">
        <v>1012</v>
      </c>
      <c r="C46" s="327">
        <v>0.09</v>
      </c>
      <c r="D46" s="327">
        <v>0.15</v>
      </c>
      <c r="E46" s="106" t="s">
        <v>1065</v>
      </c>
      <c r="F46" s="106"/>
      <c r="G46" s="106">
        <v>400</v>
      </c>
      <c r="H46" s="106">
        <v>1700</v>
      </c>
      <c r="I46" s="106" t="s">
        <v>1046</v>
      </c>
      <c r="J46" s="106">
        <v>0.02</v>
      </c>
      <c r="K46" s="327">
        <f t="shared" si="2"/>
        <v>3.389830508474577E-2</v>
      </c>
      <c r="L46" s="147" t="s">
        <v>1064</v>
      </c>
      <c r="M46" s="106">
        <f>0.72-0.68</f>
        <v>3.9999999999999925E-2</v>
      </c>
      <c r="N46" s="327">
        <f t="shared" si="3"/>
        <v>4.7619047619047526E-2</v>
      </c>
      <c r="O46" s="147" t="s">
        <v>1063</v>
      </c>
      <c r="P46" s="106">
        <v>1.7000000000000001E-2</v>
      </c>
      <c r="Q46" s="327">
        <f t="shared" si="4"/>
        <v>0.10625000000000001</v>
      </c>
      <c r="R46" s="192"/>
      <c r="T46" s="193"/>
      <c r="U46" s="293"/>
      <c r="V46" s="192"/>
      <c r="W46" s="293"/>
    </row>
    <row r="47" spans="1:23" ht="16.5" outlineLevel="1" thickBot="1" x14ac:dyDescent="0.4">
      <c r="B47" s="106" t="s">
        <v>1062</v>
      </c>
      <c r="C47" s="327"/>
      <c r="D47" s="327">
        <v>0.04</v>
      </c>
      <c r="E47" s="106"/>
      <c r="F47" s="106"/>
      <c r="G47" s="106"/>
      <c r="H47" s="106"/>
      <c r="I47" s="106" t="s">
        <v>1045</v>
      </c>
      <c r="J47" s="106">
        <v>0.02</v>
      </c>
      <c r="K47" s="327">
        <f t="shared" si="2"/>
        <v>3.389830508474577E-2</v>
      </c>
      <c r="L47" s="147" t="s">
        <v>608</v>
      </c>
      <c r="M47" s="106">
        <f>0.02</f>
        <v>0.02</v>
      </c>
      <c r="N47" s="327">
        <f t="shared" si="3"/>
        <v>2.3809523809523808E-2</v>
      </c>
      <c r="O47" s="147" t="s">
        <v>1061</v>
      </c>
      <c r="P47" s="106">
        <v>4.8000000000000001E-2</v>
      </c>
      <c r="Q47" s="327">
        <f t="shared" si="4"/>
        <v>0.3</v>
      </c>
      <c r="R47" s="293"/>
      <c r="T47" s="193"/>
      <c r="U47" s="293"/>
      <c r="V47" s="293"/>
      <c r="W47" s="293"/>
    </row>
    <row r="48" spans="1:23" ht="16.5" outlineLevel="1" thickBot="1" x14ac:dyDescent="0.4">
      <c r="B48" s="106" t="s">
        <v>1060</v>
      </c>
      <c r="C48" s="327"/>
      <c r="D48" s="327"/>
      <c r="E48" s="106"/>
      <c r="F48" s="106"/>
      <c r="G48" s="106"/>
      <c r="H48" s="106"/>
      <c r="I48" s="106" t="s">
        <v>1044</v>
      </c>
      <c r="J48" s="106">
        <v>0.01</v>
      </c>
      <c r="K48" s="327">
        <f t="shared" si="2"/>
        <v>1.6949152542372885E-2</v>
      </c>
      <c r="L48" s="147" t="s">
        <v>1059</v>
      </c>
      <c r="M48" s="106">
        <v>0.01</v>
      </c>
      <c r="N48" s="327">
        <f t="shared" si="3"/>
        <v>1.1904761904761904E-2</v>
      </c>
      <c r="O48" s="147"/>
      <c r="P48" s="106"/>
      <c r="Q48" s="327">
        <f t="shared" si="4"/>
        <v>0</v>
      </c>
      <c r="R48" s="293"/>
      <c r="S48" s="149"/>
      <c r="T48" s="193"/>
      <c r="U48" s="293"/>
      <c r="V48" s="293"/>
      <c r="W48" s="293"/>
    </row>
    <row r="49" spans="2:23" ht="32.25" outlineLevel="1" thickBot="1" x14ac:dyDescent="0.4">
      <c r="B49" s="106" t="s">
        <v>1058</v>
      </c>
      <c r="C49" s="327"/>
      <c r="D49" s="327"/>
      <c r="E49" s="106" t="s">
        <v>1057</v>
      </c>
      <c r="F49" s="106"/>
      <c r="G49" s="106">
        <v>350</v>
      </c>
      <c r="H49" s="106">
        <v>2000</v>
      </c>
      <c r="I49" s="106" t="s">
        <v>1043</v>
      </c>
      <c r="J49" s="106">
        <v>0.01</v>
      </c>
      <c r="K49" s="327">
        <f t="shared" si="2"/>
        <v>1.6949152542372885E-2</v>
      </c>
      <c r="L49" s="147" t="s">
        <v>1056</v>
      </c>
      <c r="M49" s="106">
        <v>7.0000000000000007E-2</v>
      </c>
      <c r="N49" s="327">
        <f t="shared" si="3"/>
        <v>8.3333333333333329E-2</v>
      </c>
      <c r="O49" s="147"/>
      <c r="P49" s="106"/>
      <c r="Q49" s="327">
        <f t="shared" si="4"/>
        <v>0</v>
      </c>
      <c r="R49" s="293"/>
      <c r="S49" s="149"/>
      <c r="T49" s="193"/>
      <c r="U49" s="293"/>
      <c r="V49" s="293"/>
      <c r="W49" s="293"/>
    </row>
    <row r="50" spans="2:23" ht="16.5" outlineLevel="1" thickBot="1" x14ac:dyDescent="0.4">
      <c r="B50" s="106" t="s">
        <v>1055</v>
      </c>
      <c r="C50" s="327">
        <v>0.26</v>
      </c>
      <c r="D50" s="327">
        <v>0.28000000000000003</v>
      </c>
      <c r="E50" s="106" t="s">
        <v>1054</v>
      </c>
      <c r="F50" s="106"/>
      <c r="G50" s="106">
        <v>30</v>
      </c>
      <c r="H50" s="106">
        <v>200</v>
      </c>
      <c r="I50" s="106" t="s">
        <v>1042</v>
      </c>
      <c r="J50" s="106">
        <v>0.01</v>
      </c>
      <c r="K50" s="327">
        <f t="shared" si="2"/>
        <v>1.6949152542372885E-2</v>
      </c>
      <c r="L50" s="147" t="s">
        <v>1053</v>
      </c>
      <c r="M50" s="106">
        <v>0.02</v>
      </c>
      <c r="N50" s="327">
        <f t="shared" si="3"/>
        <v>2.3809523809523808E-2</v>
      </c>
      <c r="O50" s="147"/>
      <c r="P50" s="106">
        <f>SUM(P44:P49)</f>
        <v>0.16</v>
      </c>
      <c r="Q50" s="327">
        <f t="shared" si="4"/>
        <v>1</v>
      </c>
      <c r="R50" s="293"/>
      <c r="T50" s="193"/>
      <c r="U50" s="293"/>
      <c r="V50" s="293"/>
      <c r="W50" s="293"/>
    </row>
    <row r="51" spans="2:23" ht="16.5" outlineLevel="1" thickBot="1" x14ac:dyDescent="0.4">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23" ht="16.5" outlineLevel="1" thickBot="1" x14ac:dyDescent="0.4">
      <c r="B52" s="106"/>
      <c r="C52" s="106"/>
      <c r="D52" s="106"/>
      <c r="E52" s="106" t="s">
        <v>1050</v>
      </c>
      <c r="F52" s="106"/>
      <c r="G52" s="106">
        <v>650</v>
      </c>
      <c r="H52" s="106">
        <v>1200</v>
      </c>
      <c r="I52" s="106" t="s">
        <v>540</v>
      </c>
      <c r="J52" s="106">
        <v>0.06</v>
      </c>
      <c r="K52" s="327">
        <f t="shared" si="2"/>
        <v>0.10169491525423731</v>
      </c>
      <c r="L52" s="317"/>
      <c r="M52" s="317"/>
    </row>
    <row r="53" spans="2:23" ht="16.5" outlineLevel="1" thickBot="1" x14ac:dyDescent="0.4">
      <c r="B53" s="106"/>
      <c r="C53" s="106"/>
      <c r="D53" s="106"/>
      <c r="E53" s="106"/>
      <c r="F53" s="106"/>
      <c r="G53" s="106"/>
      <c r="H53" s="106"/>
      <c r="I53" s="106" t="s">
        <v>1038</v>
      </c>
      <c r="J53" s="106">
        <v>0.02</v>
      </c>
      <c r="K53" s="327">
        <f t="shared" si="2"/>
        <v>3.389830508474577E-2</v>
      </c>
      <c r="L53" s="317"/>
      <c r="M53" s="317"/>
    </row>
    <row r="54" spans="2:23" ht="16.5" outlineLevel="1" thickBot="1" x14ac:dyDescent="0.4">
      <c r="B54" s="106"/>
      <c r="C54" s="106"/>
      <c r="D54" s="106"/>
      <c r="E54" s="106"/>
      <c r="F54" s="106"/>
      <c r="G54" s="106"/>
      <c r="H54" s="106"/>
      <c r="I54" s="106" t="s">
        <v>935</v>
      </c>
      <c r="J54" s="106">
        <v>0.01</v>
      </c>
      <c r="K54" s="327">
        <f t="shared" si="2"/>
        <v>1.6949152542372885E-2</v>
      </c>
      <c r="L54" s="317"/>
      <c r="M54" s="317"/>
    </row>
    <row r="55" spans="2:23" ht="16.5" outlineLevel="1" thickBot="1" x14ac:dyDescent="0.4">
      <c r="B55" s="106"/>
      <c r="C55" s="106"/>
      <c r="D55" s="106"/>
      <c r="E55" s="106"/>
      <c r="F55" s="106"/>
      <c r="G55" s="106"/>
      <c r="H55" s="106"/>
      <c r="I55" s="106" t="s">
        <v>550</v>
      </c>
      <c r="J55" s="106">
        <v>7.0000000000000007E-2</v>
      </c>
      <c r="K55" s="327">
        <f t="shared" si="2"/>
        <v>0.11864406779661021</v>
      </c>
      <c r="L55" s="317"/>
      <c r="M55" s="317"/>
    </row>
    <row r="56" spans="2:23" ht="16.5" outlineLevel="1" thickBot="1" x14ac:dyDescent="0.4">
      <c r="B56" s="106"/>
      <c r="C56" s="106"/>
      <c r="D56" s="106"/>
      <c r="E56" s="106"/>
      <c r="F56" s="106"/>
      <c r="G56" s="106"/>
      <c r="H56" s="106"/>
      <c r="I56" s="106" t="s">
        <v>1049</v>
      </c>
      <c r="J56" s="106">
        <f>SUM(J44:J55)</f>
        <v>0.58999999999999986</v>
      </c>
      <c r="K56" s="106">
        <f>SUM(K44:K55)</f>
        <v>1.0000000000000004</v>
      </c>
      <c r="L56" s="317"/>
      <c r="M56" s="317"/>
    </row>
    <row r="57" spans="2:23" outlineLevel="1" x14ac:dyDescent="0.35">
      <c r="B57" s="193"/>
      <c r="C57" s="193"/>
      <c r="D57" s="193"/>
      <c r="E57" s="193"/>
      <c r="F57" s="193"/>
      <c r="G57" s="193"/>
      <c r="H57" s="193"/>
      <c r="I57" s="193"/>
      <c r="J57" s="193"/>
      <c r="K57" s="193"/>
      <c r="L57" s="317"/>
      <c r="M57" s="317"/>
    </row>
    <row r="58" spans="2:23" outlineLevel="1" x14ac:dyDescent="0.35">
      <c r="B58" s="193" t="s">
        <v>1040</v>
      </c>
      <c r="C58" s="193"/>
      <c r="D58" s="193"/>
      <c r="E58" s="193"/>
      <c r="F58" s="193"/>
      <c r="G58" s="193"/>
      <c r="H58" s="193"/>
      <c r="I58" s="193"/>
      <c r="J58" s="193"/>
      <c r="K58" s="193"/>
      <c r="L58" s="317"/>
      <c r="M58" s="317"/>
    </row>
    <row r="59" spans="2:23" ht="16.5" outlineLevel="1" thickBot="1" x14ac:dyDescent="0.4">
      <c r="B59" s="343"/>
      <c r="C59" s="342" t="s">
        <v>1048</v>
      </c>
      <c r="D59" s="342" t="s">
        <v>919</v>
      </c>
      <c r="E59" s="342" t="s">
        <v>694</v>
      </c>
      <c r="F59" s="342"/>
      <c r="G59" s="193"/>
      <c r="H59" s="193"/>
      <c r="I59" s="193"/>
      <c r="J59" s="193"/>
      <c r="K59" s="193"/>
      <c r="L59" s="317"/>
      <c r="M59" s="317"/>
    </row>
    <row r="60" spans="2:23" ht="16.5" outlineLevel="1" thickBot="1" x14ac:dyDescent="0.4">
      <c r="B60" s="106" t="s">
        <v>1047</v>
      </c>
      <c r="C60" s="106">
        <v>55</v>
      </c>
      <c r="D60" s="328">
        <f t="shared" ref="D60:D67" si="5">C60/295</f>
        <v>0.1864406779661017</v>
      </c>
      <c r="E60" s="327">
        <f t="shared" ref="E60:E67" si="6">C60/$C$68</f>
        <v>0.53398058252427183</v>
      </c>
      <c r="F60" s="321"/>
      <c r="G60" s="193"/>
      <c r="H60" s="193"/>
      <c r="I60" s="193"/>
      <c r="J60" s="193"/>
      <c r="K60" s="193"/>
      <c r="L60" s="317"/>
      <c r="M60" s="317"/>
    </row>
    <row r="61" spans="2:23" ht="16.5" outlineLevel="1" thickBot="1" x14ac:dyDescent="0.4">
      <c r="B61" s="106" t="s">
        <v>496</v>
      </c>
      <c r="C61" s="106">
        <v>7</v>
      </c>
      <c r="D61" s="328">
        <f t="shared" si="5"/>
        <v>2.3728813559322035E-2</v>
      </c>
      <c r="E61" s="327">
        <f t="shared" si="6"/>
        <v>6.7961165048543687E-2</v>
      </c>
      <c r="F61" s="321"/>
      <c r="G61" s="193"/>
      <c r="H61" s="193"/>
      <c r="I61" s="193"/>
      <c r="J61" s="193"/>
      <c r="K61" s="193"/>
      <c r="L61" s="317"/>
      <c r="M61" s="317"/>
    </row>
    <row r="62" spans="2:23" ht="16.5" outlineLevel="1" thickBot="1" x14ac:dyDescent="0.4">
      <c r="B62" s="106" t="s">
        <v>1046</v>
      </c>
      <c r="C62" s="106">
        <v>6</v>
      </c>
      <c r="D62" s="328">
        <f t="shared" si="5"/>
        <v>2.0338983050847456E-2</v>
      </c>
      <c r="E62" s="327">
        <f t="shared" si="6"/>
        <v>5.8252427184466021E-2</v>
      </c>
      <c r="F62" s="321"/>
      <c r="G62" s="193"/>
      <c r="H62" s="193"/>
      <c r="I62" s="193"/>
      <c r="J62" s="193"/>
      <c r="K62" s="193"/>
      <c r="L62" s="317"/>
      <c r="M62" s="317"/>
    </row>
    <row r="63" spans="2:23" ht="16.5" outlineLevel="1" thickBot="1" x14ac:dyDescent="0.4">
      <c r="B63" s="106" t="s">
        <v>1045</v>
      </c>
      <c r="C63" s="106">
        <v>5</v>
      </c>
      <c r="D63" s="328">
        <f t="shared" si="5"/>
        <v>1.6949152542372881E-2</v>
      </c>
      <c r="E63" s="327">
        <f t="shared" si="6"/>
        <v>4.8543689320388349E-2</v>
      </c>
      <c r="F63" s="321"/>
      <c r="G63" s="193"/>
      <c r="H63" s="193"/>
      <c r="I63" s="193"/>
      <c r="J63" s="193"/>
      <c r="K63" s="193"/>
      <c r="L63" s="317"/>
      <c r="M63" s="317"/>
    </row>
    <row r="64" spans="2:23" ht="16.5" outlineLevel="1" thickBot="1" x14ac:dyDescent="0.4">
      <c r="B64" s="106" t="s">
        <v>1044</v>
      </c>
      <c r="C64" s="106">
        <v>4</v>
      </c>
      <c r="D64" s="328">
        <f t="shared" si="5"/>
        <v>1.3559322033898305E-2</v>
      </c>
      <c r="E64" s="327">
        <f t="shared" si="6"/>
        <v>3.8834951456310676E-2</v>
      </c>
      <c r="F64" s="321"/>
      <c r="G64" s="193"/>
      <c r="H64" s="193"/>
      <c r="I64" s="193"/>
      <c r="J64" s="193"/>
      <c r="K64" s="193"/>
      <c r="L64" s="317"/>
      <c r="M64" s="317"/>
    </row>
    <row r="65" spans="1:23" outlineLevel="1" x14ac:dyDescent="0.35">
      <c r="B65" s="341" t="s">
        <v>1043</v>
      </c>
      <c r="C65" s="341">
        <v>4</v>
      </c>
      <c r="D65" s="340">
        <f t="shared" si="5"/>
        <v>1.3559322033898305E-2</v>
      </c>
      <c r="E65" s="339">
        <f t="shared" si="6"/>
        <v>3.8834951456310676E-2</v>
      </c>
      <c r="F65" s="321"/>
      <c r="G65" s="193"/>
      <c r="H65" s="193"/>
      <c r="I65" s="193"/>
      <c r="J65" s="193"/>
      <c r="K65" s="193"/>
      <c r="L65" s="317"/>
      <c r="M65" s="317"/>
    </row>
    <row r="66" spans="1:23" outlineLevel="1" x14ac:dyDescent="0.35">
      <c r="B66" s="338" t="s">
        <v>1042</v>
      </c>
      <c r="C66" s="338">
        <v>4</v>
      </c>
      <c r="D66" s="337">
        <f t="shared" si="5"/>
        <v>1.3559322033898305E-2</v>
      </c>
      <c r="E66" s="336">
        <f t="shared" si="6"/>
        <v>3.8834951456310676E-2</v>
      </c>
      <c r="F66" s="321"/>
      <c r="G66" s="193"/>
      <c r="H66" s="193"/>
      <c r="I66" s="193"/>
      <c r="J66" s="193"/>
      <c r="K66" s="193"/>
      <c r="L66" s="317"/>
      <c r="M66" s="317"/>
    </row>
    <row r="67" spans="1:23" ht="16.5" outlineLevel="1" thickBot="1" x14ac:dyDescent="0.4">
      <c r="B67" s="335" t="s">
        <v>1041</v>
      </c>
      <c r="C67" s="335">
        <v>18</v>
      </c>
      <c r="D67" s="334">
        <f t="shared" si="5"/>
        <v>6.1016949152542375E-2</v>
      </c>
      <c r="E67" s="333">
        <f t="shared" si="6"/>
        <v>0.17475728155339806</v>
      </c>
      <c r="F67" s="321"/>
      <c r="G67" s="193"/>
      <c r="H67" s="193"/>
      <c r="I67" s="193"/>
      <c r="J67" s="193"/>
      <c r="K67" s="193"/>
      <c r="L67" s="317"/>
      <c r="M67" s="317"/>
    </row>
    <row r="68" spans="1:23" ht="16.5" outlineLevel="1" thickBot="1" x14ac:dyDescent="0.4">
      <c r="B68" s="332" t="s">
        <v>1040</v>
      </c>
      <c r="C68" s="332">
        <f>SUM(C60:C67)</f>
        <v>103</v>
      </c>
      <c r="D68" s="331">
        <f>SUM(D60:D67)</f>
        <v>0.3491525423728814</v>
      </c>
      <c r="E68" s="330">
        <f>SUM(E60:E67)</f>
        <v>0.99999999999999989</v>
      </c>
      <c r="F68" s="329"/>
      <c r="G68" s="193"/>
      <c r="H68" s="193"/>
      <c r="I68" s="193"/>
      <c r="J68" s="193"/>
      <c r="K68" s="193"/>
      <c r="L68" s="317"/>
      <c r="M68" s="317"/>
    </row>
    <row r="69" spans="1:23" ht="16.5" outlineLevel="1" thickBot="1" x14ac:dyDescent="0.4">
      <c r="B69" s="106" t="s">
        <v>1039</v>
      </c>
      <c r="C69" s="106">
        <v>45</v>
      </c>
      <c r="D69" s="328">
        <f>C69/295</f>
        <v>0.15254237288135594</v>
      </c>
      <c r="E69" s="327"/>
      <c r="F69" s="321"/>
      <c r="K69" s="317"/>
      <c r="L69" s="317"/>
      <c r="M69" s="317"/>
    </row>
    <row r="70" spans="1:23" ht="16.5" outlineLevel="1" thickBot="1" x14ac:dyDescent="0.4">
      <c r="B70" s="106" t="s">
        <v>540</v>
      </c>
      <c r="C70" s="106">
        <v>18</v>
      </c>
      <c r="D70" s="328">
        <f>C70/295</f>
        <v>6.1016949152542375E-2</v>
      </c>
      <c r="E70" s="327"/>
      <c r="F70" s="321"/>
      <c r="G70" s="317"/>
      <c r="H70" s="317"/>
      <c r="I70" s="317"/>
      <c r="J70" s="317"/>
      <c r="K70" s="317"/>
      <c r="L70" s="317"/>
      <c r="M70" s="317"/>
      <c r="O70" s="193"/>
      <c r="P70" s="293"/>
      <c r="Q70" s="293"/>
      <c r="R70" s="293"/>
    </row>
    <row r="71" spans="1:23" ht="16.5" outlineLevel="1" thickBot="1" x14ac:dyDescent="0.4">
      <c r="B71" s="106" t="s">
        <v>1038</v>
      </c>
      <c r="C71" s="106">
        <v>5</v>
      </c>
      <c r="D71" s="328">
        <f>C71/295</f>
        <v>1.6949152542372881E-2</v>
      </c>
      <c r="E71" s="327"/>
      <c r="F71" s="321"/>
      <c r="G71" s="317"/>
      <c r="H71" s="317"/>
      <c r="I71" s="317"/>
      <c r="J71" s="317"/>
      <c r="K71" s="317"/>
      <c r="L71" s="317"/>
      <c r="M71" s="317"/>
      <c r="O71" s="193"/>
      <c r="P71" s="293"/>
      <c r="Q71" s="293"/>
      <c r="R71" s="293"/>
    </row>
    <row r="72" spans="1:23" ht="16.5" outlineLevel="1" thickBot="1" x14ac:dyDescent="0.4">
      <c r="B72" s="106" t="s">
        <v>1037</v>
      </c>
      <c r="C72" s="106">
        <v>4</v>
      </c>
      <c r="D72" s="328">
        <f>C72/295</f>
        <v>1.3559322033898305E-2</v>
      </c>
      <c r="E72" s="327"/>
      <c r="F72" s="321"/>
      <c r="G72" s="317"/>
      <c r="H72" s="317"/>
      <c r="I72" s="317"/>
      <c r="J72" s="317"/>
      <c r="K72" s="317"/>
      <c r="L72" s="317"/>
      <c r="M72" s="317"/>
      <c r="O72" s="193"/>
      <c r="P72" s="293"/>
      <c r="Q72" s="293"/>
      <c r="R72" s="293"/>
    </row>
    <row r="73" spans="1:23" ht="16.5" outlineLevel="1" thickBot="1" x14ac:dyDescent="0.4">
      <c r="B73" s="106" t="s">
        <v>550</v>
      </c>
      <c r="C73" s="106">
        <v>21</v>
      </c>
      <c r="D73" s="328">
        <f>C73/295</f>
        <v>7.1186440677966104E-2</v>
      </c>
      <c r="E73" s="327"/>
      <c r="F73" s="321"/>
      <c r="G73" s="317"/>
      <c r="H73" s="317"/>
      <c r="I73" s="317"/>
      <c r="J73" s="317"/>
      <c r="K73" s="317"/>
      <c r="L73" s="317"/>
      <c r="M73" s="317"/>
      <c r="O73" s="193"/>
      <c r="P73" s="293"/>
      <c r="Q73" s="293"/>
      <c r="R73" s="293"/>
    </row>
    <row r="74" spans="1:23" ht="16.5" outlineLevel="1" thickBot="1" x14ac:dyDescent="0.4">
      <c r="B74" s="326" t="s">
        <v>1036</v>
      </c>
      <c r="C74" s="326">
        <f>SUM(C68:C73)</f>
        <v>196</v>
      </c>
      <c r="D74" s="325">
        <f>SUM(D68:D73)</f>
        <v>0.66440677966101702</v>
      </c>
      <c r="E74" s="324"/>
      <c r="F74" s="323"/>
      <c r="G74" s="317"/>
      <c r="H74" s="317"/>
      <c r="I74" s="317"/>
      <c r="J74" s="317"/>
      <c r="K74" s="317"/>
      <c r="L74" s="317"/>
      <c r="M74" s="317"/>
      <c r="O74" s="193"/>
      <c r="P74" s="293"/>
      <c r="Q74" s="293"/>
      <c r="R74" s="293"/>
    </row>
    <row r="75" spans="1:23" outlineLevel="1" x14ac:dyDescent="0.35">
      <c r="B75" s="193"/>
      <c r="C75" s="193"/>
      <c r="D75" s="322"/>
      <c r="E75" s="321"/>
      <c r="F75" s="321"/>
      <c r="G75" s="317"/>
      <c r="H75" s="317"/>
      <c r="I75" s="317"/>
      <c r="J75" s="317"/>
      <c r="K75" s="317"/>
      <c r="L75" s="317"/>
      <c r="M75" s="317"/>
      <c r="O75" s="193"/>
      <c r="P75" s="293"/>
      <c r="Q75" s="293"/>
      <c r="R75" s="293"/>
    </row>
    <row r="76" spans="1:23" s="91" customFormat="1" x14ac:dyDescent="0.35">
      <c r="B76" s="320"/>
      <c r="C76" s="319"/>
      <c r="D76" s="318"/>
      <c r="E76" s="317"/>
      <c r="F76" s="317"/>
      <c r="G76" s="317"/>
      <c r="H76" s="317"/>
      <c r="I76" s="317"/>
      <c r="J76" s="317"/>
      <c r="K76" s="317"/>
      <c r="L76" s="317"/>
      <c r="M76" s="317"/>
      <c r="O76" s="193"/>
      <c r="P76" s="293"/>
      <c r="Q76" s="293"/>
      <c r="R76" s="293"/>
      <c r="T76" s="77"/>
      <c r="U76" s="77"/>
      <c r="V76" s="77"/>
      <c r="W76" s="77"/>
    </row>
    <row r="77" spans="1:23" s="190" customFormat="1" x14ac:dyDescent="0.35">
      <c r="A77" s="191" t="s">
        <v>1035</v>
      </c>
    </row>
    <row r="79" spans="1:23" s="167" customFormat="1" x14ac:dyDescent="0.35">
      <c r="B79" s="167" t="s">
        <v>733</v>
      </c>
      <c r="C79" s="168" t="s">
        <v>1034</v>
      </c>
      <c r="D79" s="169" t="s">
        <v>732</v>
      </c>
      <c r="E79" s="170" t="s">
        <v>964</v>
      </c>
      <c r="F79" s="169"/>
      <c r="G79" s="169"/>
      <c r="H79" s="169" t="s">
        <v>1023</v>
      </c>
      <c r="I79" s="169"/>
      <c r="J79" s="169"/>
      <c r="K79" s="169"/>
      <c r="L79" s="169"/>
      <c r="N79" s="169" t="s">
        <v>731</v>
      </c>
      <c r="O79" s="168"/>
    </row>
    <row r="80" spans="1:23" ht="16.5" thickBot="1" x14ac:dyDescent="0.4"/>
    <row r="81" spans="2:34" s="166" customFormat="1" ht="48" outlineLevel="1" thickBot="1" x14ac:dyDescent="0.25">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82" t="s">
        <v>963</v>
      </c>
      <c r="W81" s="484"/>
      <c r="X81" s="482" t="s">
        <v>963</v>
      </c>
      <c r="Y81" s="484"/>
      <c r="Z81" s="482" t="s">
        <v>963</v>
      </c>
      <c r="AA81" s="484"/>
      <c r="AB81" s="482" t="s">
        <v>1033</v>
      </c>
      <c r="AC81" s="484"/>
      <c r="AE81" s="490" t="s">
        <v>962</v>
      </c>
      <c r="AF81" s="491"/>
      <c r="AG81" s="491"/>
      <c r="AH81" s="492"/>
    </row>
    <row r="82" spans="2:34" ht="27" outlineLevel="1" thickBot="1" x14ac:dyDescent="0.4">
      <c r="B82" s="106" t="str">
        <f>O44</f>
        <v>Silicon</v>
      </c>
      <c r="C82" s="105">
        <f>Q44</f>
        <v>0.22499999999999998</v>
      </c>
      <c r="D82" s="99">
        <f>C82*$D91</f>
        <v>3.2624999999999994E-2</v>
      </c>
      <c r="E82" s="101" t="s">
        <v>612</v>
      </c>
      <c r="F82" s="101" t="s">
        <v>613</v>
      </c>
      <c r="G82" s="102"/>
      <c r="H82" s="101"/>
      <c r="I82" s="145" t="str">
        <f>IF(D82=0,"",IF(E82="N","",VLOOKUP(H82,'[16]From SAM'!$B$2:$C$52,2,)))</f>
        <v/>
      </c>
      <c r="J82" s="101"/>
      <c r="K82" s="99" t="str">
        <f>IF(J82="E",$E$33,IF(J82="C",$E$28,""))</f>
        <v/>
      </c>
      <c r="L82" s="100">
        <f t="shared" ref="L82:L90" si="7">IF(M82="","",M82/D82-1)</f>
        <v>0.1166666666666667</v>
      </c>
      <c r="M82" s="99">
        <f>D82*(1+$C$23)</f>
        <v>3.6431249999999991E-2</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x14ac:dyDescent="0.4">
      <c r="B83" s="106" t="str">
        <f>O45</f>
        <v>Wafer processing</v>
      </c>
      <c r="C83" s="105">
        <f>Q45</f>
        <v>0.36874999999999997</v>
      </c>
      <c r="D83" s="99">
        <f>C83*$D91</f>
        <v>5.3468749999999989E-2</v>
      </c>
      <c r="E83" s="101" t="s">
        <v>613</v>
      </c>
      <c r="F83" s="101" t="s">
        <v>612</v>
      </c>
      <c r="G83" s="102">
        <v>1</v>
      </c>
      <c r="H83" s="101" t="str">
        <f>'[16]From SAM'!B26</f>
        <v>Recycling and NEC</v>
      </c>
      <c r="I83" s="145">
        <f>IF(D83=0,"",IF(E83="N","",VLOOKUP(H83,'[16]From SAM'!$B$2:$C$52,2,)))</f>
        <v>9.7535709521338151E-2</v>
      </c>
      <c r="J83" s="101"/>
      <c r="K83" s="99" t="str">
        <f>IF(J83="E",$E$33,IF(J83="C",$E$28,""))</f>
        <v/>
      </c>
      <c r="L83" s="100">
        <f t="shared" si="7"/>
        <v>0</v>
      </c>
      <c r="M83" s="99">
        <f>IF(D83=0,"",IF(E83="N",D83,IF(F83="N",D83,(I83*D83*K83*G83)+(D83-D83*I83*G83))))</f>
        <v>5.3468749999999989E-2</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x14ac:dyDescent="0.4">
      <c r="B84" s="106" t="str">
        <f>O46</f>
        <v>Metalzation</v>
      </c>
      <c r="C84" s="105">
        <f>Q46</f>
        <v>0.10625000000000001</v>
      </c>
      <c r="D84" s="99">
        <f>C84*$D91</f>
        <v>1.540625E-2</v>
      </c>
      <c r="E84" s="101" t="s">
        <v>613</v>
      </c>
      <c r="F84" s="101" t="s">
        <v>612</v>
      </c>
      <c r="G84" s="102">
        <v>1</v>
      </c>
      <c r="H84" s="101" t="str">
        <f>H83</f>
        <v>Recycling and NEC</v>
      </c>
      <c r="I84" s="145">
        <f>IF(D84=0,"",IF(E84="N","",VLOOKUP(H84,'[16]From SAM'!$B$2:$C$52,2,)))</f>
        <v>9.7535709521338151E-2</v>
      </c>
      <c r="J84" s="101"/>
      <c r="K84" s="99" t="str">
        <f>IF(J84="E",$E$33,IF(J84="C",$E$28,""))</f>
        <v/>
      </c>
      <c r="L84" s="100">
        <f t="shared" si="7"/>
        <v>0</v>
      </c>
      <c r="M84" s="99">
        <f>IF(D84=0,"",IF(E84="N",D84,IF(F84="N",D84,(I84*D84*K84*G84)+(D84-D84*I84*G84))))</f>
        <v>1.540625E-2</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x14ac:dyDescent="0.4">
      <c r="B85" s="106" t="str">
        <f>O47</f>
        <v xml:space="preserve">remaining cost </v>
      </c>
      <c r="C85" s="105">
        <f>Q47</f>
        <v>0.3</v>
      </c>
      <c r="D85" s="99">
        <f>C85*$D91</f>
        <v>4.3499999999999997E-2</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x14ac:dyDescent="0.4">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x14ac:dyDescent="0.4">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x14ac:dyDescent="0.4">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0.89423328598982488</v>
      </c>
      <c r="AG88" s="287" t="s">
        <v>940</v>
      </c>
      <c r="AH88" s="287"/>
    </row>
    <row r="89" spans="2:34" ht="17.25" outlineLevel="1" thickBot="1" x14ac:dyDescent="0.4">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4" ht="16.5" outlineLevel="1" thickBot="1" x14ac:dyDescent="0.4">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0.18</v>
      </c>
      <c r="AE90" s="77" t="s">
        <v>938</v>
      </c>
      <c r="AF90" s="77">
        <f>'[16]From SAM'!D24</f>
        <v>0.27312447381898247</v>
      </c>
    </row>
    <row r="91" spans="2:34" s="91" customFormat="1" ht="17.25" outlineLevel="1" thickBot="1" x14ac:dyDescent="0.4">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2.7202118318734247</v>
      </c>
    </row>
    <row r="92" spans="2:34" ht="16.5" outlineLevel="1" thickBot="1" x14ac:dyDescent="0.4">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1.0671005187689184</v>
      </c>
    </row>
    <row r="93" spans="2:34" outlineLevel="1" x14ac:dyDescent="0.35"/>
    <row r="94" spans="2:34" s="167" customFormat="1" x14ac:dyDescent="0.35">
      <c r="B94" s="167" t="s">
        <v>733</v>
      </c>
      <c r="C94" s="168" t="s">
        <v>1026</v>
      </c>
      <c r="D94" s="169" t="s">
        <v>732</v>
      </c>
      <c r="E94" s="170" t="s">
        <v>964</v>
      </c>
      <c r="F94" s="169"/>
      <c r="G94" s="169"/>
      <c r="H94" s="169" t="s">
        <v>1023</v>
      </c>
      <c r="I94" s="169"/>
      <c r="J94" s="169"/>
      <c r="K94" s="169"/>
      <c r="L94" s="169"/>
      <c r="N94" s="169" t="s">
        <v>731</v>
      </c>
      <c r="O94" s="168" t="s">
        <v>1022</v>
      </c>
    </row>
    <row r="95" spans="2:34" ht="16.5" thickBot="1" x14ac:dyDescent="0.4"/>
    <row r="96" spans="2:34" s="166" customFormat="1" ht="48" outlineLevel="1" thickBot="1" x14ac:dyDescent="0.25">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82" t="s">
        <v>963</v>
      </c>
      <c r="W96" s="484"/>
      <c r="X96" s="482" t="s">
        <v>963</v>
      </c>
      <c r="Y96" s="484"/>
      <c r="Z96" s="482" t="s">
        <v>963</v>
      </c>
      <c r="AA96" s="484"/>
      <c r="AB96" s="482" t="s">
        <v>963</v>
      </c>
      <c r="AC96" s="484"/>
    </row>
    <row r="97" spans="2:29" ht="63.75" outlineLevel="1" thickBot="1" x14ac:dyDescent="0.4">
      <c r="B97" s="106" t="str">
        <f t="shared" ref="B97:B104" si="8">B60</f>
        <v>Silicon cell</v>
      </c>
      <c r="C97" s="105">
        <f t="shared" ref="C97:C104" si="9">E60</f>
        <v>0.53398058252427183</v>
      </c>
      <c r="D97" s="99">
        <f>C97*$D106</f>
        <v>0.12281553398058252</v>
      </c>
      <c r="E97" s="101" t="s">
        <v>612</v>
      </c>
      <c r="F97" s="101" t="s">
        <v>613</v>
      </c>
      <c r="G97" s="102"/>
      <c r="H97" s="101"/>
      <c r="I97" s="145"/>
      <c r="J97" s="101"/>
      <c r="K97" s="99"/>
      <c r="L97" s="100">
        <f t="shared" ref="L97:L105" si="10">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x14ac:dyDescent="0.4">
      <c r="B98" s="106" t="str">
        <f t="shared" si="8"/>
        <v>Glass</v>
      </c>
      <c r="C98" s="105">
        <f t="shared" si="9"/>
        <v>6.7961165048543687E-2</v>
      </c>
      <c r="D98" s="99">
        <f>C98*$D106</f>
        <v>1.5631067961165049E-2</v>
      </c>
      <c r="E98" s="101" t="s">
        <v>613</v>
      </c>
      <c r="F98" s="101" t="s">
        <v>613</v>
      </c>
      <c r="G98" s="102">
        <v>1</v>
      </c>
      <c r="H98" s="101" t="s">
        <v>602</v>
      </c>
      <c r="I98" s="145">
        <f>IF(D98=0,"",VLOOKUP(H98,'[16]From SAM'!$B$2:$C$52,2,))</f>
        <v>0.13001734713264965</v>
      </c>
      <c r="J98" s="101" t="s">
        <v>712</v>
      </c>
      <c r="K98" s="99">
        <f>IF(J98="E",$E$33,IF(J98="C",$E$28,""))</f>
        <v>2.4354066985645932</v>
      </c>
      <c r="L98" s="100">
        <f t="shared" si="10"/>
        <v>0.18662777100380334</v>
      </c>
      <c r="M98" s="99">
        <f>IF(D98=0,"",(I98*D98*K98*G98)+(D98-D98*I98*G98))</f>
        <v>1.8548259333166246E-2</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x14ac:dyDescent="0.4">
      <c r="B99" s="106" t="str">
        <f t="shared" si="8"/>
        <v>Al frame</v>
      </c>
      <c r="C99" s="105">
        <f t="shared" si="9"/>
        <v>5.8252427184466021E-2</v>
      </c>
      <c r="D99" s="99">
        <f>C99*$D106</f>
        <v>1.3398058252427186E-2</v>
      </c>
      <c r="E99" s="101" t="s">
        <v>613</v>
      </c>
      <c r="F99" s="101" t="s">
        <v>613</v>
      </c>
      <c r="G99" s="102">
        <v>0.65</v>
      </c>
      <c r="H99" s="101" t="s">
        <v>879</v>
      </c>
      <c r="I99" s="145">
        <f>IF(D99=0,"",VLOOKUP(H99,'[16]From SAM'!$B$2:$C$52,2,))</f>
        <v>0.23534870376544167</v>
      </c>
      <c r="J99" s="101" t="s">
        <v>712</v>
      </c>
      <c r="K99" s="99">
        <f>IF(J99="E",$E$33,IF(J99="C",$E$28,""))</f>
        <v>2.4354066985645932</v>
      </c>
      <c r="L99" s="100">
        <f t="shared" si="10"/>
        <v>0.21958371882421579</v>
      </c>
      <c r="M99" s="99">
        <f>IF(D99=0,"",(I99*D99*K99*G99)+(D99-D99*I99*G99))</f>
        <v>1.6340053708518622E-2</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x14ac:dyDescent="0.4">
      <c r="B100" s="106" t="str">
        <f t="shared" si="8"/>
        <v>EVA</v>
      </c>
      <c r="C100" s="105">
        <f t="shared" si="9"/>
        <v>4.8543689320388349E-2</v>
      </c>
      <c r="D100" s="99">
        <f>C100*$D106</f>
        <v>1.1165048543689321E-2</v>
      </c>
      <c r="E100" s="101" t="s">
        <v>612</v>
      </c>
      <c r="F100" s="101"/>
      <c r="G100" s="102"/>
      <c r="H100" s="101"/>
      <c r="I100" s="145"/>
      <c r="J100" s="101"/>
      <c r="K100" s="99"/>
      <c r="L100" s="100">
        <f t="shared" si="10"/>
        <v>0.1166666666666667</v>
      </c>
      <c r="M100" s="99">
        <f>D100*(1+$C$23)</f>
        <v>1.2467637540453077E-2</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x14ac:dyDescent="0.4">
      <c r="B101" s="106" t="str">
        <f t="shared" si="8"/>
        <v>Backsheets</v>
      </c>
      <c r="C101" s="105">
        <f t="shared" si="9"/>
        <v>3.8834951456310676E-2</v>
      </c>
      <c r="D101" s="99">
        <f>C101*$D106</f>
        <v>8.9320388349514567E-3</v>
      </c>
      <c r="E101" s="101" t="s">
        <v>612</v>
      </c>
      <c r="F101" s="101"/>
      <c r="G101" s="102"/>
      <c r="H101" s="101"/>
      <c r="I101" s="145"/>
      <c r="J101" s="101"/>
      <c r="K101" s="99"/>
      <c r="L101" s="100">
        <f t="shared" si="10"/>
        <v>0.1166666666666667</v>
      </c>
      <c r="M101" s="99">
        <f>D101*(1+$C$23)</f>
        <v>9.9741100323624595E-3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x14ac:dyDescent="0.4">
      <c r="B102" s="106" t="str">
        <f t="shared" si="8"/>
        <v>Tabbing</v>
      </c>
      <c r="C102" s="105">
        <f t="shared" si="9"/>
        <v>3.8834951456310676E-2</v>
      </c>
      <c r="D102" s="99">
        <f>C102*$D106</f>
        <v>8.9320388349514567E-3</v>
      </c>
      <c r="E102" s="101" t="s">
        <v>612</v>
      </c>
      <c r="F102" s="101"/>
      <c r="G102" s="102"/>
      <c r="H102" s="101"/>
      <c r="I102" s="145"/>
      <c r="J102" s="101"/>
      <c r="K102" s="99"/>
      <c r="L102" s="100">
        <f t="shared" si="10"/>
        <v>0.1166666666666667</v>
      </c>
      <c r="M102" s="99">
        <f>D102*(1+$C$23)</f>
        <v>9.9741100323624595E-3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x14ac:dyDescent="0.4">
      <c r="B103" s="106" t="str">
        <f t="shared" si="8"/>
        <v>Junction box</v>
      </c>
      <c r="C103" s="105">
        <f t="shared" si="9"/>
        <v>3.8834951456310676E-2</v>
      </c>
      <c r="D103" s="99">
        <f>C103*$D106</f>
        <v>8.9320388349514567E-3</v>
      </c>
      <c r="E103" s="101" t="s">
        <v>613</v>
      </c>
      <c r="F103" s="101" t="s">
        <v>613</v>
      </c>
      <c r="G103" s="102">
        <v>1</v>
      </c>
      <c r="H103" s="101" t="str">
        <f>'[16]From SAM'!B31</f>
        <v>Electrical machinery</v>
      </c>
      <c r="I103" s="145">
        <f>IF(D103=0,"",VLOOKUP(H103,'[16]From SAM'!$B$2:$C$52,2,))</f>
        <v>0.13001734713264965</v>
      </c>
      <c r="J103" s="101" t="s">
        <v>712</v>
      </c>
      <c r="K103" s="99">
        <f>IF(J103="E",$E$33,IF(J103="C",$E$28,""))</f>
        <v>2.4354066985645932</v>
      </c>
      <c r="L103" s="100">
        <f t="shared" si="10"/>
        <v>0.18662777100380334</v>
      </c>
      <c r="M103" s="99">
        <f>IF(D103=0,"",(I103*D103*K103*G103)+(D103-D103*I103*G103))</f>
        <v>1.0599005333237856E-2</v>
      </c>
      <c r="O103" s="146" t="s">
        <v>695</v>
      </c>
      <c r="P103" s="145" t="s">
        <v>694</v>
      </c>
      <c r="Q103" s="145"/>
      <c r="R103" s="101">
        <v>17</v>
      </c>
      <c r="T103" s="146" t="s">
        <v>695</v>
      </c>
      <c r="U103" s="145" t="s">
        <v>694</v>
      </c>
      <c r="V103" s="101"/>
      <c r="W103" s="101"/>
      <c r="X103" s="101"/>
      <c r="Y103" s="288"/>
      <c r="Z103" s="101"/>
      <c r="AA103" s="288"/>
      <c r="AB103" s="101"/>
      <c r="AC103" s="288"/>
    </row>
    <row r="104" spans="2:29" ht="16.5" outlineLevel="1" thickBot="1" x14ac:dyDescent="0.4">
      <c r="B104" s="106" t="str">
        <f t="shared" si="8"/>
        <v xml:space="preserve">Non material costs </v>
      </c>
      <c r="C104" s="105">
        <f t="shared" si="9"/>
        <v>0.17475728155339806</v>
      </c>
      <c r="D104" s="99">
        <f>C104*$D106</f>
        <v>4.0194174757281556E-2</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9.7889162447159381E-2</v>
      </c>
    </row>
    <row r="105" spans="2:29" ht="16.5" outlineLevel="1" thickBot="1" x14ac:dyDescent="0.4">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v>
      </c>
    </row>
    <row r="106" spans="2:29" s="91" customFormat="1" ht="16.5" outlineLevel="1" thickBot="1" x14ac:dyDescent="0.4">
      <c r="B106" s="157" t="s">
        <v>690</v>
      </c>
      <c r="C106" s="156">
        <f>SUM(C97:C105)</f>
        <v>0.99999999999999989</v>
      </c>
      <c r="D106" s="151">
        <f>R107</f>
        <v>0.23</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v>
      </c>
      <c r="T106" s="77"/>
      <c r="U106" s="77"/>
      <c r="V106" s="77"/>
      <c r="W106" s="77"/>
    </row>
    <row r="107" spans="2:29" ht="16.5" outlineLevel="1" thickBot="1" x14ac:dyDescent="0.4">
      <c r="B107" s="146"/>
      <c r="C107" s="148"/>
      <c r="D107" s="147"/>
      <c r="E107" s="147"/>
      <c r="F107" s="147"/>
      <c r="G107" s="147"/>
      <c r="H107" s="147"/>
      <c r="I107" s="147"/>
      <c r="J107" s="147"/>
      <c r="K107" s="147"/>
      <c r="L107" s="145"/>
      <c r="M107" s="145"/>
      <c r="O107" s="146" t="s">
        <v>995</v>
      </c>
      <c r="P107" s="145" t="str">
        <f>P106</f>
        <v>US$</v>
      </c>
      <c r="Q107" s="145"/>
      <c r="R107" s="279">
        <f>R106</f>
        <v>0.23</v>
      </c>
      <c r="S107" s="143"/>
    </row>
    <row r="108" spans="2:29" outlineLevel="1" x14ac:dyDescent="0.35"/>
    <row r="110" spans="2:29" s="167" customFormat="1" x14ac:dyDescent="0.35">
      <c r="B110" s="167" t="s">
        <v>733</v>
      </c>
      <c r="C110" s="168" t="s">
        <v>1024</v>
      </c>
      <c r="D110" s="169" t="s">
        <v>732</v>
      </c>
      <c r="E110" s="170" t="s">
        <v>964</v>
      </c>
      <c r="F110" s="169"/>
      <c r="G110" s="169"/>
      <c r="H110" s="169" t="s">
        <v>1023</v>
      </c>
      <c r="I110" s="169"/>
      <c r="J110" s="169"/>
      <c r="K110" s="169"/>
      <c r="L110" s="169"/>
      <c r="N110" s="169" t="s">
        <v>731</v>
      </c>
      <c r="O110" s="168" t="s">
        <v>1022</v>
      </c>
    </row>
    <row r="111" spans="2:29" ht="16.5" thickBot="1" x14ac:dyDescent="0.4"/>
    <row r="112" spans="2:29" s="166" customFormat="1" ht="48" outlineLevel="1" thickBot="1" x14ac:dyDescent="0.25">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82" t="s">
        <v>963</v>
      </c>
      <c r="W112" s="484"/>
      <c r="X112" s="482" t="s">
        <v>963</v>
      </c>
      <c r="Y112" s="484"/>
      <c r="Z112" s="482" t="s">
        <v>963</v>
      </c>
      <c r="AA112" s="484"/>
      <c r="AB112" s="482" t="s">
        <v>963</v>
      </c>
      <c r="AC112" s="484"/>
    </row>
    <row r="113" spans="2:29" ht="63.75" outlineLevel="1" thickBot="1" x14ac:dyDescent="0.4">
      <c r="B113" s="106" t="str">
        <f t="shared" ref="B113:C120" si="11">B97</f>
        <v>Silicon cell</v>
      </c>
      <c r="C113" s="106">
        <f t="shared" si="11"/>
        <v>0.53398058252427183</v>
      </c>
      <c r="D113" s="99">
        <f>C113*$D122</f>
        <v>0.12281553398058252</v>
      </c>
      <c r="E113" s="101" t="s">
        <v>612</v>
      </c>
      <c r="F113" s="101" t="s">
        <v>613</v>
      </c>
      <c r="G113" s="102"/>
      <c r="H113" s="101"/>
      <c r="I113" s="145"/>
      <c r="J113" s="101"/>
      <c r="K113" s="99"/>
      <c r="L113" s="100">
        <f t="shared" ref="L113:L121" si="12">IF(M113="","",M113/D113-1)</f>
        <v>0.31837285902503276</v>
      </c>
      <c r="M113" s="99">
        <f>D91*(1+C23)</f>
        <v>0.16191666666666665</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x14ac:dyDescent="0.4">
      <c r="B114" s="106" t="str">
        <f t="shared" si="11"/>
        <v>Glass</v>
      </c>
      <c r="C114" s="106">
        <f t="shared" si="11"/>
        <v>6.7961165048543687E-2</v>
      </c>
      <c r="D114" s="99">
        <f>C114*$D122</f>
        <v>1.5631067961165049E-2</v>
      </c>
      <c r="E114" s="101" t="s">
        <v>613</v>
      </c>
      <c r="F114" s="101" t="s">
        <v>613</v>
      </c>
      <c r="G114" s="102">
        <v>1</v>
      </c>
      <c r="H114" s="101" t="s">
        <v>602</v>
      </c>
      <c r="I114" s="145">
        <f>IF(D114=0,"",VLOOKUP(H114,'[16]From SAM'!$B$2:$C$52,2,))</f>
        <v>0.13001734713264965</v>
      </c>
      <c r="J114" s="101" t="s">
        <v>712</v>
      </c>
      <c r="K114" s="99">
        <f>IF(J114="E",$E$33,IF(J114="C",$E$28,""))</f>
        <v>2.4354066985645932</v>
      </c>
      <c r="L114" s="100">
        <f t="shared" si="12"/>
        <v>0.18662777100380334</v>
      </c>
      <c r="M114" s="99">
        <f>IF(D114=0,"",(I114*D114*K114*G114)+(D114-D114*I114*G114))</f>
        <v>1.8548259333166246E-2</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x14ac:dyDescent="0.4">
      <c r="B115" s="106" t="str">
        <f t="shared" si="11"/>
        <v>Al frame</v>
      </c>
      <c r="C115" s="106">
        <f t="shared" si="11"/>
        <v>5.8252427184466021E-2</v>
      </c>
      <c r="D115" s="99">
        <f>C115*$D122</f>
        <v>1.3398058252427186E-2</v>
      </c>
      <c r="E115" s="101" t="s">
        <v>613</v>
      </c>
      <c r="F115" s="101" t="s">
        <v>613</v>
      </c>
      <c r="G115" s="102">
        <v>0.65</v>
      </c>
      <c r="H115" s="101" t="s">
        <v>879</v>
      </c>
      <c r="I115" s="145">
        <f>IF(D115=0,"",VLOOKUP(H115,'[16]From SAM'!$B$2:$C$52,2,))</f>
        <v>0.23534870376544167</v>
      </c>
      <c r="J115" s="101" t="s">
        <v>712</v>
      </c>
      <c r="K115" s="99">
        <f>IF(J115="E",$E$33,IF(J115="C",$E$28,""))</f>
        <v>2.4354066985645932</v>
      </c>
      <c r="L115" s="100">
        <f t="shared" si="12"/>
        <v>0.21958371882421579</v>
      </c>
      <c r="M115" s="99">
        <f>IF(D115=0,"",(I115*D115*K115*G115)+(D115-D115*I115*G115))</f>
        <v>1.6340053708518622E-2</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x14ac:dyDescent="0.4">
      <c r="B116" s="106" t="str">
        <f t="shared" si="11"/>
        <v>EVA</v>
      </c>
      <c r="C116" s="106">
        <f t="shared" si="11"/>
        <v>4.8543689320388349E-2</v>
      </c>
      <c r="D116" s="99">
        <f>C116*$D122</f>
        <v>1.1165048543689321E-2</v>
      </c>
      <c r="E116" s="101" t="s">
        <v>612</v>
      </c>
      <c r="F116" s="101"/>
      <c r="G116" s="102"/>
      <c r="H116" s="101"/>
      <c r="I116" s="145"/>
      <c r="J116" s="101"/>
      <c r="K116" s="99"/>
      <c r="L116" s="100">
        <f t="shared" si="12"/>
        <v>0.1166666666666667</v>
      </c>
      <c r="M116" s="99">
        <f>D116*(1+$C$23)</f>
        <v>1.2467637540453077E-2</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x14ac:dyDescent="0.4">
      <c r="B117" s="106" t="str">
        <f t="shared" si="11"/>
        <v>Backsheets</v>
      </c>
      <c r="C117" s="106">
        <f t="shared" si="11"/>
        <v>3.8834951456310676E-2</v>
      </c>
      <c r="D117" s="99">
        <f>C117*$D122</f>
        <v>8.9320388349514567E-3</v>
      </c>
      <c r="E117" s="101" t="s">
        <v>612</v>
      </c>
      <c r="F117" s="101"/>
      <c r="G117" s="102"/>
      <c r="H117" s="101"/>
      <c r="I117" s="145"/>
      <c r="J117" s="101"/>
      <c r="K117" s="99"/>
      <c r="L117" s="100">
        <f t="shared" si="12"/>
        <v>0.1166666666666667</v>
      </c>
      <c r="M117" s="99">
        <f>D117*(1+$C$23)</f>
        <v>9.9741100323624595E-3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x14ac:dyDescent="0.4">
      <c r="B118" s="106" t="str">
        <f t="shared" si="11"/>
        <v>Tabbing</v>
      </c>
      <c r="C118" s="106">
        <f t="shared" si="11"/>
        <v>3.8834951456310676E-2</v>
      </c>
      <c r="D118" s="99">
        <f>C118*$D122</f>
        <v>8.9320388349514567E-3</v>
      </c>
      <c r="E118" s="101" t="s">
        <v>612</v>
      </c>
      <c r="F118" s="101"/>
      <c r="G118" s="102"/>
      <c r="H118" s="101"/>
      <c r="I118" s="145"/>
      <c r="J118" s="101"/>
      <c r="K118" s="99"/>
      <c r="L118" s="100">
        <f t="shared" si="12"/>
        <v>0.1166666666666667</v>
      </c>
      <c r="M118" s="99">
        <f>D118*(1+$C$23)</f>
        <v>9.9741100323624595E-3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x14ac:dyDescent="0.4">
      <c r="B119" s="106" t="str">
        <f t="shared" si="11"/>
        <v>Junction box</v>
      </c>
      <c r="C119" s="106">
        <f t="shared" si="11"/>
        <v>3.8834951456310676E-2</v>
      </c>
      <c r="D119" s="99">
        <f>C119*$D122</f>
        <v>8.9320388349514567E-3</v>
      </c>
      <c r="E119" s="101" t="s">
        <v>613</v>
      </c>
      <c r="F119" s="101" t="s">
        <v>613</v>
      </c>
      <c r="G119" s="102">
        <v>1</v>
      </c>
      <c r="H119" s="101" t="str">
        <f>'[16]From SAM'!B46</f>
        <v>Renting of machinery</v>
      </c>
      <c r="I119" s="145">
        <f>IF(D119=0,"",VLOOKUP(H119,'[16]From SAM'!$B$2:$C$52,2,))</f>
        <v>0.12138980230577215</v>
      </c>
      <c r="J119" s="101" t="s">
        <v>712</v>
      </c>
      <c r="K119" s="99">
        <f>IF(J119="E",$E$33,IF(J119="C",$E$28,""))</f>
        <v>2.4354066985645932</v>
      </c>
      <c r="L119" s="100">
        <f t="shared" si="12"/>
        <v>0.17424373536713711</v>
      </c>
      <c r="M119" s="99">
        <f>IF(D119=0,"",(I119*D119*K119*G119)+(D119-D119*I119*G119))</f>
        <v>1.0488390645997729E-2</v>
      </c>
      <c r="O119" s="146" t="s">
        <v>695</v>
      </c>
      <c r="P119" s="145" t="s">
        <v>694</v>
      </c>
      <c r="Q119" s="145"/>
      <c r="R119" s="101">
        <v>17</v>
      </c>
      <c r="T119" s="146" t="s">
        <v>695</v>
      </c>
      <c r="U119" s="145" t="s">
        <v>694</v>
      </c>
      <c r="V119" s="101"/>
      <c r="W119" s="101"/>
      <c r="X119" s="101"/>
      <c r="Y119" s="288"/>
      <c r="Z119" s="101"/>
      <c r="AA119" s="288"/>
      <c r="AB119" s="101"/>
      <c r="AC119" s="288"/>
    </row>
    <row r="120" spans="2:29" ht="16.5" outlineLevel="1" thickBot="1" x14ac:dyDescent="0.4">
      <c r="B120" s="106" t="str">
        <f t="shared" si="11"/>
        <v xml:space="preserve">Non material costs </v>
      </c>
      <c r="C120" s="106">
        <f t="shared" si="11"/>
        <v>0.17475728155339806</v>
      </c>
      <c r="D120" s="99">
        <f>C120*$D122</f>
        <v>4.0194174757281556E-2</v>
      </c>
      <c r="E120" s="101" t="s">
        <v>613</v>
      </c>
      <c r="F120" s="101" t="s">
        <v>613</v>
      </c>
      <c r="G120" s="102">
        <v>1</v>
      </c>
      <c r="H120" s="101" t="str">
        <f>'[16]From SAM'!B17</f>
        <v>Publishing</v>
      </c>
      <c r="I120" s="145">
        <f>IF(D120=0,"",VLOOKUP(H120,'[16]From SAM'!$B$2:$C$52,2,))</f>
        <v>0.30557059589154911</v>
      </c>
      <c r="J120" s="101" t="s">
        <v>712</v>
      </c>
      <c r="K120" s="99">
        <f>IF(J120="E",$E$33,IF(J120="C",$E$28,""))</f>
        <v>2.4354066985645932</v>
      </c>
      <c r="L120" s="100">
        <f t="shared" si="12"/>
        <v>0.43861808022710402</v>
      </c>
      <c r="M120" s="99">
        <f>IF(D120=0,"",(I120*D120*K120*G120)+(D120-D120*I120*G120))</f>
        <v>5.7824066525633114E-2</v>
      </c>
    </row>
    <row r="121" spans="2:29" ht="16.5" outlineLevel="1" thickBot="1" x14ac:dyDescent="0.4">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v>
      </c>
    </row>
    <row r="122" spans="2:29" s="91" customFormat="1" ht="16.5" outlineLevel="1" thickBot="1" x14ac:dyDescent="0.4">
      <c r="B122" s="157" t="s">
        <v>690</v>
      </c>
      <c r="C122" s="156">
        <f>SUM(C113:C121)</f>
        <v>0.99999999999999989</v>
      </c>
      <c r="D122" s="151">
        <f>R123</f>
        <v>0.23</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v>
      </c>
      <c r="T122" s="77"/>
      <c r="U122" s="77"/>
      <c r="V122" s="77"/>
      <c r="W122" s="77"/>
    </row>
    <row r="123" spans="2:29" ht="16.5" outlineLevel="1" thickBot="1" x14ac:dyDescent="0.4">
      <c r="B123" s="146"/>
      <c r="C123" s="148"/>
      <c r="D123" s="147"/>
      <c r="E123" s="147"/>
      <c r="F123" s="147"/>
      <c r="G123" s="147"/>
      <c r="H123" s="147"/>
      <c r="I123" s="147"/>
      <c r="J123" s="147"/>
      <c r="K123" s="147"/>
      <c r="L123" s="145"/>
      <c r="M123" s="145"/>
      <c r="O123" s="146" t="s">
        <v>995</v>
      </c>
      <c r="P123" s="145" t="str">
        <f>P122</f>
        <v>US$</v>
      </c>
      <c r="Q123" s="145"/>
      <c r="R123" s="279">
        <f>R122</f>
        <v>0.23</v>
      </c>
      <c r="S123" s="143"/>
    </row>
    <row r="124" spans="2:29" s="167" customFormat="1" x14ac:dyDescent="0.35">
      <c r="B124" s="167" t="s">
        <v>733</v>
      </c>
      <c r="C124" s="168" t="s">
        <v>1012</v>
      </c>
      <c r="D124" s="169" t="s">
        <v>732</v>
      </c>
      <c r="E124" s="170" t="s">
        <v>964</v>
      </c>
      <c r="F124" s="169"/>
      <c r="G124" s="169"/>
      <c r="H124" s="169" t="s">
        <v>1011</v>
      </c>
      <c r="I124" s="169"/>
      <c r="J124" s="169"/>
      <c r="K124" s="169"/>
      <c r="L124" s="169"/>
      <c r="N124" s="169" t="s">
        <v>731</v>
      </c>
      <c r="O124" s="168" t="s">
        <v>787</v>
      </c>
    </row>
    <row r="125" spans="2:29" ht="16.5" outlineLevel="1" thickBot="1" x14ac:dyDescent="0.4">
      <c r="B125" s="149" t="s">
        <v>1010</v>
      </c>
      <c r="P125" s="149" t="s">
        <v>1009</v>
      </c>
      <c r="Q125" s="149"/>
      <c r="V125" s="149" t="s">
        <v>1008</v>
      </c>
    </row>
    <row r="126" spans="2:29" s="166" customFormat="1" ht="48" outlineLevel="1" thickBot="1" x14ac:dyDescent="0.25">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82" t="s">
        <v>963</v>
      </c>
      <c r="Y126" s="484"/>
      <c r="Z126" s="482" t="s">
        <v>963</v>
      </c>
      <c r="AA126" s="484"/>
    </row>
    <row r="127" spans="2:29" ht="16.5" outlineLevel="1" thickBot="1" x14ac:dyDescent="0.4">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0.23534870376544167</v>
      </c>
      <c r="J127" s="101" t="s">
        <v>947</v>
      </c>
      <c r="K127" s="99">
        <f>IF(J127="E",$E$33,IF(J127="C",$E$28,IF(J127="US",$E$38,"")))</f>
        <v>1.928030303030303</v>
      </c>
      <c r="L127" s="100">
        <f t="shared" ref="L127:L135" si="13">IF(M127="","",M127/D127-1)</f>
        <v>0.21841072887323176</v>
      </c>
      <c r="M127" s="99">
        <f t="shared" ref="M127:M135" si="14">IF(D127=0,"",(I127*D127*K127*G127)+(D127-D127*I127*G127))</f>
        <v>0.17370024647329457</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9" ht="16.5" outlineLevel="1" thickBot="1" x14ac:dyDescent="0.4">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8" ht="16.5" outlineLevel="1" thickBot="1" x14ac:dyDescent="0.4">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8" ht="16.5" outlineLevel="1" thickBot="1" x14ac:dyDescent="0.4">
      <c r="B130" s="147"/>
      <c r="C130" s="104"/>
      <c r="D130" s="99">
        <f>C130*$D136</f>
        <v>0</v>
      </c>
      <c r="E130" s="101"/>
      <c r="F130" s="101"/>
      <c r="G130" s="102"/>
      <c r="H130" s="101"/>
      <c r="I130" s="145" t="str">
        <f>IF(D130=0,"",VLOOKUP(H130,'[16]From SAM'!$B$2:$C$52,2,))</f>
        <v/>
      </c>
      <c r="J130" s="101"/>
      <c r="K130" s="99" t="str">
        <f t="shared" ref="K130:K135" si="15">IF(J130="E",$E$33,IF(J130="C",$E$28,""))</f>
        <v/>
      </c>
      <c r="L130" s="100" t="str">
        <f t="shared" si="13"/>
        <v/>
      </c>
      <c r="M130" s="99" t="str">
        <f t="shared" si="14"/>
        <v/>
      </c>
      <c r="O130" s="146" t="s">
        <v>707</v>
      </c>
      <c r="P130" s="145" t="s">
        <v>701</v>
      </c>
      <c r="Q130" s="300" t="s">
        <v>1001</v>
      </c>
      <c r="R130" s="307">
        <f>R131/1.2</f>
        <v>7.166666666666667E-2</v>
      </c>
      <c r="S130" s="149" t="s">
        <v>919</v>
      </c>
      <c r="T130" s="146" t="s">
        <v>707</v>
      </c>
      <c r="U130" s="145" t="s">
        <v>701</v>
      </c>
      <c r="V130" s="101">
        <v>0.16</v>
      </c>
      <c r="W130" s="163" t="s">
        <v>1000</v>
      </c>
      <c r="X130" s="280">
        <f>D69</f>
        <v>0.15254237288135594</v>
      </c>
      <c r="Y130" s="288" t="s">
        <v>952</v>
      </c>
    </row>
    <row r="131" spans="2:28" ht="16.5" outlineLevel="1" thickBot="1" x14ac:dyDescent="0.4">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8.5999999999999993E-2</v>
      </c>
      <c r="T131" s="146" t="s">
        <v>700</v>
      </c>
      <c r="U131" s="306" t="s">
        <v>701</v>
      </c>
      <c r="V131" s="77">
        <f>'[16]Sec data - solar'!R135</f>
        <v>7.2916666666666671E-2</v>
      </c>
      <c r="W131" s="288" t="s">
        <v>998</v>
      </c>
      <c r="X131" s="101"/>
      <c r="Y131" s="288"/>
      <c r="Z131" s="101"/>
      <c r="AA131" s="288"/>
    </row>
    <row r="132" spans="2:28" ht="16.5" outlineLevel="1" thickBot="1" x14ac:dyDescent="0.4">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8" ht="16.5" outlineLevel="1" thickBot="1" x14ac:dyDescent="0.4">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28" ht="16.5" outlineLevel="1" thickBot="1" x14ac:dyDescent="0.4">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x14ac:dyDescent="0.4">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7.166666666666667E-2</v>
      </c>
      <c r="S135" s="493" t="s">
        <v>997</v>
      </c>
      <c r="T135" s="493"/>
      <c r="U135" s="493"/>
      <c r="V135" s="494" t="s">
        <v>996</v>
      </c>
      <c r="W135" s="495"/>
      <c r="X135" s="495"/>
      <c r="Y135" s="495"/>
      <c r="Z135" s="495"/>
      <c r="AA135" s="496"/>
      <c r="AB135" s="303"/>
    </row>
    <row r="136" spans="2:28" s="91" customFormat="1" ht="16.5" outlineLevel="1" thickBot="1" x14ac:dyDescent="0.4">
      <c r="B136" s="157" t="s">
        <v>690</v>
      </c>
      <c r="C136" s="156">
        <f>SUM(C127:C135)</f>
        <v>1</v>
      </c>
      <c r="D136" s="151">
        <f>R137</f>
        <v>0.14256296530967844</v>
      </c>
      <c r="E136" s="101"/>
      <c r="F136" s="101"/>
      <c r="G136" s="154"/>
      <c r="H136" s="153"/>
      <c r="I136" s="145"/>
      <c r="J136" s="101"/>
      <c r="K136" s="153"/>
      <c r="L136" s="152">
        <f>M136/D136-1</f>
        <v>0.21841072887323176</v>
      </c>
      <c r="M136" s="151">
        <f>SUM(M127:M135)</f>
        <v>0.17370024647329457</v>
      </c>
      <c r="O136" s="146" t="s">
        <v>689</v>
      </c>
      <c r="P136" s="145" t="str">
        <f>P135</f>
        <v>US$</v>
      </c>
      <c r="Q136" s="145"/>
      <c r="R136" s="286">
        <f>X130</f>
        <v>0.15254237288135594</v>
      </c>
      <c r="T136" s="77"/>
      <c r="U136" s="77"/>
      <c r="V136" s="77"/>
      <c r="W136" s="77"/>
    </row>
    <row r="137" spans="2:28" ht="16.5" outlineLevel="1" thickBot="1" x14ac:dyDescent="0.4">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28" s="167" customFormat="1" x14ac:dyDescent="0.35">
      <c r="B139" s="167" t="s">
        <v>733</v>
      </c>
      <c r="C139" s="168" t="s">
        <v>993</v>
      </c>
      <c r="D139" s="169" t="s">
        <v>732</v>
      </c>
      <c r="E139" s="170"/>
      <c r="F139" s="169"/>
      <c r="G139" s="169"/>
      <c r="H139" s="169" t="s">
        <v>992</v>
      </c>
      <c r="I139" s="169"/>
      <c r="J139" s="169"/>
      <c r="K139" s="169"/>
      <c r="L139" s="169"/>
      <c r="N139" s="169" t="s">
        <v>731</v>
      </c>
      <c r="O139" s="168"/>
    </row>
    <row r="140" spans="2:28" outlineLevel="1" x14ac:dyDescent="0.35">
      <c r="B140" s="149" t="s">
        <v>991</v>
      </c>
    </row>
    <row r="141" spans="2:28" s="166" customFormat="1" ht="16.5" outlineLevel="1" thickBot="1" x14ac:dyDescent="0.25"/>
    <row r="142" spans="2:28" ht="16.5" outlineLevel="1" thickBot="1" x14ac:dyDescent="0.4">
      <c r="B142" s="109" t="s">
        <v>990</v>
      </c>
      <c r="C142" s="109" t="s">
        <v>989</v>
      </c>
      <c r="D142" s="109" t="s">
        <v>916</v>
      </c>
      <c r="E142" s="109" t="s">
        <v>988</v>
      </c>
      <c r="F142" s="166"/>
      <c r="G142" s="166"/>
      <c r="H142" s="166"/>
      <c r="I142" s="166"/>
    </row>
    <row r="143" spans="2:28" ht="16.5" outlineLevel="1" thickBot="1" x14ac:dyDescent="0.4">
      <c r="B143" s="146" t="s">
        <v>987</v>
      </c>
      <c r="C143" s="302" t="s">
        <v>985</v>
      </c>
      <c r="D143" s="145" t="s">
        <v>974</v>
      </c>
      <c r="E143" s="184">
        <v>2709</v>
      </c>
      <c r="F143" s="166"/>
      <c r="G143" s="166"/>
      <c r="H143" s="166"/>
      <c r="I143" s="166"/>
    </row>
    <row r="144" spans="2:28" ht="16.5" outlineLevel="1" thickBot="1" x14ac:dyDescent="0.4">
      <c r="B144" s="146" t="s">
        <v>986</v>
      </c>
      <c r="C144" s="300" t="s">
        <v>985</v>
      </c>
      <c r="D144" s="145" t="s">
        <v>974</v>
      </c>
      <c r="E144" s="184">
        <v>4544</v>
      </c>
      <c r="F144" s="166"/>
      <c r="G144" s="166"/>
      <c r="H144" s="166"/>
      <c r="I144" s="166"/>
    </row>
    <row r="145" spans="2:10" ht="16.5" outlineLevel="1" thickBot="1" x14ac:dyDescent="0.4">
      <c r="B145" s="146" t="s">
        <v>984</v>
      </c>
      <c r="C145" s="300"/>
      <c r="D145" s="145" t="s">
        <v>974</v>
      </c>
      <c r="E145" s="184">
        <v>4920</v>
      </c>
      <c r="F145" s="166"/>
      <c r="G145" s="166"/>
      <c r="H145" s="166"/>
      <c r="I145" s="166"/>
    </row>
    <row r="146" spans="2:10" ht="16.5" outlineLevel="1" thickBot="1" x14ac:dyDescent="0.4">
      <c r="B146" s="146" t="s">
        <v>976</v>
      </c>
      <c r="C146" s="300"/>
      <c r="D146" s="145" t="s">
        <v>974</v>
      </c>
      <c r="E146" s="184">
        <v>6067</v>
      </c>
      <c r="F146" s="166"/>
      <c r="G146" s="166"/>
      <c r="H146" s="166"/>
      <c r="I146" s="166"/>
    </row>
    <row r="147" spans="2:10" ht="16.5" outlineLevel="1" thickBot="1" x14ac:dyDescent="0.4">
      <c r="B147" s="146" t="s">
        <v>983</v>
      </c>
      <c r="C147" s="300"/>
      <c r="D147" s="145" t="s">
        <v>974</v>
      </c>
      <c r="E147" s="184">
        <v>7375</v>
      </c>
      <c r="F147" s="166"/>
      <c r="G147" s="166"/>
      <c r="H147" s="166"/>
      <c r="I147" s="166"/>
    </row>
    <row r="148" spans="2:10" ht="16.5" outlineLevel="1" thickBot="1" x14ac:dyDescent="0.4">
      <c r="B148" s="146" t="s">
        <v>982</v>
      </c>
      <c r="C148" s="300"/>
      <c r="D148" s="145" t="s">
        <v>974</v>
      </c>
      <c r="E148" s="184">
        <v>5400</v>
      </c>
      <c r="F148" s="166"/>
      <c r="G148" s="166"/>
      <c r="H148" s="166"/>
      <c r="I148" s="166"/>
    </row>
    <row r="149" spans="2:10" ht="16.5" outlineLevel="1" thickBot="1" x14ac:dyDescent="0.4">
      <c r="B149" s="146" t="s">
        <v>981</v>
      </c>
      <c r="C149" s="300"/>
      <c r="D149" s="145" t="s">
        <v>974</v>
      </c>
      <c r="E149" s="184">
        <v>3770</v>
      </c>
      <c r="F149" s="166"/>
      <c r="G149" s="166"/>
      <c r="H149" s="166"/>
      <c r="I149" s="166"/>
    </row>
    <row r="150" spans="2:10" ht="32.25" outlineLevel="1" thickBot="1" x14ac:dyDescent="0.4">
      <c r="B150" s="146" t="s">
        <v>980</v>
      </c>
      <c r="C150" s="300"/>
      <c r="D150" s="145" t="s">
        <v>974</v>
      </c>
      <c r="E150" s="184">
        <v>7285</v>
      </c>
      <c r="F150" s="166"/>
      <c r="G150" s="166"/>
      <c r="H150" s="166"/>
      <c r="I150" s="166"/>
    </row>
    <row r="151" spans="2:10" ht="32.25" outlineLevel="1" thickBot="1" x14ac:dyDescent="0.4">
      <c r="B151" s="146" t="s">
        <v>979</v>
      </c>
      <c r="C151" s="300"/>
      <c r="D151" s="145" t="s">
        <v>974</v>
      </c>
      <c r="E151" s="184">
        <v>1702</v>
      </c>
      <c r="F151" s="166"/>
      <c r="G151" s="166"/>
      <c r="H151" s="166"/>
      <c r="I151" s="166"/>
    </row>
    <row r="152" spans="2:10" ht="16.5" outlineLevel="1" thickBot="1" x14ac:dyDescent="0.4">
      <c r="B152" s="301" t="s">
        <v>978</v>
      </c>
      <c r="C152" s="300"/>
      <c r="D152" s="145" t="s">
        <v>974</v>
      </c>
      <c r="E152" s="184">
        <v>3510</v>
      </c>
      <c r="F152" s="166"/>
      <c r="G152" s="166"/>
      <c r="H152" s="166"/>
      <c r="I152" s="166"/>
    </row>
    <row r="153" spans="2:10" ht="32.25" outlineLevel="1" thickBot="1" x14ac:dyDescent="0.4">
      <c r="B153" s="146" t="s">
        <v>977</v>
      </c>
      <c r="C153" s="300"/>
      <c r="D153" s="145" t="s">
        <v>974</v>
      </c>
      <c r="E153" s="184">
        <v>6761</v>
      </c>
      <c r="F153" s="166"/>
      <c r="G153" s="166"/>
      <c r="H153" s="166"/>
      <c r="I153" s="166"/>
    </row>
    <row r="154" spans="2:10" ht="16.5" outlineLevel="1" thickBot="1" x14ac:dyDescent="0.4">
      <c r="B154" s="301" t="s">
        <v>976</v>
      </c>
      <c r="C154" s="300"/>
      <c r="D154" s="145" t="s">
        <v>974</v>
      </c>
      <c r="E154" s="184">
        <v>6067</v>
      </c>
      <c r="F154" s="166"/>
      <c r="G154" s="166"/>
      <c r="H154" s="166"/>
      <c r="I154" s="166"/>
    </row>
    <row r="155" spans="2:10" ht="32.25" outlineLevel="1" thickBot="1" x14ac:dyDescent="0.4">
      <c r="B155" s="146" t="s">
        <v>975</v>
      </c>
      <c r="C155" s="300"/>
      <c r="D155" s="145" t="s">
        <v>974</v>
      </c>
      <c r="E155" s="184">
        <v>3782</v>
      </c>
      <c r="F155" s="166"/>
      <c r="G155" s="166"/>
      <c r="H155" s="166"/>
      <c r="I155" s="166"/>
    </row>
    <row r="156" spans="2:10" outlineLevel="1" x14ac:dyDescent="0.35">
      <c r="B156" s="299" t="s">
        <v>973</v>
      </c>
      <c r="C156" s="298"/>
      <c r="D156" s="297"/>
      <c r="E156" s="296">
        <v>1477</v>
      </c>
      <c r="F156" s="166"/>
      <c r="G156" s="166"/>
      <c r="H156" s="166"/>
      <c r="I156" s="166"/>
    </row>
    <row r="157" spans="2:10" ht="16.5" outlineLevel="1" thickBot="1" x14ac:dyDescent="0.4"/>
    <row r="158" spans="2:10" s="91" customFormat="1" ht="16.5" outlineLevel="1" thickBot="1" x14ac:dyDescent="0.4">
      <c r="B158" s="159"/>
      <c r="C158" s="159"/>
      <c r="D158" s="158" t="s">
        <v>972</v>
      </c>
      <c r="E158" s="158" t="s">
        <v>971</v>
      </c>
      <c r="F158" s="158" t="s">
        <v>970</v>
      </c>
      <c r="G158" s="158"/>
      <c r="H158" s="158"/>
      <c r="I158" s="158"/>
      <c r="J158" s="77"/>
    </row>
    <row r="159" spans="2:10" s="91" customFormat="1" ht="16.5" outlineLevel="1" thickBot="1" x14ac:dyDescent="0.4">
      <c r="B159" s="146"/>
      <c r="C159" s="158" t="s">
        <v>969</v>
      </c>
      <c r="D159" s="150">
        <f>E143</f>
        <v>2709</v>
      </c>
      <c r="E159" s="150">
        <f>E156</f>
        <v>1477</v>
      </c>
      <c r="F159" s="295">
        <f>D159/E159-1</f>
        <v>0.83412322274881512</v>
      </c>
      <c r="G159" s="145"/>
      <c r="H159" s="145"/>
      <c r="I159" s="145"/>
      <c r="J159" s="77"/>
    </row>
    <row r="160" spans="2:10" s="91" customFormat="1" ht="16.5" outlineLevel="1" thickBot="1" x14ac:dyDescent="0.4">
      <c r="B160" s="146"/>
      <c r="C160" s="145" t="s">
        <v>968</v>
      </c>
      <c r="D160" s="150">
        <f>E146</f>
        <v>6067</v>
      </c>
      <c r="E160" s="150">
        <f>E151</f>
        <v>1702</v>
      </c>
      <c r="F160" s="295">
        <f>D160/E160-1</f>
        <v>2.5646298472385429</v>
      </c>
      <c r="G160" s="145"/>
      <c r="H160" s="145"/>
      <c r="I160" s="145"/>
      <c r="J160" s="77"/>
    </row>
    <row r="161" spans="2:32" ht="16.5" outlineLevel="1" thickBot="1" x14ac:dyDescent="0.4">
      <c r="B161" s="146"/>
      <c r="C161" s="145" t="s">
        <v>967</v>
      </c>
      <c r="D161" s="150">
        <f>E154</f>
        <v>6067</v>
      </c>
      <c r="E161" s="150">
        <f>E152</f>
        <v>3510</v>
      </c>
      <c r="F161" s="295">
        <f>D161/E161-1</f>
        <v>0.72849002849002842</v>
      </c>
      <c r="G161" s="145"/>
      <c r="H161" s="145"/>
      <c r="I161" s="145"/>
    </row>
    <row r="162" spans="2:32" ht="16.5" outlineLevel="1" thickBot="1" x14ac:dyDescent="0.4">
      <c r="B162" s="146"/>
      <c r="C162" s="145" t="s">
        <v>966</v>
      </c>
      <c r="D162" s="150">
        <f>E153</f>
        <v>6761</v>
      </c>
      <c r="E162" s="150">
        <f>E155</f>
        <v>3782</v>
      </c>
      <c r="F162" s="295">
        <f>D162/E162-1</f>
        <v>0.78767847699629834</v>
      </c>
      <c r="G162" s="145"/>
      <c r="H162" s="145"/>
      <c r="I162" s="145"/>
    </row>
    <row r="163" spans="2:32" x14ac:dyDescent="0.35">
      <c r="B163" s="193"/>
      <c r="C163" s="293"/>
      <c r="D163" s="293"/>
      <c r="E163" s="292"/>
      <c r="F163" s="294">
        <f>AVERAGE(F159:F162)</f>
        <v>1.2287303938684211</v>
      </c>
      <c r="G163" s="292"/>
      <c r="H163" s="293"/>
      <c r="I163" s="292"/>
    </row>
    <row r="164" spans="2:32" s="167" customFormat="1" x14ac:dyDescent="0.35">
      <c r="B164" s="167" t="s">
        <v>733</v>
      </c>
      <c r="C164" s="168" t="s">
        <v>965</v>
      </c>
      <c r="D164" s="169" t="s">
        <v>732</v>
      </c>
      <c r="E164" s="170" t="s">
        <v>964</v>
      </c>
      <c r="F164" s="169"/>
      <c r="G164" s="169"/>
      <c r="H164" s="169" t="s">
        <v>934</v>
      </c>
      <c r="J164" s="169"/>
      <c r="K164" s="169"/>
      <c r="L164" s="169"/>
      <c r="N164" s="169" t="s">
        <v>731</v>
      </c>
      <c r="O164" s="168"/>
    </row>
    <row r="165" spans="2:32" ht="16.5" outlineLevel="1" thickBot="1" x14ac:dyDescent="0.4"/>
    <row r="166" spans="2:32" s="166" customFormat="1" ht="48" outlineLevel="1" thickBot="1" x14ac:dyDescent="0.25">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82" t="s">
        <v>963</v>
      </c>
      <c r="Y166" s="484"/>
      <c r="Z166" s="482" t="s">
        <v>963</v>
      </c>
      <c r="AA166" s="484"/>
      <c r="AC166" s="490" t="s">
        <v>962</v>
      </c>
      <c r="AD166" s="491"/>
      <c r="AE166" s="491"/>
      <c r="AF166" s="492"/>
    </row>
    <row r="167" spans="2:32" ht="17.25" outlineLevel="1" thickBot="1" x14ac:dyDescent="0.4">
      <c r="B167" s="106" t="s">
        <v>961</v>
      </c>
      <c r="C167" s="105">
        <v>0.32</v>
      </c>
      <c r="D167" s="99">
        <f>C167*$D176</f>
        <v>2.0313043478260871E-2</v>
      </c>
      <c r="E167" s="101" t="s">
        <v>613</v>
      </c>
      <c r="F167" s="101"/>
      <c r="G167" s="102">
        <v>1</v>
      </c>
      <c r="H167" s="101" t="s">
        <v>602</v>
      </c>
      <c r="I167" s="145">
        <f>IF(D167=0,"",VLOOKUP(H167,'[16]From SAM'!$B$2:$C$52,2,))</f>
        <v>0.13001734713264965</v>
      </c>
      <c r="J167" s="101" t="s">
        <v>947</v>
      </c>
      <c r="K167" s="99">
        <f t="shared" ref="K167:K175" si="16">IF(J167="E",$E$33,IF(J167="C",$E$28,IF(J167="US",$E$38,"")))</f>
        <v>1.928030303030303</v>
      </c>
      <c r="L167" s="100">
        <f t="shared" ref="L167:L175" si="17">IF(M167="","",M167/D167-1)</f>
        <v>0.12066003805870906</v>
      </c>
      <c r="M167" s="99">
        <f>IF(D167=0,"",(I167*D167*K167*G167)+(D167-D167*I167*G167))</f>
        <v>2.2764016077436038E-2</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x14ac:dyDescent="0.4">
      <c r="B168" s="147" t="s">
        <v>959</v>
      </c>
      <c r="C168" s="104">
        <v>0.16</v>
      </c>
      <c r="D168" s="99">
        <f>C168*$D176</f>
        <v>1.0156521739130436E-2</v>
      </c>
      <c r="E168" s="101" t="s">
        <v>613</v>
      </c>
      <c r="F168" s="101"/>
      <c r="G168" s="102">
        <v>1</v>
      </c>
      <c r="H168" s="101" t="s">
        <v>602</v>
      </c>
      <c r="I168" s="145">
        <f>IF(D168=0,"",VLOOKUP(H168,'[16]From SAM'!$B$2:$C$52,2,))</f>
        <v>0.13001734713264965</v>
      </c>
      <c r="J168" s="101" t="s">
        <v>947</v>
      </c>
      <c r="K168" s="99">
        <f t="shared" si="16"/>
        <v>1.928030303030303</v>
      </c>
      <c r="L168" s="100">
        <f t="shared" si="17"/>
        <v>0.12066003805870906</v>
      </c>
      <c r="M168" s="99">
        <f>IF(D168=0,"",(I168*D168*K168*G168)+(D168-D168*I168*G168))</f>
        <v>1.1382008038718019E-2</v>
      </c>
      <c r="O168" s="146" t="s">
        <v>718</v>
      </c>
      <c r="P168" s="145" t="s">
        <v>719</v>
      </c>
      <c r="Q168" s="145"/>
      <c r="R168" s="184">
        <v>150000</v>
      </c>
      <c r="T168" s="146" t="s">
        <v>718</v>
      </c>
      <c r="U168" s="145" t="s">
        <v>701</v>
      </c>
      <c r="V168" s="101"/>
      <c r="W168" s="101"/>
      <c r="X168" s="184"/>
      <c r="Y168" s="288"/>
      <c r="Z168" s="184"/>
      <c r="AA168" s="288"/>
      <c r="AC168" s="287" t="s">
        <v>958</v>
      </c>
      <c r="AD168" s="291">
        <f>M176</f>
        <v>7.9964884697026728E-2</v>
      </c>
      <c r="AE168" s="287" t="s">
        <v>701</v>
      </c>
      <c r="AF168" s="287"/>
    </row>
    <row r="169" spans="2:32" ht="17.25" outlineLevel="1" thickBot="1" x14ac:dyDescent="0.4">
      <c r="B169" s="147" t="s">
        <v>957</v>
      </c>
      <c r="C169" s="104">
        <v>0.11</v>
      </c>
      <c r="D169" s="99">
        <f>C169*$D176</f>
        <v>6.9826086956521743E-3</v>
      </c>
      <c r="E169" s="101" t="s">
        <v>613</v>
      </c>
      <c r="F169" s="101"/>
      <c r="G169" s="102">
        <v>1</v>
      </c>
      <c r="H169" s="101" t="str">
        <f>'[16]From SAM'!B29</f>
        <v xml:space="preserve">Structural metal </v>
      </c>
      <c r="I169" s="145">
        <f>IF(D169=0,"",VLOOKUP(H169,'[16]From SAM'!$B$2:$C$52,2,))</f>
        <v>0.23534870376544167</v>
      </c>
      <c r="J169" s="101" t="s">
        <v>947</v>
      </c>
      <c r="K169" s="99">
        <f t="shared" si="16"/>
        <v>1.928030303030303</v>
      </c>
      <c r="L169" s="100">
        <f t="shared" si="17"/>
        <v>0.21841072887323176</v>
      </c>
      <c r="M169" s="99">
        <f>IF(D169=0,"",(I169*D169*K169*G169)+(D169-D169*I169*G169))</f>
        <v>8.5076853503061323E-3</v>
      </c>
      <c r="O169" s="146" t="s">
        <v>711</v>
      </c>
      <c r="P169" s="145" t="s">
        <v>710</v>
      </c>
      <c r="Q169" s="145"/>
      <c r="R169" s="101">
        <v>55</v>
      </c>
      <c r="T169" s="146" t="s">
        <v>711</v>
      </c>
      <c r="U169" s="145" t="s">
        <v>710</v>
      </c>
      <c r="V169" s="101"/>
      <c r="W169" s="101"/>
      <c r="X169" s="101"/>
      <c r="Y169" s="288"/>
      <c r="Z169" s="101"/>
      <c r="AA169" s="288"/>
      <c r="AC169" s="287" t="s">
        <v>956</v>
      </c>
      <c r="AD169" s="285">
        <f>AD168*C19</f>
        <v>1.1514943396371848</v>
      </c>
      <c r="AE169" s="287" t="s">
        <v>955</v>
      </c>
      <c r="AF169" s="287"/>
    </row>
    <row r="170" spans="2:32" ht="17.25" outlineLevel="1" thickBot="1" x14ac:dyDescent="0.4">
      <c r="B170" s="147" t="s">
        <v>954</v>
      </c>
      <c r="C170" s="104">
        <v>0.23</v>
      </c>
      <c r="D170" s="99">
        <f>C170*$D176</f>
        <v>1.4600000000000002E-2</v>
      </c>
      <c r="E170" s="101" t="s">
        <v>612</v>
      </c>
      <c r="F170" s="101"/>
      <c r="G170" s="102">
        <v>0</v>
      </c>
      <c r="H170" s="101" t="s">
        <v>602</v>
      </c>
      <c r="I170" s="145">
        <f>IF(D170=0,"",VLOOKUP(H170,'[16]From SAM'!$B$2:$C$52,2,))</f>
        <v>0.13001734713264965</v>
      </c>
      <c r="J170" s="101"/>
      <c r="K170" s="99" t="str">
        <f t="shared" si="16"/>
        <v/>
      </c>
      <c r="L170" s="100">
        <f t="shared" si="17"/>
        <v>4.6666666666666634E-2</v>
      </c>
      <c r="M170" s="99">
        <f>D170*(1+C23-C22)</f>
        <v>1.5281333333333334E-2</v>
      </c>
      <c r="O170" s="146" t="s">
        <v>707</v>
      </c>
      <c r="P170" s="145" t="s">
        <v>701</v>
      </c>
      <c r="Q170" s="145"/>
      <c r="R170" s="101">
        <v>4.4999999999999998E-2</v>
      </c>
      <c r="S170" s="149" t="s">
        <v>945</v>
      </c>
      <c r="T170" s="146" t="s">
        <v>707</v>
      </c>
      <c r="U170" s="145" t="s">
        <v>701</v>
      </c>
      <c r="V170" s="101">
        <v>0.08</v>
      </c>
      <c r="W170" s="101" t="s">
        <v>953</v>
      </c>
      <c r="X170" s="280">
        <f>D70</f>
        <v>6.1016949152542375E-2</v>
      </c>
      <c r="Y170" s="288" t="s">
        <v>952</v>
      </c>
      <c r="Z170" s="290">
        <v>7.2999999999999995E-2</v>
      </c>
      <c r="AA170" s="77" t="s">
        <v>951</v>
      </c>
      <c r="AC170" s="287" t="s">
        <v>950</v>
      </c>
      <c r="AD170" s="287" t="s">
        <v>949</v>
      </c>
      <c r="AE170" s="287"/>
      <c r="AF170" s="287"/>
    </row>
    <row r="171" spans="2:32" ht="17.25" outlineLevel="1" thickBot="1" x14ac:dyDescent="0.4">
      <c r="B171" s="147" t="s">
        <v>948</v>
      </c>
      <c r="C171" s="104">
        <v>0.18</v>
      </c>
      <c r="D171" s="99">
        <f>C171*$D176</f>
        <v>1.1426086956521739E-2</v>
      </c>
      <c r="E171" s="101" t="s">
        <v>613</v>
      </c>
      <c r="F171" s="101"/>
      <c r="G171" s="102">
        <v>1</v>
      </c>
      <c r="H171" s="101" t="str">
        <f>'[16]From SAM'!B2</f>
        <v xml:space="preserve">Labour </v>
      </c>
      <c r="I171" s="145">
        <f>IF(D171=0,"",VLOOKUP(H171,'[16]From SAM'!$B$2:$C$52,2,))</f>
        <v>1</v>
      </c>
      <c r="J171" s="101" t="s">
        <v>947</v>
      </c>
      <c r="K171" s="99">
        <f t="shared" si="16"/>
        <v>1.928030303030303</v>
      </c>
      <c r="L171" s="100">
        <f t="shared" si="17"/>
        <v>0.92803030303030276</v>
      </c>
      <c r="M171" s="99">
        <f>IF(D171=0,"",(I171*D171*K171*G171)+(D171-D171*I171*G171))</f>
        <v>2.2029841897233199E-2</v>
      </c>
      <c r="N171" s="149" t="s">
        <v>946</v>
      </c>
      <c r="O171" s="146" t="s">
        <v>700</v>
      </c>
      <c r="P171" s="145" t="s">
        <v>701</v>
      </c>
      <c r="Q171" s="145"/>
      <c r="R171" s="101">
        <v>4.4999999999999998E-2</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x14ac:dyDescent="0.4">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1151494.3396371847</v>
      </c>
      <c r="AE172" s="287"/>
      <c r="AF172" s="287"/>
    </row>
    <row r="173" spans="2:32" ht="17.25" outlineLevel="1" thickBot="1" x14ac:dyDescent="0.4">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v>
      </c>
      <c r="T173" s="146" t="s">
        <v>695</v>
      </c>
      <c r="U173" s="145" t="s">
        <v>694</v>
      </c>
      <c r="V173" s="101"/>
      <c r="W173" s="101"/>
      <c r="X173" s="101"/>
      <c r="Y173" s="288"/>
      <c r="Z173" s="101"/>
      <c r="AA173" s="288"/>
      <c r="AC173" s="287" t="s">
        <v>941</v>
      </c>
      <c r="AD173" s="287">
        <f>'[16]From SAM'!E31</f>
        <v>0.7729491147318106</v>
      </c>
      <c r="AE173" s="287" t="s">
        <v>940</v>
      </c>
      <c r="AF173" s="287"/>
    </row>
    <row r="174" spans="2:32" ht="17.25" outlineLevel="1" thickBot="1" x14ac:dyDescent="0.4">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v>
      </c>
      <c r="AE174" s="287"/>
      <c r="AF174" s="287"/>
    </row>
    <row r="175" spans="2:32" ht="16.5" outlineLevel="1" thickBot="1" x14ac:dyDescent="0.4">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4.4999999999999998E-2</v>
      </c>
      <c r="AC175" s="77" t="s">
        <v>938</v>
      </c>
      <c r="AD175" s="77">
        <f>'[16]From SAM'!D31</f>
        <v>0.13384530789117749</v>
      </c>
    </row>
    <row r="176" spans="2:32" s="91" customFormat="1" ht="17.25" outlineLevel="1" thickBot="1" x14ac:dyDescent="0.4">
      <c r="B176" s="157" t="s">
        <v>690</v>
      </c>
      <c r="C176" s="156">
        <f>SUM(C167:C175)</f>
        <v>1</v>
      </c>
      <c r="D176" s="151">
        <f>R177</f>
        <v>6.347826086956522E-2</v>
      </c>
      <c r="E176" s="101"/>
      <c r="F176" s="101"/>
      <c r="G176" s="154"/>
      <c r="H176" s="153"/>
      <c r="I176" s="145"/>
      <c r="J176" s="101"/>
      <c r="K176" s="153"/>
      <c r="L176" s="152">
        <f>M176/D176-1</f>
        <v>0.25972078632302376</v>
      </c>
      <c r="M176" s="151">
        <f>SUM(M167:M175)</f>
        <v>7.9964884697026728E-2</v>
      </c>
      <c r="O176" s="146" t="s">
        <v>689</v>
      </c>
      <c r="P176" s="145" t="str">
        <f>P175</f>
        <v>US$</v>
      </c>
      <c r="Q176" s="145"/>
      <c r="R176" s="286">
        <f>Z170</f>
        <v>7.2999999999999995E-2</v>
      </c>
      <c r="T176" s="77"/>
      <c r="U176" s="77"/>
      <c r="V176" s="77"/>
      <c r="W176" s="77"/>
      <c r="AC176" s="285" t="s">
        <v>936</v>
      </c>
      <c r="AD176" s="285">
        <f>AD173*AD172/1000000</f>
        <v>0.8900465304412527</v>
      </c>
    </row>
    <row r="177" spans="2:30" ht="16.5" outlineLevel="1" thickBot="1" x14ac:dyDescent="0.4">
      <c r="B177" s="146"/>
      <c r="C177" s="148"/>
      <c r="D177" s="147"/>
      <c r="E177" s="147"/>
      <c r="F177" s="147"/>
      <c r="G177" s="147" t="s">
        <v>734</v>
      </c>
      <c r="H177" s="147"/>
      <c r="I177" s="147"/>
      <c r="J177" s="147"/>
      <c r="K177" s="147"/>
      <c r="L177" s="145"/>
      <c r="M177" s="145"/>
      <c r="O177" s="146"/>
      <c r="P177" s="145"/>
      <c r="Q177" s="145"/>
      <c r="R177" s="284">
        <f>R176/1.15</f>
        <v>6.347826086956522E-2</v>
      </c>
      <c r="S177" s="143" t="s">
        <v>937</v>
      </c>
      <c r="AC177" s="77" t="s">
        <v>936</v>
      </c>
      <c r="AD177" s="92">
        <f>AD176*AD174/AD175</f>
        <v>2.6599259831055186</v>
      </c>
    </row>
    <row r="179" spans="2:30" s="167" customFormat="1" x14ac:dyDescent="0.35">
      <c r="B179" s="167" t="s">
        <v>733</v>
      </c>
      <c r="C179" s="168" t="s">
        <v>935</v>
      </c>
      <c r="D179" s="169" t="s">
        <v>732</v>
      </c>
      <c r="E179" s="170"/>
      <c r="F179" s="169"/>
      <c r="G179" s="169"/>
      <c r="H179" s="169" t="s">
        <v>934</v>
      </c>
      <c r="I179" s="169"/>
      <c r="J179" s="169"/>
      <c r="K179" s="169"/>
      <c r="L179" s="169"/>
      <c r="N179" s="169" t="s">
        <v>731</v>
      </c>
      <c r="O179" s="168"/>
    </row>
    <row r="180" spans="2:30" ht="16.5" outlineLevel="1" thickBot="1" x14ac:dyDescent="0.4"/>
    <row r="181" spans="2:30" s="166" customFormat="1" ht="48" outlineLevel="1" thickBot="1" x14ac:dyDescent="0.25">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30" ht="77.25" outlineLevel="1" thickBot="1" x14ac:dyDescent="0.4">
      <c r="B182" s="106" t="s">
        <v>933</v>
      </c>
      <c r="C182" s="105">
        <f>32.5%*(100%-50%)*40%</f>
        <v>6.5000000000000002E-2</v>
      </c>
      <c r="D182" s="282">
        <f>C182*$D192</f>
        <v>8.8135593220338979E-4</v>
      </c>
      <c r="E182" s="101" t="s">
        <v>613</v>
      </c>
      <c r="F182" s="101" t="s">
        <v>613</v>
      </c>
      <c r="G182" s="102">
        <v>1</v>
      </c>
      <c r="H182" s="101" t="str">
        <f>'[16]From SAM'!B27</f>
        <v>Basic iron and steel</v>
      </c>
      <c r="I182" s="145">
        <f>IF(D182=0,"",VLOOKUP(H182,'[16]From SAM'!$B$2:$C$52,2,))</f>
        <v>9.7044444371923971E-2</v>
      </c>
      <c r="J182" s="101" t="s">
        <v>739</v>
      </c>
      <c r="K182" s="99">
        <f t="shared" ref="K182:K191" si="18">IF(J182="E",$E$33,IF(J182="C",$E$28,""))</f>
        <v>1.0761099365750528</v>
      </c>
      <c r="L182" s="100">
        <f t="shared" ref="L182:L191" si="19">IF(M182="","",M182/D182-1)</f>
        <v>7.3860465061084124E-3</v>
      </c>
      <c r="M182" s="99">
        <f>IF(D182=0,"",(I182*D182*K182*G182)+(D182-D182*I182*G182))</f>
        <v>8.878656681070785E-4</v>
      </c>
      <c r="O182" s="146" t="s">
        <v>724</v>
      </c>
      <c r="P182" s="145" t="s">
        <v>701</v>
      </c>
      <c r="Q182" s="145"/>
      <c r="R182" s="101"/>
      <c r="T182" s="146" t="s">
        <v>724</v>
      </c>
      <c r="U182" s="145" t="s">
        <v>701</v>
      </c>
      <c r="V182" s="101" t="s">
        <v>932</v>
      </c>
      <c r="W182" s="283" t="s">
        <v>931</v>
      </c>
      <c r="X182" s="77" t="s">
        <v>930</v>
      </c>
    </row>
    <row r="183" spans="2:30" ht="16.5" outlineLevel="1" thickBot="1" x14ac:dyDescent="0.4">
      <c r="B183" s="147" t="s">
        <v>929</v>
      </c>
      <c r="C183" s="104">
        <f>22%*(100%-50%)*40%</f>
        <v>4.4000000000000004E-2</v>
      </c>
      <c r="D183" s="282">
        <f>C183*$D192</f>
        <v>5.9661016949152544E-4</v>
      </c>
      <c r="E183" s="101" t="s">
        <v>612</v>
      </c>
      <c r="F183" s="101"/>
      <c r="G183" s="102">
        <v>1</v>
      </c>
      <c r="H183" s="101"/>
      <c r="I183" s="145" t="e">
        <f>IF(D183=0,"",VLOOKUP(H183,'[16]From SAM'!$B$2:$C$52,2,))</f>
        <v>#N/A</v>
      </c>
      <c r="J183" s="101"/>
      <c r="K183" s="99" t="str">
        <f t="shared" si="18"/>
        <v/>
      </c>
      <c r="L183" s="100">
        <f t="shared" si="19"/>
        <v>0.1166666666666667</v>
      </c>
      <c r="M183" s="99">
        <f>D183*(1+C23)</f>
        <v>6.6621468926553672E-4</v>
      </c>
      <c r="O183" s="146" t="s">
        <v>718</v>
      </c>
      <c r="P183" s="145" t="s">
        <v>719</v>
      </c>
      <c r="Q183" s="145"/>
      <c r="R183" s="101"/>
      <c r="T183" s="146" t="s">
        <v>718</v>
      </c>
      <c r="U183" s="145" t="s">
        <v>701</v>
      </c>
      <c r="V183" s="101"/>
      <c r="W183" s="101"/>
      <c r="X183" s="77" t="s">
        <v>928</v>
      </c>
    </row>
    <row r="184" spans="2:30" ht="16.5" outlineLevel="1" thickBot="1" x14ac:dyDescent="0.4">
      <c r="B184" s="147" t="s">
        <v>927</v>
      </c>
      <c r="C184" s="104">
        <f>14%*(100%-50%)*40%</f>
        <v>2.8000000000000004E-2</v>
      </c>
      <c r="D184" s="282">
        <f>C184*$D192</f>
        <v>3.7966101694915258E-4</v>
      </c>
      <c r="E184" s="101" t="s">
        <v>613</v>
      </c>
      <c r="F184" s="101" t="s">
        <v>613</v>
      </c>
      <c r="G184" s="102">
        <v>1</v>
      </c>
      <c r="H184" s="101" t="str">
        <f>'[16]From SAM'!B24</f>
        <v>Non-metallic minerals</v>
      </c>
      <c r="I184" s="145">
        <f>IF(D184=0,"",VLOOKUP(H184,'[16]From SAM'!$B$2:$C$52,2,))</f>
        <v>0.10947716642839322</v>
      </c>
      <c r="J184" s="101" t="s">
        <v>739</v>
      </c>
      <c r="K184" s="99">
        <f t="shared" si="18"/>
        <v>1.0761099365750528</v>
      </c>
      <c r="L184" s="100">
        <f t="shared" si="19"/>
        <v>8.3323001932815721E-3</v>
      </c>
      <c r="M184" s="99">
        <f t="shared" ref="M184:M189" si="20">IF(D184=0,"",(I184*D184*K184*G184)+(D184-D184*I184*G184))</f>
        <v>3.8282446651405946E-4</v>
      </c>
      <c r="O184" s="146" t="s">
        <v>711</v>
      </c>
      <c r="P184" s="145" t="s">
        <v>710</v>
      </c>
      <c r="Q184" s="145"/>
      <c r="R184" s="101"/>
      <c r="T184" s="146" t="s">
        <v>711</v>
      </c>
      <c r="U184" s="145" t="s">
        <v>710</v>
      </c>
      <c r="V184" s="101"/>
      <c r="W184" s="101"/>
    </row>
    <row r="185" spans="2:30" ht="16.5" outlineLevel="1" thickBot="1" x14ac:dyDescent="0.4">
      <c r="B185" s="147" t="s">
        <v>926</v>
      </c>
      <c r="C185" s="104">
        <f>16.5%*(100%-50%)*40%</f>
        <v>3.3000000000000002E-2</v>
      </c>
      <c r="D185" s="282">
        <f>C185*$D192</f>
        <v>4.4745762711864408E-4</v>
      </c>
      <c r="E185" s="101" t="s">
        <v>613</v>
      </c>
      <c r="F185" s="101" t="s">
        <v>613</v>
      </c>
      <c r="G185" s="102">
        <v>1</v>
      </c>
      <c r="H185" s="101" t="str">
        <f>'[16]From SAM'!B27</f>
        <v>Basic iron and steel</v>
      </c>
      <c r="I185" s="145">
        <f>IF(D185=0,"",VLOOKUP(H185,'[16]From SAM'!$B$2:$C$52,2,))</f>
        <v>9.7044444371923971E-2</v>
      </c>
      <c r="J185" s="101" t="s">
        <v>739</v>
      </c>
      <c r="K185" s="99">
        <f t="shared" si="18"/>
        <v>1.0761099365750528</v>
      </c>
      <c r="L185" s="100">
        <f t="shared" si="19"/>
        <v>7.3860465061084124E-3</v>
      </c>
      <c r="M185" s="99">
        <f t="shared" si="20"/>
        <v>4.5076256996205531E-4</v>
      </c>
      <c r="O185" s="146" t="s">
        <v>707</v>
      </c>
      <c r="P185" s="145" t="s">
        <v>701</v>
      </c>
      <c r="Q185" s="145"/>
      <c r="R185" s="101"/>
      <c r="T185" s="146" t="s">
        <v>707</v>
      </c>
      <c r="U185" s="145" t="s">
        <v>701</v>
      </c>
      <c r="V185" s="280">
        <f>D72</f>
        <v>1.3559322033898305E-2</v>
      </c>
      <c r="W185" s="101" t="s">
        <v>919</v>
      </c>
    </row>
    <row r="186" spans="2:30" ht="16.5" outlineLevel="1" thickBot="1" x14ac:dyDescent="0.4">
      <c r="B186" s="147" t="s">
        <v>925</v>
      </c>
      <c r="C186" s="104">
        <f>15%*(100%-50%)*40%</f>
        <v>0.03</v>
      </c>
      <c r="D186" s="282">
        <f>C186*$D192</f>
        <v>4.0677966101694915E-4</v>
      </c>
      <c r="E186" s="101" t="s">
        <v>613</v>
      </c>
      <c r="F186" s="101" t="s">
        <v>613</v>
      </c>
      <c r="G186" s="102">
        <v>1</v>
      </c>
      <c r="H186" s="101" t="str">
        <f>'[16]From SAM'!B29</f>
        <v xml:space="preserve">Structural metal </v>
      </c>
      <c r="I186" s="145">
        <f>IF(D186=0,"",VLOOKUP(H186,'[16]From SAM'!$B$2:$C$52,2,))</f>
        <v>0.23534870376544167</v>
      </c>
      <c r="J186" s="101" t="s">
        <v>739</v>
      </c>
      <c r="K186" s="99">
        <f t="shared" si="18"/>
        <v>1.0761099365750528</v>
      </c>
      <c r="L186" s="100">
        <f t="shared" si="19"/>
        <v>1.7912374916608576E-2</v>
      </c>
      <c r="M186" s="99">
        <f t="shared" si="20"/>
        <v>4.1406605081353571E-4</v>
      </c>
      <c r="O186" s="146" t="s">
        <v>700</v>
      </c>
      <c r="P186" s="145" t="s">
        <v>701</v>
      </c>
      <c r="Q186" s="145"/>
      <c r="R186" s="101"/>
      <c r="T186" s="146" t="s">
        <v>700</v>
      </c>
      <c r="U186" s="145" t="s">
        <v>699</v>
      </c>
      <c r="V186" s="101"/>
      <c r="W186" s="101"/>
    </row>
    <row r="187" spans="2:30" ht="16.5" outlineLevel="1" thickBot="1" x14ac:dyDescent="0.4">
      <c r="B187" s="147" t="s">
        <v>924</v>
      </c>
      <c r="C187" s="104">
        <f>38%*40%</f>
        <v>0.15200000000000002</v>
      </c>
      <c r="D187" s="282">
        <f>C187*$D192</f>
        <v>2.0610169491525427E-3</v>
      </c>
      <c r="E187" s="101" t="s">
        <v>613</v>
      </c>
      <c r="F187" s="101" t="s">
        <v>613</v>
      </c>
      <c r="G187" s="102">
        <v>1</v>
      </c>
      <c r="H187" s="101" t="str">
        <f>'[16]From SAM'!B2</f>
        <v xml:space="preserve">Labour </v>
      </c>
      <c r="I187" s="145">
        <f>IF(D187=0,"",VLOOKUP(H187,'[16]From SAM'!$B$2:$C$52,2,))</f>
        <v>1</v>
      </c>
      <c r="J187" s="101" t="s">
        <v>739</v>
      </c>
      <c r="K187" s="99">
        <f t="shared" si="18"/>
        <v>1.0761099365750528</v>
      </c>
      <c r="L187" s="100">
        <f t="shared" si="19"/>
        <v>7.6109936575052828E-2</v>
      </c>
      <c r="M187" s="99">
        <f t="shared" si="20"/>
        <v>2.2178808184326517E-3</v>
      </c>
      <c r="O187" s="146" t="s">
        <v>697</v>
      </c>
      <c r="P187" s="145" t="s">
        <v>694</v>
      </c>
      <c r="Q187" s="145"/>
      <c r="R187" s="145" t="e">
        <f>R186/R185-1</f>
        <v>#DIV/0!</v>
      </c>
      <c r="T187" s="146" t="s">
        <v>697</v>
      </c>
      <c r="U187" s="145" t="s">
        <v>694</v>
      </c>
      <c r="V187" s="145">
        <f>V186/V185-1</f>
        <v>-1</v>
      </c>
      <c r="W187" s="101"/>
    </row>
    <row r="188" spans="2:30" ht="16.5" outlineLevel="1" thickBot="1" x14ac:dyDescent="0.4">
      <c r="B188" s="147" t="s">
        <v>923</v>
      </c>
      <c r="C188" s="104">
        <f>12%*40%</f>
        <v>4.8000000000000001E-2</v>
      </c>
      <c r="D188" s="282">
        <f>C188*$D192</f>
        <v>6.5084745762711868E-4</v>
      </c>
      <c r="E188" s="101" t="s">
        <v>613</v>
      </c>
      <c r="F188" s="101" t="s">
        <v>613</v>
      </c>
      <c r="G188" s="102">
        <v>1</v>
      </c>
      <c r="H188" s="101" t="str">
        <f>'[16]From SAM'!B31</f>
        <v>Electrical machinery</v>
      </c>
      <c r="I188" s="145">
        <f>IF(D188=0,"",VLOOKUP(H188,'[16]From SAM'!$B$2:$C$52,2,))</f>
        <v>0.13001734713264965</v>
      </c>
      <c r="J188" s="101" t="s">
        <v>739</v>
      </c>
      <c r="K188" s="99">
        <f t="shared" si="18"/>
        <v>1.0761099365750528</v>
      </c>
      <c r="L188" s="100">
        <f t="shared" si="19"/>
        <v>9.8956120439226414E-3</v>
      </c>
      <c r="M188" s="99">
        <f t="shared" si="20"/>
        <v>6.5728799156757002E-4</v>
      </c>
      <c r="O188" s="146" t="s">
        <v>695</v>
      </c>
      <c r="P188" s="145" t="s">
        <v>694</v>
      </c>
      <c r="Q188" s="145"/>
      <c r="R188" s="101"/>
      <c r="T188" s="146" t="s">
        <v>695</v>
      </c>
      <c r="U188" s="145" t="s">
        <v>694</v>
      </c>
      <c r="V188" s="101"/>
      <c r="W188" s="101"/>
    </row>
    <row r="189" spans="2:30" ht="16.5" outlineLevel="1" thickBot="1" x14ac:dyDescent="0.4">
      <c r="B189" s="147" t="s">
        <v>922</v>
      </c>
      <c r="C189" s="104">
        <v>0.15</v>
      </c>
      <c r="D189" s="282">
        <f>C189*$D192</f>
        <v>2.0338983050847458E-3</v>
      </c>
      <c r="E189" s="101" t="s">
        <v>613</v>
      </c>
      <c r="F189" s="101" t="s">
        <v>613</v>
      </c>
      <c r="G189" s="102">
        <v>1</v>
      </c>
      <c r="H189" s="101" t="str">
        <f>H187</f>
        <v xml:space="preserve">Labour </v>
      </c>
      <c r="I189" s="145">
        <f>IF(D189=0,"",VLOOKUP(H189,'[16]From SAM'!$B$2:$C$52,2,))</f>
        <v>1</v>
      </c>
      <c r="J189" s="101" t="s">
        <v>739</v>
      </c>
      <c r="K189" s="99">
        <f t="shared" si="18"/>
        <v>1.0761099365750528</v>
      </c>
      <c r="L189" s="100">
        <f t="shared" si="19"/>
        <v>7.6109936575052828E-2</v>
      </c>
      <c r="M189" s="99">
        <f t="shared" si="20"/>
        <v>2.1886981760848531E-3</v>
      </c>
    </row>
    <row r="190" spans="2:30" ht="16.5" outlineLevel="1" thickBot="1" x14ac:dyDescent="0.4">
      <c r="B190" s="147" t="s">
        <v>921</v>
      </c>
      <c r="C190" s="104">
        <v>0.2</v>
      </c>
      <c r="D190" s="282">
        <f>C190*$D192</f>
        <v>2.7118644067796612E-3</v>
      </c>
      <c r="E190" s="101" t="s">
        <v>613</v>
      </c>
      <c r="F190" s="101" t="s">
        <v>613</v>
      </c>
      <c r="G190" s="102">
        <v>2</v>
      </c>
      <c r="H190" s="101"/>
      <c r="I190" s="145" t="e">
        <f>IF(D190=0,"",VLOOKUP(H190,'[16]From SAM'!$B$2:$C$52,2,))</f>
        <v>#N/A</v>
      </c>
      <c r="J190" s="101"/>
      <c r="K190" s="99" t="str">
        <f t="shared" si="18"/>
        <v/>
      </c>
      <c r="L190" s="100">
        <f t="shared" si="19"/>
        <v>4.6887176000697472E-2</v>
      </c>
      <c r="M190" s="99">
        <f>(M189+M188+M187+M186+M185+M184+M183+M182+M191)/80%-(M189+M188+M187+M186+M185+M184+M183+M182+M191)</f>
        <v>2.8390160705103664E-3</v>
      </c>
      <c r="O190" s="159" t="s">
        <v>691</v>
      </c>
      <c r="P190" s="158" t="str">
        <f>P185</f>
        <v>US$</v>
      </c>
      <c r="Q190" s="158"/>
      <c r="R190" s="158">
        <f>R185</f>
        <v>0</v>
      </c>
    </row>
    <row r="191" spans="2:30" ht="16.5" outlineLevel="1" thickBot="1" x14ac:dyDescent="0.4">
      <c r="B191" s="147" t="s">
        <v>920</v>
      </c>
      <c r="C191" s="104">
        <v>0.25</v>
      </c>
      <c r="D191" s="282">
        <f>C191*$D192</f>
        <v>3.3898305084745762E-3</v>
      </c>
      <c r="E191" s="101" t="s">
        <v>613</v>
      </c>
      <c r="F191" s="101" t="s">
        <v>613</v>
      </c>
      <c r="G191" s="102">
        <v>3</v>
      </c>
      <c r="H191" s="101" t="str">
        <f>H188</f>
        <v>Electrical machinery</v>
      </c>
      <c r="I191" s="145">
        <f>IF(D191=0,"",VLOOKUP(H191,'[16]From SAM'!$B$2:$C$52,2,))</f>
        <v>0.13001734713264965</v>
      </c>
      <c r="J191" s="101" t="s">
        <v>739</v>
      </c>
      <c r="K191" s="99">
        <f t="shared" si="18"/>
        <v>1.0761099365750528</v>
      </c>
      <c r="L191" s="100">
        <f t="shared" si="19"/>
        <v>2.9686836131767702E-2</v>
      </c>
      <c r="M191" s="99">
        <f>IF(D191=0,"",(I191*D191*K191*G191)+(D191-D191*I191*G191))</f>
        <v>3.4904638512941277E-3</v>
      </c>
      <c r="O191" s="146"/>
      <c r="P191" s="145"/>
      <c r="Q191" s="145"/>
      <c r="R191" s="145"/>
    </row>
    <row r="192" spans="2:30" s="91" customFormat="1" ht="16.5" outlineLevel="1" thickBot="1" x14ac:dyDescent="0.4">
      <c r="B192" s="157" t="s">
        <v>690</v>
      </c>
      <c r="C192" s="156">
        <f>SUM(C182:C191)</f>
        <v>1</v>
      </c>
      <c r="D192" s="281">
        <f>R193</f>
        <v>1.3559322033898305E-2</v>
      </c>
      <c r="E192" s="101"/>
      <c r="F192" s="101"/>
      <c r="G192" s="154"/>
      <c r="H192" s="153"/>
      <c r="I192" s="145"/>
      <c r="J192" s="153"/>
      <c r="K192" s="153"/>
      <c r="L192" s="152">
        <f>M192/D192-1</f>
        <v>4.6887176000697917E-2</v>
      </c>
      <c r="M192" s="151">
        <f>SUM(M182:M191)</f>
        <v>1.4195080352551835E-2</v>
      </c>
      <c r="O192" s="146" t="s">
        <v>689</v>
      </c>
      <c r="P192" s="145" t="str">
        <f>P190</f>
        <v>US$</v>
      </c>
      <c r="Q192" s="145" t="s">
        <v>919</v>
      </c>
      <c r="R192" s="145">
        <f>V185</f>
        <v>1.3559322033898305E-2</v>
      </c>
      <c r="T192" s="77"/>
      <c r="U192" s="77"/>
      <c r="V192" s="77"/>
      <c r="W192" s="77"/>
    </row>
    <row r="193" spans="2:23" ht="16.5" outlineLevel="1" thickBot="1" x14ac:dyDescent="0.4">
      <c r="B193" s="146"/>
      <c r="C193" s="148"/>
      <c r="D193" s="147" t="s">
        <v>734</v>
      </c>
      <c r="E193" s="147"/>
      <c r="F193" s="147"/>
      <c r="G193" s="147" t="s">
        <v>734</v>
      </c>
      <c r="H193" s="147"/>
      <c r="I193" s="147"/>
      <c r="J193" s="147"/>
      <c r="K193" s="147"/>
      <c r="L193" s="145"/>
      <c r="M193" s="145"/>
      <c r="O193" s="146" t="s">
        <v>686</v>
      </c>
      <c r="P193" s="145" t="str">
        <f>P192</f>
        <v>US$</v>
      </c>
      <c r="Q193" s="145"/>
      <c r="R193" s="279">
        <f>R192</f>
        <v>1.3559322033898305E-2</v>
      </c>
      <c r="S193" s="143" t="s">
        <v>685</v>
      </c>
    </row>
    <row r="195" spans="2:23" s="167" customFormat="1" x14ac:dyDescent="0.35">
      <c r="B195" s="167" t="s">
        <v>733</v>
      </c>
      <c r="C195" s="168" t="s">
        <v>918</v>
      </c>
      <c r="D195" s="169" t="s">
        <v>732</v>
      </c>
      <c r="E195" s="170"/>
      <c r="F195" s="169"/>
      <c r="G195" s="169"/>
      <c r="H195" s="169" t="s">
        <v>917</v>
      </c>
      <c r="I195" s="169"/>
      <c r="J195" s="169"/>
      <c r="K195" s="169"/>
      <c r="L195" s="169"/>
      <c r="N195" s="169" t="s">
        <v>731</v>
      </c>
      <c r="O195" s="168"/>
    </row>
    <row r="196" spans="2:23" ht="16.5" thickBot="1" x14ac:dyDescent="0.4"/>
    <row r="197" spans="2:23" s="166" customFormat="1" ht="48" thickBot="1" x14ac:dyDescent="0.25">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x14ac:dyDescent="0.4">
      <c r="B198" s="277" t="s">
        <v>915</v>
      </c>
      <c r="C198" s="276">
        <v>0.6</v>
      </c>
      <c r="D198" s="99">
        <f>C198*$D207</f>
        <v>3.8249430812041484E-2</v>
      </c>
      <c r="E198" s="101" t="s">
        <v>613</v>
      </c>
      <c r="F198" s="101" t="s">
        <v>613</v>
      </c>
      <c r="G198" s="102">
        <v>1</v>
      </c>
      <c r="H198" s="101" t="str">
        <f>'[16]From SAM'!B27</f>
        <v>Basic iron and steel</v>
      </c>
      <c r="I198" s="145">
        <f>IF(D198=0,"",VLOOKUP(H198,'[16]From SAM'!$B$2:$C$52,2,))</f>
        <v>9.7044444371923971E-2</v>
      </c>
      <c r="J198" s="101" t="s">
        <v>712</v>
      </c>
      <c r="K198" s="99">
        <f t="shared" ref="K198:K206" si="21">IF(J198="E",$E$33,IF(J198="C",$E$28,""))</f>
        <v>2.4354066985645932</v>
      </c>
      <c r="L198" s="100">
        <f t="shared" ref="L198:L206" si="22">IF(M198="","",M198/D198-1)</f>
        <v>0.13929824550993875</v>
      </c>
      <c r="M198" s="99">
        <f>IF(D198=0,"",(I198*D198*K198*G198)+(D198-D198*I198*G198))</f>
        <v>4.3577509415912652E-2</v>
      </c>
      <c r="O198" s="146" t="s">
        <v>724</v>
      </c>
      <c r="P198" s="145" t="s">
        <v>701</v>
      </c>
      <c r="Q198" s="145"/>
      <c r="R198" s="101"/>
      <c r="T198" s="146" t="s">
        <v>724</v>
      </c>
      <c r="U198" s="145" t="s">
        <v>701</v>
      </c>
      <c r="V198" s="101"/>
      <c r="W198" s="101"/>
    </row>
    <row r="199" spans="2:23" ht="16.5" thickBot="1" x14ac:dyDescent="0.4">
      <c r="B199" s="277" t="s">
        <v>914</v>
      </c>
      <c r="C199" s="276">
        <v>0.3</v>
      </c>
      <c r="D199" s="99">
        <f>C199*$D207</f>
        <v>1.9124715406020742E-2</v>
      </c>
      <c r="E199" s="101" t="s">
        <v>612</v>
      </c>
      <c r="F199" s="101" t="s">
        <v>613</v>
      </c>
      <c r="G199" s="102"/>
      <c r="H199" s="101"/>
      <c r="I199" s="145"/>
      <c r="J199" s="101"/>
      <c r="K199" s="99" t="str">
        <f t="shared" si="21"/>
        <v/>
      </c>
      <c r="L199" s="100">
        <f t="shared" si="22"/>
        <v>0.1166666666666667</v>
      </c>
      <c r="M199" s="99">
        <f>D199*(1+C23)</f>
        <v>2.135593220338983E-2</v>
      </c>
      <c r="O199" s="146" t="s">
        <v>718</v>
      </c>
      <c r="P199" s="145" t="s">
        <v>719</v>
      </c>
      <c r="Q199" s="145"/>
      <c r="R199" s="101"/>
      <c r="T199" s="146" t="s">
        <v>718</v>
      </c>
      <c r="U199" s="145" t="s">
        <v>701</v>
      </c>
      <c r="V199" s="101"/>
      <c r="W199" s="101"/>
    </row>
    <row r="200" spans="2:23" ht="16.5" thickBot="1" x14ac:dyDescent="0.4">
      <c r="B200" s="277" t="s">
        <v>913</v>
      </c>
      <c r="C200" s="276">
        <v>0.05</v>
      </c>
      <c r="D200" s="99">
        <f>C200*$D207</f>
        <v>3.1874525676701239E-3</v>
      </c>
      <c r="E200" s="101" t="s">
        <v>613</v>
      </c>
      <c r="F200" s="101" t="s">
        <v>613</v>
      </c>
      <c r="G200" s="102">
        <v>1</v>
      </c>
      <c r="H200" s="101" t="str">
        <f>'[16]From SAM'!B27</f>
        <v>Basic iron and steel</v>
      </c>
      <c r="I200" s="145">
        <f>IF(D200=0,"",VLOOKUP(H200,'[16]From SAM'!$B$2:$C$52,2,))</f>
        <v>9.7044444371923971E-2</v>
      </c>
      <c r="J200" s="101" t="s">
        <v>712</v>
      </c>
      <c r="K200" s="99">
        <f t="shared" si="21"/>
        <v>2.4354066985645932</v>
      </c>
      <c r="L200" s="100">
        <f t="shared" si="22"/>
        <v>0.13929824550993875</v>
      </c>
      <c r="M200" s="99">
        <f t="shared" ref="M200:M206" si="23">IF(D200=0,"",(I200*D200*K200*G200)+(D200-D200*I200*G200))</f>
        <v>3.6314591179927216E-3</v>
      </c>
      <c r="O200" s="146" t="s">
        <v>711</v>
      </c>
      <c r="P200" s="145" t="s">
        <v>710</v>
      </c>
      <c r="Q200" s="145"/>
      <c r="R200" s="101"/>
      <c r="T200" s="146" t="s">
        <v>711</v>
      </c>
      <c r="U200" s="145" t="s">
        <v>710</v>
      </c>
      <c r="V200" s="101"/>
      <c r="W200" s="101"/>
    </row>
    <row r="201" spans="2:23" ht="16.5" thickBot="1" x14ac:dyDescent="0.4">
      <c r="B201" s="277" t="s">
        <v>912</v>
      </c>
      <c r="C201" s="276">
        <v>0.05</v>
      </c>
      <c r="D201" s="99">
        <f>C201*$D207</f>
        <v>3.1874525676701239E-3</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7.7627433346607322E-3</v>
      </c>
      <c r="O201" s="146" t="s">
        <v>707</v>
      </c>
      <c r="P201" s="145" t="s">
        <v>701</v>
      </c>
      <c r="Q201" s="145"/>
      <c r="R201" s="101"/>
      <c r="T201" s="146" t="s">
        <v>707</v>
      </c>
      <c r="U201" s="145" t="s">
        <v>701</v>
      </c>
      <c r="V201" s="280">
        <f>D73</f>
        <v>7.1186440677966104E-2</v>
      </c>
      <c r="W201" s="101"/>
    </row>
    <row r="202" spans="2:23" ht="16.5" thickBot="1" x14ac:dyDescent="0.4">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x14ac:dyDescent="0.4">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x14ac:dyDescent="0.4">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23" ht="16.5" thickBot="1" x14ac:dyDescent="0.4">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23" ht="16.5" thickBot="1" x14ac:dyDescent="0.4">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x14ac:dyDescent="0.4">
      <c r="B207" s="157" t="s">
        <v>690</v>
      </c>
      <c r="C207" s="156">
        <f>SUM(C198:C206)</f>
        <v>1</v>
      </c>
      <c r="D207" s="151">
        <f>R208</f>
        <v>6.3749051353402475E-2</v>
      </c>
      <c r="E207" s="101"/>
      <c r="F207" s="101"/>
      <c r="G207" s="154"/>
      <c r="H207" s="153"/>
      <c r="I207" s="145"/>
      <c r="J207" s="153"/>
      <c r="K207" s="153"/>
      <c r="L207" s="152">
        <f>M207/D207-1</f>
        <v>0.19731419450968968</v>
      </c>
      <c r="M207" s="151">
        <f>SUM(M198:M206)</f>
        <v>7.6327644071955927E-2</v>
      </c>
      <c r="O207" s="146" t="s">
        <v>689</v>
      </c>
      <c r="P207" s="145" t="str">
        <f>P206</f>
        <v>US$</v>
      </c>
      <c r="Q207" s="145"/>
      <c r="R207" s="145">
        <f>V201</f>
        <v>7.1186440677966104E-2</v>
      </c>
      <c r="T207" s="77"/>
      <c r="U207" s="77"/>
      <c r="V207" s="77"/>
      <c r="W207" s="77"/>
    </row>
    <row r="208" spans="2:23" ht="16.5" thickBot="1" x14ac:dyDescent="0.4">
      <c r="B208" s="146"/>
      <c r="C208" s="148"/>
      <c r="D208" s="147" t="s">
        <v>734</v>
      </c>
      <c r="E208" s="147"/>
      <c r="F208" s="147"/>
      <c r="G208" s="147" t="s">
        <v>734</v>
      </c>
      <c r="H208" s="147"/>
      <c r="I208" s="147"/>
      <c r="J208" s="147"/>
      <c r="K208" s="147"/>
      <c r="L208" s="145"/>
      <c r="M208" s="145"/>
      <c r="O208" s="146" t="s">
        <v>686</v>
      </c>
      <c r="P208" s="145" t="str">
        <f>P207</f>
        <v>US$</v>
      </c>
      <c r="Q208" s="145"/>
      <c r="R208" s="279">
        <f>R207/(1+$C$23)</f>
        <v>6.3749051353402475E-2</v>
      </c>
      <c r="S208" s="143" t="s">
        <v>911</v>
      </c>
    </row>
    <row r="219" spans="1:15" ht="27.75" x14ac:dyDescent="0.55000000000000004">
      <c r="B219" s="114" t="s">
        <v>646</v>
      </c>
    </row>
    <row r="220" spans="1:15" x14ac:dyDescent="0.35">
      <c r="B220" s="77" t="s">
        <v>645</v>
      </c>
    </row>
    <row r="222" spans="1:15" ht="16.5" thickBot="1" x14ac:dyDescent="0.4"/>
    <row r="223" spans="1:15" ht="48" thickBot="1" x14ac:dyDescent="0.4">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5" ht="16.5" thickBot="1" x14ac:dyDescent="0.4">
      <c r="A224" s="91" t="str">
        <f>C79</f>
        <v>Solar cell</v>
      </c>
      <c r="B224" s="277" t="str">
        <f t="shared" ref="B224:G227" si="24">B82</f>
        <v>Silicon</v>
      </c>
      <c r="C224" s="276">
        <f t="shared" si="24"/>
        <v>0.22499999999999998</v>
      </c>
      <c r="D224" s="99">
        <f t="shared" si="24"/>
        <v>3.2624999999999994E-2</v>
      </c>
      <c r="E224" s="101" t="str">
        <f t="shared" si="24"/>
        <v>N</v>
      </c>
      <c r="F224" s="101" t="str">
        <f t="shared" si="24"/>
        <v>Y</v>
      </c>
      <c r="G224" s="102">
        <f t="shared" si="24"/>
        <v>0</v>
      </c>
      <c r="H224" s="164" t="s">
        <v>892</v>
      </c>
      <c r="I224" s="145" t="str">
        <f t="shared" ref="I224:M227" si="25">I82</f>
        <v/>
      </c>
      <c r="J224" s="101">
        <f t="shared" si="25"/>
        <v>0</v>
      </c>
      <c r="K224" s="99" t="str">
        <f t="shared" si="25"/>
        <v/>
      </c>
      <c r="L224" s="100">
        <f t="shared" si="25"/>
        <v>0.1166666666666667</v>
      </c>
      <c r="M224" s="99">
        <f t="shared" si="25"/>
        <v>3.6431249999999991E-2</v>
      </c>
      <c r="N224" s="77" t="s">
        <v>892</v>
      </c>
    </row>
    <row r="225" spans="1:16" ht="16.5" thickBot="1" x14ac:dyDescent="0.4">
      <c r="A225" s="91"/>
      <c r="B225" s="277" t="str">
        <f t="shared" si="24"/>
        <v>Wafer processing</v>
      </c>
      <c r="C225" s="276">
        <f t="shared" si="24"/>
        <v>0.36874999999999997</v>
      </c>
      <c r="D225" s="99">
        <f t="shared" si="24"/>
        <v>5.3468749999999989E-2</v>
      </c>
      <c r="E225" s="101" t="str">
        <f t="shared" si="24"/>
        <v>Y</v>
      </c>
      <c r="F225" s="101" t="str">
        <f t="shared" si="24"/>
        <v>N</v>
      </c>
      <c r="G225" s="102">
        <f t="shared" si="24"/>
        <v>1</v>
      </c>
      <c r="H225" s="164" t="s">
        <v>892</v>
      </c>
      <c r="I225" s="145">
        <f t="shared" si="25"/>
        <v>9.7535709521338151E-2</v>
      </c>
      <c r="J225" s="101">
        <f t="shared" si="25"/>
        <v>0</v>
      </c>
      <c r="K225" s="99" t="str">
        <f t="shared" si="25"/>
        <v/>
      </c>
      <c r="L225" s="100">
        <f t="shared" si="25"/>
        <v>0</v>
      </c>
      <c r="M225" s="99">
        <f t="shared" si="25"/>
        <v>5.3468749999999989E-2</v>
      </c>
      <c r="N225" s="77" t="s">
        <v>892</v>
      </c>
      <c r="O225" s="77" t="s">
        <v>908</v>
      </c>
    </row>
    <row r="226" spans="1:16" ht="16.5" thickBot="1" x14ac:dyDescent="0.4">
      <c r="A226" s="91"/>
      <c r="B226" s="277" t="str">
        <f t="shared" si="24"/>
        <v>Metalzation</v>
      </c>
      <c r="C226" s="276">
        <f t="shared" si="24"/>
        <v>0.10625000000000001</v>
      </c>
      <c r="D226" s="99">
        <f t="shared" si="24"/>
        <v>1.540625E-2</v>
      </c>
      <c r="E226" s="101" t="str">
        <f t="shared" si="24"/>
        <v>Y</v>
      </c>
      <c r="F226" s="101" t="str">
        <f t="shared" si="24"/>
        <v>N</v>
      </c>
      <c r="G226" s="102">
        <f t="shared" si="24"/>
        <v>1</v>
      </c>
      <c r="H226" s="164" t="s">
        <v>892</v>
      </c>
      <c r="I226" s="145">
        <f t="shared" si="25"/>
        <v>9.7535709521338151E-2</v>
      </c>
      <c r="J226" s="101">
        <f t="shared" si="25"/>
        <v>0</v>
      </c>
      <c r="K226" s="99" t="str">
        <f t="shared" si="25"/>
        <v/>
      </c>
      <c r="L226" s="100">
        <f t="shared" si="25"/>
        <v>0</v>
      </c>
      <c r="M226" s="99">
        <f t="shared" si="25"/>
        <v>1.540625E-2</v>
      </c>
      <c r="N226" s="77" t="s">
        <v>892</v>
      </c>
    </row>
    <row r="227" spans="1:16" ht="16.5" thickBot="1" x14ac:dyDescent="0.4">
      <c r="A227" s="91"/>
      <c r="B227" s="277" t="str">
        <f t="shared" si="24"/>
        <v xml:space="preserve">remaining cost </v>
      </c>
      <c r="C227" s="276">
        <f t="shared" si="24"/>
        <v>0.3</v>
      </c>
      <c r="D227" s="99">
        <f t="shared" si="24"/>
        <v>4.3499999999999997E-2</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6" ht="16.5" thickBot="1" x14ac:dyDescent="0.4">
      <c r="A228" s="91" t="str">
        <f>C94</f>
        <v>PV module - using locally produced cell</v>
      </c>
    </row>
    <row r="229" spans="1:16" ht="16.5" thickBot="1" x14ac:dyDescent="0.4">
      <c r="A229" s="91"/>
      <c r="B229" s="277" t="str">
        <f t="shared" ref="B229:L229" si="26">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6" ht="16.5" thickBot="1" x14ac:dyDescent="0.4">
      <c r="A230" s="91"/>
      <c r="B230" s="277" t="str">
        <f t="shared" ref="B230:L230" si="27">B98</f>
        <v>Glass</v>
      </c>
      <c r="C230" s="276">
        <f t="shared" si="27"/>
        <v>6.7961165048543687E-2</v>
      </c>
      <c r="D230" s="99">
        <f t="shared" si="27"/>
        <v>1.5631067961165049E-2</v>
      </c>
      <c r="E230" s="101" t="str">
        <f t="shared" si="27"/>
        <v>Y</v>
      </c>
      <c r="F230" s="101" t="str">
        <f t="shared" si="27"/>
        <v>Y</v>
      </c>
      <c r="G230" s="102">
        <f t="shared" si="27"/>
        <v>1</v>
      </c>
      <c r="H230" s="101" t="str">
        <f t="shared" si="27"/>
        <v>Electrical machinery</v>
      </c>
      <c r="I230" s="145">
        <f t="shared" si="27"/>
        <v>0.13001734713264965</v>
      </c>
      <c r="J230" s="101" t="str">
        <f t="shared" si="27"/>
        <v>C</v>
      </c>
      <c r="K230" s="99">
        <f t="shared" si="27"/>
        <v>2.4354066985645932</v>
      </c>
      <c r="L230" s="100">
        <f t="shared" si="27"/>
        <v>0.18662777100380334</v>
      </c>
      <c r="M230" s="99">
        <f t="shared" ref="M230:M236" si="28">M98</f>
        <v>1.8548259333166246E-2</v>
      </c>
    </row>
    <row r="231" spans="1:16" ht="16.5" thickBot="1" x14ac:dyDescent="0.4">
      <c r="A231" s="91"/>
      <c r="B231" s="277" t="str">
        <f t="shared" ref="B231:G236" si="29">B99</f>
        <v>Al frame</v>
      </c>
      <c r="C231" s="276">
        <f t="shared" si="29"/>
        <v>5.8252427184466021E-2</v>
      </c>
      <c r="D231" s="99">
        <f t="shared" si="29"/>
        <v>1.3398058252427186E-2</v>
      </c>
      <c r="E231" s="101" t="str">
        <f t="shared" si="29"/>
        <v>Y</v>
      </c>
      <c r="F231" s="101" t="str">
        <f t="shared" si="29"/>
        <v>Y</v>
      </c>
      <c r="G231" s="102">
        <f t="shared" si="29"/>
        <v>0.65</v>
      </c>
      <c r="H231" s="164" t="s">
        <v>877</v>
      </c>
      <c r="I231" s="145">
        <f t="shared" ref="I231:L236" si="30">I99</f>
        <v>0.23534870376544167</v>
      </c>
      <c r="J231" s="101" t="str">
        <f t="shared" si="30"/>
        <v>C</v>
      </c>
      <c r="K231" s="99">
        <f t="shared" si="30"/>
        <v>2.4354066985645932</v>
      </c>
      <c r="L231" s="100">
        <f t="shared" si="30"/>
        <v>0.21958371882421579</v>
      </c>
      <c r="M231" s="99">
        <f t="shared" si="28"/>
        <v>1.6340053708518622E-2</v>
      </c>
      <c r="N231" s="278" t="s">
        <v>877</v>
      </c>
      <c r="O231" s="278" t="s">
        <v>906</v>
      </c>
    </row>
    <row r="232" spans="1:16" ht="16.5" thickBot="1" x14ac:dyDescent="0.4">
      <c r="A232" s="91"/>
      <c r="B232" s="277" t="str">
        <f t="shared" si="29"/>
        <v>EVA</v>
      </c>
      <c r="C232" s="276">
        <f t="shared" si="29"/>
        <v>4.8543689320388349E-2</v>
      </c>
      <c r="D232" s="99">
        <f t="shared" si="29"/>
        <v>1.1165048543689321E-2</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0.1166666666666667</v>
      </c>
      <c r="M232" s="99">
        <f t="shared" si="28"/>
        <v>1.2467637540453077E-2</v>
      </c>
      <c r="N232" s="77" t="s">
        <v>892</v>
      </c>
      <c r="O232" s="77" t="s">
        <v>905</v>
      </c>
      <c r="P232" s="77" t="s">
        <v>904</v>
      </c>
    </row>
    <row r="233" spans="1:16" ht="16.5" thickBot="1" x14ac:dyDescent="0.4">
      <c r="A233" s="91"/>
      <c r="B233" s="277" t="str">
        <f t="shared" si="29"/>
        <v>Backsheets</v>
      </c>
      <c r="C233" s="276">
        <f t="shared" si="29"/>
        <v>3.8834951456310676E-2</v>
      </c>
      <c r="D233" s="99">
        <f t="shared" si="29"/>
        <v>8.9320388349514567E-3</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0.1166666666666667</v>
      </c>
      <c r="M233" s="99">
        <f t="shared" si="28"/>
        <v>9.9741100323624595E-3</v>
      </c>
      <c r="N233" s="77" t="s">
        <v>892</v>
      </c>
      <c r="O233" s="77" t="s">
        <v>903</v>
      </c>
    </row>
    <row r="234" spans="1:16" ht="16.5" thickBot="1" x14ac:dyDescent="0.4">
      <c r="A234" s="91"/>
      <c r="B234" s="277" t="str">
        <f t="shared" si="29"/>
        <v>Tabbing</v>
      </c>
      <c r="C234" s="276">
        <f t="shared" si="29"/>
        <v>3.8834951456310676E-2</v>
      </c>
      <c r="D234" s="99">
        <f t="shared" si="29"/>
        <v>8.9320388349514567E-3</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0.1166666666666667</v>
      </c>
      <c r="M234" s="99">
        <f t="shared" si="28"/>
        <v>9.9741100323624595E-3</v>
      </c>
      <c r="N234" s="77" t="s">
        <v>892</v>
      </c>
      <c r="O234" s="77" t="s">
        <v>902</v>
      </c>
      <c r="P234" s="77" t="s">
        <v>901</v>
      </c>
    </row>
    <row r="235" spans="1:16" ht="16.5" thickBot="1" x14ac:dyDescent="0.4">
      <c r="A235" s="91"/>
      <c r="B235" s="277" t="str">
        <f t="shared" si="29"/>
        <v>Junction box</v>
      </c>
      <c r="C235" s="276">
        <f t="shared" si="29"/>
        <v>3.8834951456310676E-2</v>
      </c>
      <c r="D235" s="99">
        <f t="shared" si="29"/>
        <v>8.9320388349514567E-3</v>
      </c>
      <c r="E235" s="101" t="str">
        <f t="shared" si="29"/>
        <v>Y</v>
      </c>
      <c r="F235" s="101" t="str">
        <f t="shared" si="29"/>
        <v>Y</v>
      </c>
      <c r="G235" s="102">
        <f t="shared" si="29"/>
        <v>1</v>
      </c>
      <c r="H235" s="101" t="str">
        <f>H103</f>
        <v>Electrical machinery</v>
      </c>
      <c r="I235" s="145">
        <f t="shared" si="30"/>
        <v>0.13001734713264965</v>
      </c>
      <c r="J235" s="101" t="str">
        <f t="shared" si="30"/>
        <v>C</v>
      </c>
      <c r="K235" s="99">
        <f t="shared" si="30"/>
        <v>2.4354066985645932</v>
      </c>
      <c r="L235" s="100">
        <f t="shared" si="30"/>
        <v>0.18662777100380334</v>
      </c>
      <c r="M235" s="99">
        <f t="shared" si="28"/>
        <v>1.0599005333237856E-2</v>
      </c>
    </row>
    <row r="236" spans="1:16" ht="16.5" thickBot="1" x14ac:dyDescent="0.4">
      <c r="A236" s="91"/>
      <c r="B236" s="277" t="str">
        <f t="shared" si="29"/>
        <v xml:space="preserve">Non material costs </v>
      </c>
      <c r="C236" s="276">
        <f t="shared" si="29"/>
        <v>0.17475728155339806</v>
      </c>
      <c r="D236" s="99">
        <f t="shared" si="29"/>
        <v>4.0194174757281556E-2</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9.7889162447159381E-2</v>
      </c>
    </row>
    <row r="237" spans="1:16" ht="16.5" thickBot="1" x14ac:dyDescent="0.4">
      <c r="A237" s="91" t="str">
        <f>SAREM_PV!C110</f>
        <v>PV module - using imported cell</v>
      </c>
    </row>
    <row r="238" spans="1:16" ht="16.5" thickBot="1" x14ac:dyDescent="0.4">
      <c r="A238" s="91"/>
      <c r="B238" s="277" t="str">
        <f t="shared" ref="B238:G245" si="31">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ref="I238:M245" si="32">I113</f>
        <v>0</v>
      </c>
      <c r="J238" s="101">
        <f t="shared" si="32"/>
        <v>0</v>
      </c>
      <c r="K238" s="99">
        <f t="shared" si="32"/>
        <v>0</v>
      </c>
      <c r="L238" s="100">
        <f t="shared" si="32"/>
        <v>0.31837285902503276</v>
      </c>
      <c r="M238" s="99">
        <f t="shared" si="32"/>
        <v>0.16191666666666665</v>
      </c>
      <c r="O238" s="77" t="s">
        <v>900</v>
      </c>
    </row>
    <row r="239" spans="1:16" ht="16.5" thickBot="1" x14ac:dyDescent="0.4">
      <c r="A239" s="91"/>
      <c r="B239" s="277" t="str">
        <f t="shared" si="31"/>
        <v>Glass</v>
      </c>
      <c r="C239" s="276">
        <f t="shared" si="31"/>
        <v>6.7961165048543687E-2</v>
      </c>
      <c r="D239" s="99">
        <f t="shared" si="31"/>
        <v>1.5631067961165049E-2</v>
      </c>
      <c r="E239" s="101" t="str">
        <f t="shared" si="31"/>
        <v>Y</v>
      </c>
      <c r="F239" s="101" t="str">
        <f t="shared" si="31"/>
        <v>Y</v>
      </c>
      <c r="G239" s="102">
        <f t="shared" si="31"/>
        <v>1</v>
      </c>
      <c r="H239" s="101" t="str">
        <f>H114</f>
        <v>Electrical machinery</v>
      </c>
      <c r="I239" s="145">
        <f t="shared" si="32"/>
        <v>0.13001734713264965</v>
      </c>
      <c r="J239" s="101" t="str">
        <f t="shared" si="32"/>
        <v>C</v>
      </c>
      <c r="K239" s="99">
        <f t="shared" si="32"/>
        <v>2.4354066985645932</v>
      </c>
      <c r="L239" s="100">
        <f t="shared" si="32"/>
        <v>0.18662777100380334</v>
      </c>
      <c r="M239" s="99">
        <f t="shared" si="32"/>
        <v>1.8548259333166246E-2</v>
      </c>
    </row>
    <row r="240" spans="1:16" ht="16.5" thickBot="1" x14ac:dyDescent="0.4">
      <c r="A240" s="91"/>
      <c r="B240" s="277" t="str">
        <f t="shared" si="31"/>
        <v>Al frame</v>
      </c>
      <c r="C240" s="276">
        <f t="shared" si="31"/>
        <v>5.8252427184466021E-2</v>
      </c>
      <c r="D240" s="99">
        <f t="shared" si="31"/>
        <v>1.3398058252427186E-2</v>
      </c>
      <c r="E240" s="101" t="str">
        <f t="shared" si="31"/>
        <v>Y</v>
      </c>
      <c r="F240" s="101" t="str">
        <f t="shared" si="31"/>
        <v>Y</v>
      </c>
      <c r="G240" s="102">
        <f t="shared" si="31"/>
        <v>0.65</v>
      </c>
      <c r="H240" s="164" t="s">
        <v>877</v>
      </c>
      <c r="I240" s="145">
        <f t="shared" si="32"/>
        <v>0.23534870376544167</v>
      </c>
      <c r="J240" s="101" t="str">
        <f t="shared" si="32"/>
        <v>C</v>
      </c>
      <c r="K240" s="99">
        <f t="shared" si="32"/>
        <v>2.4354066985645932</v>
      </c>
      <c r="L240" s="100">
        <f t="shared" si="32"/>
        <v>0.21958371882421579</v>
      </c>
      <c r="M240" s="99">
        <f t="shared" si="32"/>
        <v>1.6340053708518622E-2</v>
      </c>
      <c r="N240" s="77" t="s">
        <v>877</v>
      </c>
    </row>
    <row r="241" spans="1:15" ht="16.5" thickBot="1" x14ac:dyDescent="0.4">
      <c r="A241" s="91"/>
      <c r="B241" s="277" t="str">
        <f t="shared" si="31"/>
        <v>EVA</v>
      </c>
      <c r="C241" s="276">
        <f t="shared" si="31"/>
        <v>4.8543689320388349E-2</v>
      </c>
      <c r="D241" s="99">
        <f t="shared" si="31"/>
        <v>1.1165048543689321E-2</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0.1166666666666667</v>
      </c>
      <c r="M241" s="99">
        <f t="shared" si="32"/>
        <v>1.2467637540453077E-2</v>
      </c>
      <c r="N241" s="77" t="s">
        <v>892</v>
      </c>
      <c r="O241" s="77" t="s">
        <v>900</v>
      </c>
    </row>
    <row r="242" spans="1:15" ht="16.5" thickBot="1" x14ac:dyDescent="0.4">
      <c r="A242" s="91"/>
      <c r="B242" s="277" t="str">
        <f t="shared" si="31"/>
        <v>Backsheets</v>
      </c>
      <c r="C242" s="276">
        <f t="shared" si="31"/>
        <v>3.8834951456310676E-2</v>
      </c>
      <c r="D242" s="99">
        <f t="shared" si="31"/>
        <v>8.9320388349514567E-3</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0.1166666666666667</v>
      </c>
      <c r="M242" s="99">
        <f t="shared" si="32"/>
        <v>9.9741100323624595E-3</v>
      </c>
      <c r="N242" s="77" t="s">
        <v>892</v>
      </c>
      <c r="O242" s="77" t="s">
        <v>900</v>
      </c>
    </row>
    <row r="243" spans="1:15" ht="16.5" thickBot="1" x14ac:dyDescent="0.4">
      <c r="A243" s="91"/>
      <c r="B243" s="277" t="str">
        <f t="shared" si="31"/>
        <v>Tabbing</v>
      </c>
      <c r="C243" s="276">
        <f t="shared" si="31"/>
        <v>3.8834951456310676E-2</v>
      </c>
      <c r="D243" s="99">
        <f t="shared" si="31"/>
        <v>8.9320388349514567E-3</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0.1166666666666667</v>
      </c>
      <c r="M243" s="99">
        <f t="shared" si="32"/>
        <v>9.9741100323624595E-3</v>
      </c>
      <c r="N243" s="77" t="s">
        <v>892</v>
      </c>
      <c r="O243" s="77" t="s">
        <v>900</v>
      </c>
    </row>
    <row r="244" spans="1:15" ht="16.5" thickBot="1" x14ac:dyDescent="0.4">
      <c r="A244" s="91"/>
      <c r="B244" s="277" t="str">
        <f t="shared" si="31"/>
        <v>Junction box</v>
      </c>
      <c r="C244" s="276">
        <f t="shared" si="31"/>
        <v>3.8834951456310676E-2</v>
      </c>
      <c r="D244" s="99">
        <f t="shared" si="31"/>
        <v>8.9320388349514567E-3</v>
      </c>
      <c r="E244" s="101" t="str">
        <f t="shared" si="31"/>
        <v>Y</v>
      </c>
      <c r="F244" s="101" t="str">
        <f t="shared" si="31"/>
        <v>Y</v>
      </c>
      <c r="G244" s="102">
        <f t="shared" si="31"/>
        <v>1</v>
      </c>
      <c r="H244" s="164" t="s">
        <v>892</v>
      </c>
      <c r="I244" s="145">
        <f t="shared" si="32"/>
        <v>0.12138980230577215</v>
      </c>
      <c r="J244" s="101" t="str">
        <f t="shared" si="32"/>
        <v>C</v>
      </c>
      <c r="K244" s="99">
        <f t="shared" si="32"/>
        <v>2.4354066985645932</v>
      </c>
      <c r="L244" s="100">
        <f t="shared" si="32"/>
        <v>0.17424373536713711</v>
      </c>
      <c r="M244" s="99">
        <f t="shared" si="32"/>
        <v>1.0488390645997729E-2</v>
      </c>
      <c r="N244" s="77" t="s">
        <v>892</v>
      </c>
      <c r="O244" s="77" t="s">
        <v>899</v>
      </c>
    </row>
    <row r="245" spans="1:15" ht="16.5" thickBot="1" x14ac:dyDescent="0.4">
      <c r="A245" s="91"/>
      <c r="B245" s="277" t="str">
        <f t="shared" si="31"/>
        <v xml:space="preserve">Non material costs </v>
      </c>
      <c r="C245" s="276">
        <f t="shared" si="31"/>
        <v>0.17475728155339806</v>
      </c>
      <c r="D245" s="99">
        <f t="shared" si="31"/>
        <v>4.0194174757281556E-2</v>
      </c>
      <c r="E245" s="101" t="str">
        <f t="shared" si="31"/>
        <v>Y</v>
      </c>
      <c r="F245" s="101" t="str">
        <f t="shared" si="31"/>
        <v>Y</v>
      </c>
      <c r="G245" s="102">
        <f t="shared" si="31"/>
        <v>1</v>
      </c>
      <c r="H245" s="164" t="s">
        <v>603</v>
      </c>
      <c r="I245" s="145">
        <f t="shared" si="32"/>
        <v>0.30557059589154911</v>
      </c>
      <c r="J245" s="101" t="str">
        <f t="shared" si="32"/>
        <v>C</v>
      </c>
      <c r="K245" s="99">
        <f t="shared" si="32"/>
        <v>2.4354066985645932</v>
      </c>
      <c r="L245" s="100">
        <f t="shared" si="32"/>
        <v>0.43861808022710402</v>
      </c>
      <c r="M245" s="99">
        <f t="shared" si="32"/>
        <v>5.7824066525633114E-2</v>
      </c>
      <c r="N245" s="77" t="s">
        <v>608</v>
      </c>
      <c r="O245" s="77" t="s">
        <v>898</v>
      </c>
    </row>
    <row r="246" spans="1:15" ht="16.5" thickBot="1" x14ac:dyDescent="0.4">
      <c r="A246" s="91" t="str">
        <f>SAREM_PV!C124</f>
        <v>Mounting hardware</v>
      </c>
    </row>
    <row r="247" spans="1:15" ht="16.5" thickBot="1" x14ac:dyDescent="0.4">
      <c r="A247" s="91"/>
      <c r="B247" s="277" t="str">
        <f t="shared" ref="B247:G247" si="33">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0.23534870376544167</v>
      </c>
      <c r="J247" s="101" t="str">
        <f>J127</f>
        <v>US</v>
      </c>
      <c r="K247" s="99">
        <f>K127</f>
        <v>1.928030303030303</v>
      </c>
      <c r="L247" s="100">
        <f>L127</f>
        <v>0.21841072887323176</v>
      </c>
      <c r="M247" s="99">
        <f>M127</f>
        <v>0.17370024647329457</v>
      </c>
      <c r="N247" s="278"/>
      <c r="O247" s="278"/>
    </row>
    <row r="248" spans="1:15" ht="16.5" thickBot="1" x14ac:dyDescent="0.4">
      <c r="A248" s="91" t="str">
        <f>SAREM_PV!C164</f>
        <v xml:space="preserve">Inverter - central </v>
      </c>
    </row>
    <row r="249" spans="1:15" ht="16.5" thickBot="1" x14ac:dyDescent="0.4">
      <c r="A249" s="91"/>
      <c r="B249" s="277" t="str">
        <f t="shared" ref="B249:M249" si="34">B167</f>
        <v>Magnetics and Transformers</v>
      </c>
      <c r="C249" s="276">
        <f t="shared" si="34"/>
        <v>0.32</v>
      </c>
      <c r="D249" s="99">
        <f t="shared" si="34"/>
        <v>2.0313043478260871E-2</v>
      </c>
      <c r="E249" s="101" t="str">
        <f t="shared" si="34"/>
        <v>Y</v>
      </c>
      <c r="F249" s="101">
        <f t="shared" si="34"/>
        <v>0</v>
      </c>
      <c r="G249" s="102">
        <f t="shared" si="34"/>
        <v>1</v>
      </c>
      <c r="H249" s="101" t="str">
        <f t="shared" si="34"/>
        <v>Electrical machinery</v>
      </c>
      <c r="I249" s="145">
        <f t="shared" si="34"/>
        <v>0.13001734713264965</v>
      </c>
      <c r="J249" s="101" t="str">
        <f t="shared" si="34"/>
        <v>US</v>
      </c>
      <c r="K249" s="99">
        <f t="shared" si="34"/>
        <v>1.928030303030303</v>
      </c>
      <c r="L249" s="100">
        <f t="shared" si="34"/>
        <v>0.12066003805870906</v>
      </c>
      <c r="M249" s="99">
        <f t="shared" si="34"/>
        <v>2.2764016077436038E-2</v>
      </c>
    </row>
    <row r="250" spans="1:15" ht="16.5" thickBot="1" x14ac:dyDescent="0.4">
      <c r="A250" s="91"/>
      <c r="B250" s="277" t="str">
        <f t="shared" ref="B250:M250" si="35">B168</f>
        <v xml:space="preserve">Power Stage and Power Electronics </v>
      </c>
      <c r="C250" s="276">
        <f t="shared" si="35"/>
        <v>0.16</v>
      </c>
      <c r="D250" s="99">
        <f t="shared" si="35"/>
        <v>1.0156521739130436E-2</v>
      </c>
      <c r="E250" s="101" t="str">
        <f t="shared" si="35"/>
        <v>Y</v>
      </c>
      <c r="F250" s="101">
        <f t="shared" si="35"/>
        <v>0</v>
      </c>
      <c r="G250" s="102">
        <f t="shared" si="35"/>
        <v>1</v>
      </c>
      <c r="H250" s="101" t="str">
        <f t="shared" si="35"/>
        <v>Electrical machinery</v>
      </c>
      <c r="I250" s="145">
        <f t="shared" si="35"/>
        <v>0.13001734713264965</v>
      </c>
      <c r="J250" s="101" t="str">
        <f t="shared" si="35"/>
        <v>US</v>
      </c>
      <c r="K250" s="99">
        <f t="shared" si="35"/>
        <v>1.928030303030303</v>
      </c>
      <c r="L250" s="100">
        <f t="shared" si="35"/>
        <v>0.12066003805870906</v>
      </c>
      <c r="M250" s="99">
        <f t="shared" si="35"/>
        <v>1.1382008038718019E-2</v>
      </c>
    </row>
    <row r="251" spans="1:15" ht="16.5" thickBot="1" x14ac:dyDescent="0.4">
      <c r="A251" s="91"/>
      <c r="B251" s="277" t="str">
        <f t="shared" ref="B251:G253" si="36">B169</f>
        <v>Enclosure and Packaging</v>
      </c>
      <c r="C251" s="276">
        <f t="shared" si="36"/>
        <v>0.11</v>
      </c>
      <c r="D251" s="99">
        <f t="shared" si="36"/>
        <v>6.9826086956521743E-3</v>
      </c>
      <c r="E251" s="101" t="str">
        <f t="shared" si="36"/>
        <v>Y</v>
      </c>
      <c r="F251" s="101">
        <f t="shared" si="36"/>
        <v>0</v>
      </c>
      <c r="G251" s="102">
        <f t="shared" si="36"/>
        <v>1</v>
      </c>
      <c r="H251" s="164" t="s">
        <v>892</v>
      </c>
      <c r="I251" s="145">
        <f t="shared" ref="I251:M253" si="37">I169</f>
        <v>0.23534870376544167</v>
      </c>
      <c r="J251" s="101" t="str">
        <f t="shared" si="37"/>
        <v>US</v>
      </c>
      <c r="K251" s="99">
        <f t="shared" si="37"/>
        <v>1.928030303030303</v>
      </c>
      <c r="L251" s="100">
        <f t="shared" si="37"/>
        <v>0.21841072887323176</v>
      </c>
      <c r="M251" s="99">
        <f t="shared" si="37"/>
        <v>8.5076853503061323E-3</v>
      </c>
      <c r="N251" s="278"/>
      <c r="O251" s="278"/>
    </row>
    <row r="252" spans="1:15" ht="16.5" thickBot="1" x14ac:dyDescent="0.4">
      <c r="A252" s="91"/>
      <c r="B252" s="277" t="str">
        <f t="shared" si="36"/>
        <v>Printed Circuit Board/Misc Parts</v>
      </c>
      <c r="C252" s="276">
        <f t="shared" si="36"/>
        <v>0.23</v>
      </c>
      <c r="D252" s="99">
        <f t="shared" si="36"/>
        <v>1.4600000000000002E-2</v>
      </c>
      <c r="E252" s="101" t="str">
        <f t="shared" si="36"/>
        <v>N</v>
      </c>
      <c r="F252" s="101">
        <f t="shared" si="36"/>
        <v>0</v>
      </c>
      <c r="G252" s="102">
        <f t="shared" si="36"/>
        <v>0</v>
      </c>
      <c r="H252" s="101" t="str">
        <f>H170</f>
        <v>Electrical machinery</v>
      </c>
      <c r="I252" s="145">
        <f t="shared" si="37"/>
        <v>0.13001734713264965</v>
      </c>
      <c r="J252" s="101">
        <f t="shared" si="37"/>
        <v>0</v>
      </c>
      <c r="K252" s="99" t="str">
        <f t="shared" si="37"/>
        <v/>
      </c>
      <c r="L252" s="100">
        <f t="shared" si="37"/>
        <v>4.6666666666666634E-2</v>
      </c>
      <c r="M252" s="99">
        <f t="shared" si="37"/>
        <v>1.5281333333333334E-2</v>
      </c>
    </row>
    <row r="253" spans="1:15" ht="16.5" thickBot="1" x14ac:dyDescent="0.4">
      <c r="A253" s="91"/>
      <c r="B253" s="277" t="str">
        <f t="shared" si="36"/>
        <v>Asseembly, Production and Testing</v>
      </c>
      <c r="C253" s="276">
        <f t="shared" si="36"/>
        <v>0.18</v>
      </c>
      <c r="D253" s="99">
        <f t="shared" si="36"/>
        <v>1.1426086956521739E-2</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1.928030303030303</v>
      </c>
      <c r="L253" s="100">
        <f t="shared" si="37"/>
        <v>0.92803030303030276</v>
      </c>
      <c r="M253" s="99">
        <f t="shared" si="37"/>
        <v>2.2029841897233199E-2</v>
      </c>
    </row>
    <row r="254" spans="1:15" ht="16.5" thickBot="1" x14ac:dyDescent="0.4">
      <c r="A254" s="91" t="str">
        <f>C179</f>
        <v xml:space="preserve">Transformer </v>
      </c>
    </row>
    <row r="255" spans="1:15" ht="16.5" thickBot="1" x14ac:dyDescent="0.4">
      <c r="A255" s="91"/>
      <c r="B255" s="277" t="str">
        <f t="shared" ref="B255:M255" si="38">B182</f>
        <v>Magnetic steel</v>
      </c>
      <c r="C255" s="276">
        <f t="shared" si="38"/>
        <v>6.5000000000000002E-2</v>
      </c>
      <c r="D255" s="99">
        <f t="shared" si="38"/>
        <v>8.8135593220338979E-4</v>
      </c>
      <c r="E255" s="101" t="str">
        <f t="shared" si="38"/>
        <v>Y</v>
      </c>
      <c r="F255" s="101" t="str">
        <f t="shared" si="38"/>
        <v>Y</v>
      </c>
      <c r="G255" s="102">
        <f t="shared" si="38"/>
        <v>1</v>
      </c>
      <c r="H255" s="101" t="str">
        <f t="shared" si="38"/>
        <v>Basic iron and steel</v>
      </c>
      <c r="I255" s="145">
        <f t="shared" si="38"/>
        <v>9.7044444371923971E-2</v>
      </c>
      <c r="J255" s="101" t="str">
        <f t="shared" si="38"/>
        <v>E</v>
      </c>
      <c r="K255" s="99">
        <f t="shared" si="38"/>
        <v>1.0761099365750528</v>
      </c>
      <c r="L255" s="100">
        <f t="shared" si="38"/>
        <v>7.3860465061084124E-3</v>
      </c>
      <c r="M255" s="99">
        <f t="shared" si="38"/>
        <v>8.878656681070785E-4</v>
      </c>
    </row>
    <row r="256" spans="1:15" ht="16.5" thickBot="1" x14ac:dyDescent="0.4">
      <c r="A256" s="91"/>
      <c r="B256" s="277" t="str">
        <f t="shared" ref="B256:G264" si="39">B183</f>
        <v>Windgings - copper or al</v>
      </c>
      <c r="C256" s="276">
        <f t="shared" si="39"/>
        <v>4.4000000000000004E-2</v>
      </c>
      <c r="D256" s="99">
        <f t="shared" si="39"/>
        <v>5.9661016949152544E-4</v>
      </c>
      <c r="E256" s="101" t="str">
        <f t="shared" si="39"/>
        <v>N</v>
      </c>
      <c r="F256" s="101">
        <f t="shared" si="39"/>
        <v>0</v>
      </c>
      <c r="G256" s="102">
        <f t="shared" si="39"/>
        <v>1</v>
      </c>
      <c r="H256" s="164" t="s">
        <v>892</v>
      </c>
      <c r="I256" s="145" t="e">
        <f t="shared" ref="I256:M264" si="40">I183</f>
        <v>#N/A</v>
      </c>
      <c r="J256" s="101">
        <f t="shared" si="40"/>
        <v>0</v>
      </c>
      <c r="K256" s="99" t="str">
        <f t="shared" si="40"/>
        <v/>
      </c>
      <c r="L256" s="100">
        <f t="shared" si="40"/>
        <v>0.1166666666666667</v>
      </c>
      <c r="M256" s="99">
        <f t="shared" si="40"/>
        <v>6.6621468926553672E-4</v>
      </c>
      <c r="N256" s="77" t="s">
        <v>892</v>
      </c>
    </row>
    <row r="257" spans="1:15" ht="16.5" thickBot="1" x14ac:dyDescent="0.4">
      <c r="A257" s="91"/>
      <c r="B257" s="277" t="str">
        <f t="shared" si="39"/>
        <v>Insulation</v>
      </c>
      <c r="C257" s="276">
        <f t="shared" si="39"/>
        <v>2.8000000000000004E-2</v>
      </c>
      <c r="D257" s="99">
        <f t="shared" si="39"/>
        <v>3.7966101694915258E-4</v>
      </c>
      <c r="E257" s="101" t="str">
        <f t="shared" si="39"/>
        <v>Y</v>
      </c>
      <c r="F257" s="101" t="str">
        <f t="shared" si="39"/>
        <v>Y</v>
      </c>
      <c r="G257" s="102">
        <f t="shared" si="39"/>
        <v>1</v>
      </c>
      <c r="H257" s="164" t="s">
        <v>892</v>
      </c>
      <c r="I257" s="145">
        <f t="shared" si="40"/>
        <v>0.10947716642839322</v>
      </c>
      <c r="J257" s="101" t="str">
        <f t="shared" si="40"/>
        <v>E</v>
      </c>
      <c r="K257" s="99">
        <f t="shared" si="40"/>
        <v>1.0761099365750528</v>
      </c>
      <c r="L257" s="100">
        <f t="shared" si="40"/>
        <v>8.3323001932815721E-3</v>
      </c>
      <c r="M257" s="99">
        <f t="shared" si="40"/>
        <v>3.8282446651405946E-4</v>
      </c>
      <c r="N257" s="77" t="s">
        <v>892</v>
      </c>
      <c r="O257" s="77" t="s">
        <v>897</v>
      </c>
    </row>
    <row r="258" spans="1:15" ht="16.5" thickBot="1" x14ac:dyDescent="0.4">
      <c r="A258" s="91"/>
      <c r="B258" s="277" t="str">
        <f t="shared" si="39"/>
        <v>Carbon steel</v>
      </c>
      <c r="C258" s="276">
        <f t="shared" si="39"/>
        <v>3.3000000000000002E-2</v>
      </c>
      <c r="D258" s="99">
        <f t="shared" si="39"/>
        <v>4.4745762711864408E-4</v>
      </c>
      <c r="E258" s="101" t="str">
        <f t="shared" si="39"/>
        <v>Y</v>
      </c>
      <c r="F258" s="101" t="str">
        <f t="shared" si="39"/>
        <v>Y</v>
      </c>
      <c r="G258" s="102">
        <f t="shared" si="39"/>
        <v>1</v>
      </c>
      <c r="H258" s="101" t="str">
        <f>H185</f>
        <v>Basic iron and steel</v>
      </c>
      <c r="I258" s="145">
        <f t="shared" si="40"/>
        <v>9.7044444371923971E-2</v>
      </c>
      <c r="J258" s="101" t="str">
        <f t="shared" si="40"/>
        <v>E</v>
      </c>
      <c r="K258" s="99">
        <f t="shared" si="40"/>
        <v>1.0761099365750528</v>
      </c>
      <c r="L258" s="100">
        <f t="shared" si="40"/>
        <v>7.3860465061084124E-3</v>
      </c>
      <c r="M258" s="99">
        <f t="shared" si="40"/>
        <v>4.5076256996205531E-4</v>
      </c>
    </row>
    <row r="259" spans="1:15" ht="16.5" thickBot="1" x14ac:dyDescent="0.4">
      <c r="A259" s="91"/>
      <c r="B259" s="277" t="str">
        <f t="shared" si="39"/>
        <v xml:space="preserve">Fabricated parts </v>
      </c>
      <c r="C259" s="276">
        <f t="shared" si="39"/>
        <v>0.03</v>
      </c>
      <c r="D259" s="99">
        <f t="shared" si="39"/>
        <v>4.0677966101694915E-4</v>
      </c>
      <c r="E259" s="101" t="str">
        <f t="shared" si="39"/>
        <v>Y</v>
      </c>
      <c r="F259" s="101" t="str">
        <f t="shared" si="39"/>
        <v>Y</v>
      </c>
      <c r="G259" s="102">
        <f t="shared" si="39"/>
        <v>1</v>
      </c>
      <c r="H259" s="101" t="str">
        <f>H186</f>
        <v xml:space="preserve">Structural metal </v>
      </c>
      <c r="I259" s="145">
        <f t="shared" si="40"/>
        <v>0.23534870376544167</v>
      </c>
      <c r="J259" s="101" t="str">
        <f t="shared" si="40"/>
        <v>E</v>
      </c>
      <c r="K259" s="99">
        <f t="shared" si="40"/>
        <v>1.0761099365750528</v>
      </c>
      <c r="L259" s="100">
        <f t="shared" si="40"/>
        <v>1.7912374916608576E-2</v>
      </c>
      <c r="M259" s="99">
        <f t="shared" si="40"/>
        <v>4.1406605081353571E-4</v>
      </c>
    </row>
    <row r="260" spans="1:15" ht="16.5" thickBot="1" x14ac:dyDescent="0.4">
      <c r="A260" s="91"/>
      <c r="B260" s="277" t="str">
        <f t="shared" si="39"/>
        <v>Labour - direct and ind</v>
      </c>
      <c r="C260" s="276">
        <f t="shared" si="39"/>
        <v>0.15200000000000002</v>
      </c>
      <c r="D260" s="99">
        <f t="shared" si="39"/>
        <v>2.0610169491525427E-3</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1.0761099365750528</v>
      </c>
      <c r="L260" s="100">
        <f t="shared" si="40"/>
        <v>7.6109936575052828E-2</v>
      </c>
      <c r="M260" s="99">
        <f t="shared" si="40"/>
        <v>2.2178808184326517E-3</v>
      </c>
    </row>
    <row r="261" spans="1:15" ht="16.5" thickBot="1" x14ac:dyDescent="0.4">
      <c r="A261" s="91"/>
      <c r="B261" s="277" t="str">
        <f t="shared" si="39"/>
        <v>Overheads</v>
      </c>
      <c r="C261" s="276">
        <f t="shared" si="39"/>
        <v>4.8000000000000001E-2</v>
      </c>
      <c r="D261" s="99">
        <f t="shared" si="39"/>
        <v>6.5084745762711868E-4</v>
      </c>
      <c r="E261" s="101" t="str">
        <f t="shared" si="39"/>
        <v>Y</v>
      </c>
      <c r="F261" s="101" t="str">
        <f t="shared" si="39"/>
        <v>Y</v>
      </c>
      <c r="G261" s="102">
        <f t="shared" si="39"/>
        <v>1</v>
      </c>
      <c r="H261" s="101" t="str">
        <f>H188</f>
        <v>Electrical machinery</v>
      </c>
      <c r="I261" s="145">
        <f t="shared" si="40"/>
        <v>0.13001734713264965</v>
      </c>
      <c r="J261" s="101" t="str">
        <f t="shared" si="40"/>
        <v>E</v>
      </c>
      <c r="K261" s="99">
        <f t="shared" si="40"/>
        <v>1.0761099365750528</v>
      </c>
      <c r="L261" s="100">
        <f t="shared" si="40"/>
        <v>9.8956120439226414E-3</v>
      </c>
      <c r="M261" s="99">
        <f t="shared" si="40"/>
        <v>6.5728799156757002E-4</v>
      </c>
    </row>
    <row r="262" spans="1:15" ht="16.5" thickBot="1" x14ac:dyDescent="0.4">
      <c r="A262" s="91"/>
      <c r="B262" s="277" t="str">
        <f t="shared" si="39"/>
        <v>Engineering cost</v>
      </c>
      <c r="C262" s="276">
        <f t="shared" si="39"/>
        <v>0.15</v>
      </c>
      <c r="D262" s="99">
        <f t="shared" si="39"/>
        <v>2.0338983050847458E-3</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1.0761099365750528</v>
      </c>
      <c r="L262" s="100">
        <f t="shared" si="40"/>
        <v>7.6109936575052828E-2</v>
      </c>
      <c r="M262" s="99">
        <f t="shared" si="40"/>
        <v>2.1886981760848531E-3</v>
      </c>
    </row>
    <row r="263" spans="1:15" ht="16.5" thickBot="1" x14ac:dyDescent="0.4">
      <c r="A263" s="91"/>
      <c r="B263" s="277" t="str">
        <f t="shared" si="39"/>
        <v xml:space="preserve">Profit </v>
      </c>
      <c r="C263" s="276">
        <f t="shared" si="39"/>
        <v>0.2</v>
      </c>
      <c r="D263" s="99">
        <f t="shared" si="39"/>
        <v>2.7118644067796612E-3</v>
      </c>
      <c r="E263" s="101" t="str">
        <f t="shared" si="39"/>
        <v>Y</v>
      </c>
      <c r="F263" s="101" t="str">
        <f t="shared" si="39"/>
        <v>Y</v>
      </c>
      <c r="G263" s="102">
        <f t="shared" si="39"/>
        <v>2</v>
      </c>
      <c r="H263" s="164" t="s">
        <v>896</v>
      </c>
      <c r="I263" s="145" t="e">
        <f t="shared" si="40"/>
        <v>#N/A</v>
      </c>
      <c r="J263" s="101">
        <f t="shared" si="40"/>
        <v>0</v>
      </c>
      <c r="K263" s="99" t="str">
        <f t="shared" si="40"/>
        <v/>
      </c>
      <c r="L263" s="100">
        <f t="shared" si="40"/>
        <v>4.6887176000697472E-2</v>
      </c>
      <c r="M263" s="99">
        <f t="shared" si="40"/>
        <v>2.8390160705103664E-3</v>
      </c>
      <c r="N263" s="77" t="s">
        <v>896</v>
      </c>
      <c r="O263" s="77" t="s">
        <v>895</v>
      </c>
    </row>
    <row r="264" spans="1:15" ht="16.5" thickBot="1" x14ac:dyDescent="0.4">
      <c r="A264" s="91"/>
      <c r="B264" s="277" t="str">
        <f t="shared" si="39"/>
        <v>Admin</v>
      </c>
      <c r="C264" s="276">
        <f t="shared" si="39"/>
        <v>0.25</v>
      </c>
      <c r="D264" s="99">
        <f t="shared" si="39"/>
        <v>3.3898305084745762E-3</v>
      </c>
      <c r="E264" s="101" t="str">
        <f t="shared" si="39"/>
        <v>Y</v>
      </c>
      <c r="F264" s="101" t="str">
        <f t="shared" si="39"/>
        <v>Y</v>
      </c>
      <c r="G264" s="102">
        <f t="shared" si="39"/>
        <v>3</v>
      </c>
      <c r="H264" s="164" t="s">
        <v>603</v>
      </c>
      <c r="I264" s="145">
        <f t="shared" si="40"/>
        <v>0.13001734713264965</v>
      </c>
      <c r="J264" s="101" t="str">
        <f t="shared" si="40"/>
        <v>E</v>
      </c>
      <c r="K264" s="99">
        <f t="shared" si="40"/>
        <v>1.0761099365750528</v>
      </c>
      <c r="L264" s="100">
        <f t="shared" si="40"/>
        <v>2.9686836131767702E-2</v>
      </c>
      <c r="M264" s="99">
        <f t="shared" si="40"/>
        <v>3.4904638512941277E-3</v>
      </c>
      <c r="N264" s="77" t="s">
        <v>894</v>
      </c>
      <c r="O264" s="77" t="s">
        <v>893</v>
      </c>
    </row>
    <row r="265" spans="1:15" ht="16.5" thickBot="1" x14ac:dyDescent="0.4">
      <c r="A265" s="91" t="str">
        <f>C195</f>
        <v xml:space="preserve">BoS -  cabling </v>
      </c>
    </row>
    <row r="266" spans="1:15" ht="16.5" thickBot="1" x14ac:dyDescent="0.4">
      <c r="A266" s="91"/>
      <c r="B266" s="277" t="str">
        <f t="shared" ref="B266:M266" si="41">B198</f>
        <v>Conductors (copper rods ,aluminium rods)</v>
      </c>
      <c r="C266" s="276">
        <f t="shared" si="41"/>
        <v>0.6</v>
      </c>
      <c r="D266" s="99">
        <f t="shared" si="41"/>
        <v>3.8249430812041484E-2</v>
      </c>
      <c r="E266" s="101" t="str">
        <f t="shared" si="41"/>
        <v>Y</v>
      </c>
      <c r="F266" s="101" t="str">
        <f t="shared" si="41"/>
        <v>Y</v>
      </c>
      <c r="G266" s="102">
        <f t="shared" si="41"/>
        <v>1</v>
      </c>
      <c r="H266" s="101" t="str">
        <f t="shared" si="41"/>
        <v>Basic iron and steel</v>
      </c>
      <c r="I266" s="145">
        <f t="shared" si="41"/>
        <v>9.7044444371923971E-2</v>
      </c>
      <c r="J266" s="101" t="str">
        <f t="shared" si="41"/>
        <v>C</v>
      </c>
      <c r="K266" s="99">
        <f t="shared" si="41"/>
        <v>2.4354066985645932</v>
      </c>
      <c r="L266" s="100">
        <f t="shared" si="41"/>
        <v>0.13929824550993875</v>
      </c>
      <c r="M266" s="99">
        <f t="shared" si="41"/>
        <v>4.3577509415912652E-2</v>
      </c>
    </row>
    <row r="267" spans="1:15" ht="16.5" thickBot="1" x14ac:dyDescent="0.4">
      <c r="A267" s="91"/>
      <c r="B267" s="277" t="str">
        <f t="shared" ref="B267:G269" si="42">B199</f>
        <v>Insulation (polymers)</v>
      </c>
      <c r="C267" s="276">
        <f t="shared" si="42"/>
        <v>0.3</v>
      </c>
      <c r="D267" s="99">
        <f t="shared" si="42"/>
        <v>1.9124715406020742E-2</v>
      </c>
      <c r="E267" s="101" t="str">
        <f t="shared" si="42"/>
        <v>N</v>
      </c>
      <c r="F267" s="101" t="str">
        <f t="shared" si="42"/>
        <v>Y</v>
      </c>
      <c r="G267" s="102">
        <f t="shared" si="42"/>
        <v>0</v>
      </c>
      <c r="H267" s="164" t="s">
        <v>892</v>
      </c>
      <c r="I267" s="145">
        <f t="shared" ref="I267:M269" si="43">I199</f>
        <v>0</v>
      </c>
      <c r="J267" s="101">
        <f t="shared" si="43"/>
        <v>0</v>
      </c>
      <c r="K267" s="99" t="str">
        <f t="shared" si="43"/>
        <v/>
      </c>
      <c r="L267" s="100">
        <f t="shared" si="43"/>
        <v>0.1166666666666667</v>
      </c>
      <c r="M267" s="99">
        <f t="shared" si="43"/>
        <v>2.135593220338983E-2</v>
      </c>
      <c r="N267" s="77" t="s">
        <v>892</v>
      </c>
    </row>
    <row r="268" spans="1:15" ht="16.5" thickBot="1" x14ac:dyDescent="0.4">
      <c r="A268" s="91"/>
      <c r="B268" s="277" t="str">
        <f t="shared" si="42"/>
        <v>Armour (steel)</v>
      </c>
      <c r="C268" s="276">
        <f t="shared" si="42"/>
        <v>0.05</v>
      </c>
      <c r="D268" s="99">
        <f t="shared" si="42"/>
        <v>3.1874525676701239E-3</v>
      </c>
      <c r="E268" s="101" t="str">
        <f t="shared" si="42"/>
        <v>Y</v>
      </c>
      <c r="F268" s="101" t="str">
        <f t="shared" si="42"/>
        <v>Y</v>
      </c>
      <c r="G268" s="102">
        <f t="shared" si="42"/>
        <v>1</v>
      </c>
      <c r="H268" s="101" t="str">
        <f>H200</f>
        <v>Basic iron and steel</v>
      </c>
      <c r="I268" s="145">
        <f t="shared" si="43"/>
        <v>9.7044444371923971E-2</v>
      </c>
      <c r="J268" s="101" t="str">
        <f t="shared" si="43"/>
        <v>C</v>
      </c>
      <c r="K268" s="99">
        <f t="shared" si="43"/>
        <v>2.4354066985645932</v>
      </c>
      <c r="L268" s="100">
        <f t="shared" si="43"/>
        <v>0.13929824550993875</v>
      </c>
      <c r="M268" s="99">
        <f t="shared" si="43"/>
        <v>3.6314591179927216E-3</v>
      </c>
    </row>
    <row r="269" spans="1:15" ht="16.5" thickBot="1" x14ac:dyDescent="0.4">
      <c r="A269" s="91"/>
      <c r="B269" s="277" t="str">
        <f t="shared" si="42"/>
        <v>Assembly, production and testing</v>
      </c>
      <c r="C269" s="276">
        <f t="shared" si="42"/>
        <v>0.05</v>
      </c>
      <c r="D269" s="99">
        <f t="shared" si="42"/>
        <v>3.1874525676701239E-3</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7.7627433346607322E-3</v>
      </c>
    </row>
    <row r="270" spans="1:15" x14ac:dyDescent="0.35">
      <c r="I270" s="85"/>
      <c r="J270" s="85"/>
      <c r="K270" s="85"/>
      <c r="L270" s="85"/>
      <c r="M270" s="85"/>
    </row>
    <row r="271" spans="1:15" x14ac:dyDescent="0.35">
      <c r="I271" s="85"/>
      <c r="J271" s="85"/>
      <c r="K271" s="85"/>
      <c r="L271" s="85"/>
      <c r="M271" s="85"/>
    </row>
    <row r="274" spans="1:17" x14ac:dyDescent="0.35">
      <c r="A274" s="91" t="s">
        <v>891</v>
      </c>
      <c r="B274" s="85"/>
      <c r="C274" s="85"/>
      <c r="D274" s="85"/>
      <c r="E274" s="85"/>
      <c r="F274" s="85"/>
      <c r="G274" s="85"/>
      <c r="H274" s="85"/>
      <c r="N274" s="92">
        <f>C19</f>
        <v>14.4</v>
      </c>
      <c r="O274" s="92" t="str">
        <f>D19</f>
        <v>Reserve Bank (april 2021)</v>
      </c>
    </row>
    <row r="275" spans="1:17" x14ac:dyDescent="0.35">
      <c r="A275" s="91"/>
      <c r="B275" s="85"/>
      <c r="C275" s="91" t="s">
        <v>617</v>
      </c>
      <c r="D275" s="85"/>
      <c r="E275" s="85"/>
      <c r="F275" s="85"/>
      <c r="G275" s="85"/>
      <c r="H275" s="275" t="s">
        <v>616</v>
      </c>
      <c r="I275" s="91"/>
      <c r="J275" s="91"/>
      <c r="K275" s="91"/>
      <c r="L275" s="91"/>
      <c r="M275" s="91" t="s">
        <v>890</v>
      </c>
      <c r="N275" s="274" t="s">
        <v>889</v>
      </c>
      <c r="P275" s="77">
        <v>2025</v>
      </c>
      <c r="Q275" s="77">
        <v>2028</v>
      </c>
    </row>
    <row r="276" spans="1:17" x14ac:dyDescent="0.35">
      <c r="B276" s="77" t="s">
        <v>887</v>
      </c>
      <c r="C276" s="77" t="s">
        <v>613</v>
      </c>
      <c r="H276" s="85" t="s">
        <v>885</v>
      </c>
      <c r="M276" s="269">
        <f t="shared" ref="M276:M284" si="44">SUMIFS($M$247:$M$269,$H$247:$H$269,$H276,$E$247:$E$269,$C$276)+SUMIFS($M$224:$M$236,$H$224:$H$236,$H276,$E$224:$E$236,$C$276)</f>
        <v>0</v>
      </c>
      <c r="N276" s="77">
        <f t="shared" ref="N276:N293" si="45">M276*$N$274</f>
        <v>0</v>
      </c>
    </row>
    <row r="277" spans="1:17" x14ac:dyDescent="0.35">
      <c r="A277" s="91"/>
      <c r="H277" s="85" t="s">
        <v>603</v>
      </c>
      <c r="M277" s="269">
        <f t="shared" si="44"/>
        <v>0.24151898191242474</v>
      </c>
      <c r="N277" s="77">
        <f t="shared" si="45"/>
        <v>3.4778733395389163</v>
      </c>
    </row>
    <row r="278" spans="1:17" x14ac:dyDescent="0.35">
      <c r="A278" s="91"/>
      <c r="H278" s="85" t="str">
        <f>H318</f>
        <v>Electrical machinery</v>
      </c>
      <c r="M278" s="269">
        <f t="shared" si="44"/>
        <v>6.3950576774125731E-2</v>
      </c>
      <c r="N278" s="77">
        <f t="shared" si="45"/>
        <v>0.92088830554741052</v>
      </c>
    </row>
    <row r="279" spans="1:17" x14ac:dyDescent="0.35">
      <c r="A279" s="91"/>
      <c r="H279" s="85" t="s">
        <v>879</v>
      </c>
      <c r="M279" s="269">
        <f t="shared" si="44"/>
        <v>4.1406605081353571E-4</v>
      </c>
      <c r="N279" s="77">
        <f t="shared" si="45"/>
        <v>5.9625511317149141E-3</v>
      </c>
    </row>
    <row r="280" spans="1:17" x14ac:dyDescent="0.35">
      <c r="A280" s="91"/>
      <c r="H280" s="85" t="s">
        <v>884</v>
      </c>
      <c r="M280" s="269">
        <f t="shared" si="44"/>
        <v>0</v>
      </c>
      <c r="N280" s="77">
        <f t="shared" si="45"/>
        <v>0</v>
      </c>
    </row>
    <row r="281" spans="1:17" x14ac:dyDescent="0.35">
      <c r="A281" s="91"/>
      <c r="H281" s="77" t="s">
        <v>883</v>
      </c>
      <c r="M281" s="269">
        <f t="shared" si="44"/>
        <v>0</v>
      </c>
      <c r="N281" s="77">
        <f t="shared" si="45"/>
        <v>0</v>
      </c>
    </row>
    <row r="282" spans="1:17" x14ac:dyDescent="0.35">
      <c r="A282" s="91"/>
      <c r="H282" s="77" t="s">
        <v>787</v>
      </c>
      <c r="M282" s="269">
        <f t="shared" si="44"/>
        <v>4.8547596771974511E-2</v>
      </c>
      <c r="N282" s="77">
        <f t="shared" si="45"/>
        <v>0.69908539351643295</v>
      </c>
    </row>
    <row r="283" spans="1:17" x14ac:dyDescent="0.35">
      <c r="A283" s="91"/>
      <c r="H283" s="77" t="s">
        <v>882</v>
      </c>
      <c r="M283" s="271">
        <f t="shared" si="44"/>
        <v>0</v>
      </c>
      <c r="N283" s="77">
        <f t="shared" si="45"/>
        <v>0</v>
      </c>
    </row>
    <row r="284" spans="1:17" x14ac:dyDescent="0.35">
      <c r="A284" s="91"/>
      <c r="B284" s="90"/>
      <c r="C284" s="90"/>
      <c r="D284" s="90"/>
      <c r="E284" s="90"/>
      <c r="F284" s="90"/>
      <c r="G284" s="90"/>
      <c r="H284" s="90" t="s">
        <v>877</v>
      </c>
      <c r="I284" s="90"/>
      <c r="J284" s="90"/>
      <c r="K284" s="90"/>
      <c r="L284" s="90"/>
      <c r="M284" s="270">
        <f t="shared" si="44"/>
        <v>0.1900403001818132</v>
      </c>
      <c r="N284" s="90">
        <f t="shared" si="45"/>
        <v>2.73658032261811</v>
      </c>
    </row>
    <row r="285" spans="1:17" x14ac:dyDescent="0.35">
      <c r="A285" s="91"/>
      <c r="B285" s="77" t="s">
        <v>886</v>
      </c>
      <c r="C285" s="77" t="s">
        <v>612</v>
      </c>
      <c r="H285" s="85" t="s">
        <v>885</v>
      </c>
      <c r="M285" s="271">
        <f t="shared" ref="M285:M293" si="46">SUMIFS($M$247:$M$269,$H$247:$H$269,$H285,$E$247:$E$269,$C$285)+SUMIFS($M$224:$M$236,$H$224:$H$236,$H285,$E$224:$E$236,$C$285)</f>
        <v>0</v>
      </c>
      <c r="N285" s="77">
        <f t="shared" si="45"/>
        <v>0</v>
      </c>
    </row>
    <row r="286" spans="1:17" x14ac:dyDescent="0.35">
      <c r="A286" s="91"/>
      <c r="H286" s="85" t="s">
        <v>603</v>
      </c>
      <c r="M286" s="269">
        <f t="shared" si="46"/>
        <v>0</v>
      </c>
      <c r="N286" s="77">
        <f t="shared" si="45"/>
        <v>0</v>
      </c>
    </row>
    <row r="287" spans="1:17" x14ac:dyDescent="0.35">
      <c r="A287" s="91"/>
      <c r="H287" s="85" t="s">
        <v>602</v>
      </c>
      <c r="M287" s="269">
        <f t="shared" si="46"/>
        <v>1.5281333333333334E-2</v>
      </c>
      <c r="N287" s="77">
        <f t="shared" si="45"/>
        <v>0.22005120000000003</v>
      </c>
    </row>
    <row r="288" spans="1:17" x14ac:dyDescent="0.35">
      <c r="A288" s="91"/>
      <c r="H288" s="85" t="s">
        <v>879</v>
      </c>
      <c r="M288" s="269">
        <f t="shared" si="46"/>
        <v>0</v>
      </c>
      <c r="N288" s="77">
        <f t="shared" si="45"/>
        <v>0</v>
      </c>
    </row>
    <row r="289" spans="1:14" x14ac:dyDescent="0.35">
      <c r="A289" s="91"/>
      <c r="H289" s="85" t="s">
        <v>884</v>
      </c>
      <c r="M289" s="269">
        <f t="shared" si="46"/>
        <v>0</v>
      </c>
      <c r="N289" s="77">
        <f t="shared" si="45"/>
        <v>0</v>
      </c>
    </row>
    <row r="290" spans="1:14" x14ac:dyDescent="0.35">
      <c r="A290" s="91"/>
      <c r="H290" s="77" t="s">
        <v>883</v>
      </c>
      <c r="M290" s="269">
        <f t="shared" si="46"/>
        <v>0</v>
      </c>
      <c r="N290" s="77">
        <f t="shared" si="45"/>
        <v>0</v>
      </c>
    </row>
    <row r="291" spans="1:14" x14ac:dyDescent="0.35">
      <c r="A291" s="91"/>
      <c r="H291" s="77" t="s">
        <v>787</v>
      </c>
      <c r="M291" s="269">
        <f t="shared" si="46"/>
        <v>0</v>
      </c>
      <c r="N291" s="77">
        <f t="shared" si="45"/>
        <v>0</v>
      </c>
    </row>
    <row r="292" spans="1:14" x14ac:dyDescent="0.35">
      <c r="A292" s="91"/>
      <c r="H292" s="77" t="s">
        <v>882</v>
      </c>
      <c r="M292" s="269">
        <f t="shared" si="46"/>
        <v>0</v>
      </c>
      <c r="N292" s="77">
        <f t="shared" si="45"/>
        <v>0</v>
      </c>
    </row>
    <row r="293" spans="1:14" x14ac:dyDescent="0.35">
      <c r="A293" s="91"/>
      <c r="H293" s="77" t="s">
        <v>877</v>
      </c>
      <c r="I293" s="93"/>
      <c r="M293" s="269">
        <f t="shared" si="46"/>
        <v>0</v>
      </c>
      <c r="N293" s="77">
        <f t="shared" si="45"/>
        <v>0</v>
      </c>
    </row>
    <row r="294" spans="1:14" x14ac:dyDescent="0.35">
      <c r="A294" s="91"/>
      <c r="M294" s="273"/>
    </row>
    <row r="295" spans="1:14" x14ac:dyDescent="0.35">
      <c r="A295" s="91" t="s">
        <v>888</v>
      </c>
      <c r="M295" s="273"/>
      <c r="N295" s="272"/>
    </row>
    <row r="296" spans="1:14" x14ac:dyDescent="0.35">
      <c r="A296" s="91"/>
      <c r="B296" s="77" t="s">
        <v>887</v>
      </c>
      <c r="C296" s="77" t="s">
        <v>613</v>
      </c>
      <c r="H296" s="85" t="s">
        <v>885</v>
      </c>
      <c r="M296" s="269">
        <f t="shared" ref="M296:M304" si="47">SUMIFS($M$247:$M$269,$H$247:$H$269,$H296,$E$247:$E$269,$C$296)+SUMIFS($M$238:$M$245,$H$238:$H$245,$H296,$E$238:$E$245,$C$296)</f>
        <v>0</v>
      </c>
      <c r="N296" s="77">
        <f t="shared" ref="N296:N313" si="48">M296*$N$274</f>
        <v>0</v>
      </c>
    </row>
    <row r="297" spans="1:14" x14ac:dyDescent="0.35">
      <c r="A297" s="91"/>
      <c r="H297" s="85" t="s">
        <v>603</v>
      </c>
      <c r="M297" s="269">
        <f t="shared" si="47"/>
        <v>9.5513694603338681E-2</v>
      </c>
      <c r="N297" s="77">
        <f t="shared" si="48"/>
        <v>1.3753972022880769</v>
      </c>
    </row>
    <row r="298" spans="1:14" x14ac:dyDescent="0.35">
      <c r="A298" s="91"/>
      <c r="H298" s="85" t="s">
        <v>602</v>
      </c>
      <c r="M298" s="269">
        <f t="shared" si="47"/>
        <v>5.3351571440887868E-2</v>
      </c>
      <c r="N298" s="77">
        <f t="shared" si="48"/>
        <v>0.76826262874878537</v>
      </c>
    </row>
    <row r="299" spans="1:14" x14ac:dyDescent="0.35">
      <c r="A299" s="91"/>
      <c r="H299" s="85" t="s">
        <v>879</v>
      </c>
      <c r="M299" s="269">
        <f t="shared" si="47"/>
        <v>4.1406605081353571E-4</v>
      </c>
      <c r="N299" s="77">
        <f t="shared" si="48"/>
        <v>5.9625511317149141E-3</v>
      </c>
    </row>
    <row r="300" spans="1:14" x14ac:dyDescent="0.35">
      <c r="A300" s="91"/>
      <c r="H300" s="85" t="s">
        <v>884</v>
      </c>
      <c r="M300" s="269">
        <f t="shared" si="47"/>
        <v>0</v>
      </c>
      <c r="N300" s="77">
        <f t="shared" si="48"/>
        <v>0</v>
      </c>
    </row>
    <row r="301" spans="1:14" x14ac:dyDescent="0.35">
      <c r="A301" s="91"/>
      <c r="H301" s="77" t="s">
        <v>883</v>
      </c>
      <c r="M301" s="269">
        <f t="shared" si="47"/>
        <v>0</v>
      </c>
      <c r="N301" s="77">
        <f t="shared" si="48"/>
        <v>0</v>
      </c>
    </row>
    <row r="302" spans="1:14" x14ac:dyDescent="0.35">
      <c r="A302" s="91"/>
      <c r="H302" s="77" t="s">
        <v>787</v>
      </c>
      <c r="M302" s="269">
        <f t="shared" si="47"/>
        <v>4.8547596771974511E-2</v>
      </c>
      <c r="N302" s="77">
        <f t="shared" si="48"/>
        <v>0.69908539351643295</v>
      </c>
    </row>
    <row r="303" spans="1:14" x14ac:dyDescent="0.35">
      <c r="A303" s="91"/>
      <c r="H303" s="77" t="s">
        <v>882</v>
      </c>
      <c r="M303" s="271">
        <f t="shared" si="47"/>
        <v>0</v>
      </c>
      <c r="N303" s="77">
        <f t="shared" si="48"/>
        <v>0</v>
      </c>
    </row>
    <row r="304" spans="1:14" x14ac:dyDescent="0.35">
      <c r="A304" s="91"/>
      <c r="B304" s="90"/>
      <c r="C304" s="90"/>
      <c r="D304" s="90"/>
      <c r="E304" s="90"/>
      <c r="F304" s="90"/>
      <c r="G304" s="90"/>
      <c r="H304" s="90" t="s">
        <v>877</v>
      </c>
      <c r="I304" s="90"/>
      <c r="J304" s="90"/>
      <c r="K304" s="90"/>
      <c r="L304" s="90"/>
      <c r="M304" s="270">
        <f t="shared" si="47"/>
        <v>0.1900403001818132</v>
      </c>
      <c r="N304" s="90">
        <f t="shared" si="48"/>
        <v>2.73658032261811</v>
      </c>
    </row>
    <row r="305" spans="1:14" x14ac:dyDescent="0.35">
      <c r="A305" s="91"/>
      <c r="B305" s="77" t="s">
        <v>886</v>
      </c>
      <c r="C305" s="77" t="s">
        <v>612</v>
      </c>
      <c r="H305" s="85" t="s">
        <v>885</v>
      </c>
      <c r="M305" s="269">
        <f t="shared" ref="M305:M313" si="49">SUMIFS($M$247:$M$269,$H$247:$H$269,$H305,$E$247:$E$269,$C$305)+SUMIFS($M$238:$M$245,$H$238:$H$245,$H305,$E$238:$E$245,$C$305)</f>
        <v>0</v>
      </c>
      <c r="N305" s="77">
        <f t="shared" si="48"/>
        <v>0</v>
      </c>
    </row>
    <row r="306" spans="1:14" x14ac:dyDescent="0.35">
      <c r="A306" s="91"/>
      <c r="H306" s="85" t="s">
        <v>603</v>
      </c>
      <c r="M306" s="269">
        <f t="shared" si="49"/>
        <v>0</v>
      </c>
      <c r="N306" s="77">
        <f t="shared" si="48"/>
        <v>0</v>
      </c>
    </row>
    <row r="307" spans="1:14" x14ac:dyDescent="0.35">
      <c r="A307" s="91"/>
      <c r="H307" s="85" t="s">
        <v>602</v>
      </c>
      <c r="M307" s="269">
        <f t="shared" si="49"/>
        <v>1.5281333333333334E-2</v>
      </c>
      <c r="N307" s="77">
        <f t="shared" si="48"/>
        <v>0.22005120000000003</v>
      </c>
    </row>
    <row r="308" spans="1:14" x14ac:dyDescent="0.35">
      <c r="A308" s="91"/>
      <c r="H308" s="85" t="s">
        <v>879</v>
      </c>
      <c r="M308" s="269">
        <f t="shared" si="49"/>
        <v>0</v>
      </c>
      <c r="N308" s="77">
        <f t="shared" si="48"/>
        <v>0</v>
      </c>
    </row>
    <row r="309" spans="1:14" x14ac:dyDescent="0.35">
      <c r="A309" s="91"/>
      <c r="H309" s="85" t="s">
        <v>884</v>
      </c>
      <c r="M309" s="269">
        <f t="shared" si="49"/>
        <v>0</v>
      </c>
      <c r="N309" s="77">
        <f t="shared" si="48"/>
        <v>0</v>
      </c>
    </row>
    <row r="310" spans="1:14" x14ac:dyDescent="0.35">
      <c r="A310" s="91"/>
      <c r="H310" s="77" t="s">
        <v>883</v>
      </c>
      <c r="M310" s="269">
        <f t="shared" si="49"/>
        <v>0</v>
      </c>
      <c r="N310" s="77">
        <f t="shared" si="48"/>
        <v>0</v>
      </c>
    </row>
    <row r="311" spans="1:14" x14ac:dyDescent="0.35">
      <c r="A311" s="91"/>
      <c r="H311" s="77" t="s">
        <v>787</v>
      </c>
      <c r="M311" s="269">
        <f t="shared" si="49"/>
        <v>0</v>
      </c>
      <c r="N311" s="77">
        <f t="shared" si="48"/>
        <v>0</v>
      </c>
    </row>
    <row r="312" spans="1:14" x14ac:dyDescent="0.35">
      <c r="A312" s="91"/>
      <c r="H312" s="77" t="s">
        <v>882</v>
      </c>
      <c r="M312" s="269">
        <f t="shared" si="49"/>
        <v>0</v>
      </c>
      <c r="N312" s="77">
        <f t="shared" si="48"/>
        <v>0</v>
      </c>
    </row>
    <row r="313" spans="1:14" x14ac:dyDescent="0.35">
      <c r="A313" s="91"/>
      <c r="H313" s="77" t="s">
        <v>877</v>
      </c>
      <c r="M313" s="269">
        <f t="shared" si="49"/>
        <v>0</v>
      </c>
      <c r="N313" s="77">
        <f t="shared" si="48"/>
        <v>0</v>
      </c>
    </row>
    <row r="314" spans="1:14" x14ac:dyDescent="0.35">
      <c r="A314" s="91"/>
    </row>
    <row r="315" spans="1:14" x14ac:dyDescent="0.35">
      <c r="A315" s="91"/>
    </row>
    <row r="316" spans="1:14" x14ac:dyDescent="0.35">
      <c r="A316" s="91"/>
      <c r="I316" s="77" t="s">
        <v>881</v>
      </c>
      <c r="K316" s="77" t="s">
        <v>880</v>
      </c>
    </row>
    <row r="317" spans="1:14" x14ac:dyDescent="0.35">
      <c r="A317" s="91"/>
      <c r="H317" s="85" t="s">
        <v>603</v>
      </c>
      <c r="I317" s="96">
        <f>SUMIF($H$276:$H$293,$H317,$N$276:$N$293)</f>
        <v>3.4778733395389163</v>
      </c>
      <c r="J317" s="82">
        <f>I317/I$322</f>
        <v>0.43147431896860994</v>
      </c>
      <c r="K317" s="96">
        <f>SUMIF($H$296:$H$313,$H317,$N$296:$N$313)</f>
        <v>1.3753972022880769</v>
      </c>
      <c r="L317" s="82">
        <f>K317/K$322</f>
        <v>0.23691934814044385</v>
      </c>
    </row>
    <row r="318" spans="1:14" x14ac:dyDescent="0.35">
      <c r="H318" s="85" t="s">
        <v>602</v>
      </c>
      <c r="I318" s="96">
        <f>SUMIF($H$276:$H$293,$H318,$N$276:$N$293)</f>
        <v>1.1409395055474105</v>
      </c>
      <c r="J318" s="82">
        <f>I318/I$322</f>
        <v>0.1415480231967611</v>
      </c>
      <c r="K318" s="96">
        <f>SUMIF($H$296:$H$313,$H318,$N$296:$N$313)</f>
        <v>0.98831382874878537</v>
      </c>
      <c r="L318" s="82">
        <f>K318/K$322</f>
        <v>0.17024221633999342</v>
      </c>
    </row>
    <row r="319" spans="1:14" x14ac:dyDescent="0.35">
      <c r="H319" s="85" t="s">
        <v>879</v>
      </c>
      <c r="I319" s="96">
        <f>SUMIF($H$276:$H$293,$H319,$N$276:$N$293)</f>
        <v>5.9625511317149141E-3</v>
      </c>
      <c r="J319" s="82">
        <f>I319/I$322</f>
        <v>7.3973012749604169E-4</v>
      </c>
      <c r="K319" s="96">
        <f>SUMIF($H$296:$H$313,$H319,$N$296:$N$313)</f>
        <v>5.9625511317149141E-3</v>
      </c>
      <c r="L319" s="82">
        <f>K319/K$322</f>
        <v>1.0270805590050088E-3</v>
      </c>
    </row>
    <row r="320" spans="1:14" x14ac:dyDescent="0.35">
      <c r="H320" s="77" t="str">
        <f>H282</f>
        <v>Basic iron and steel</v>
      </c>
      <c r="I320" s="96">
        <f>SUMIF($H$276:$H$293,$H320,$N$276:$N$293)</f>
        <v>0.69908539351643295</v>
      </c>
      <c r="J320" s="82">
        <f>I320/I$322</f>
        <v>8.6730413853540619E-2</v>
      </c>
      <c r="K320" s="96">
        <f>SUMIF($H$296:$H$313,$H320,$N$296:$N$313)</f>
        <v>0.69908539351643295</v>
      </c>
      <c r="L320" s="82">
        <f>K320/K$322</f>
        <v>0.12042110849933838</v>
      </c>
    </row>
    <row r="321" spans="7:12" x14ac:dyDescent="0.35">
      <c r="G321" s="77" t="s">
        <v>878</v>
      </c>
      <c r="H321" s="90" t="s">
        <v>877</v>
      </c>
      <c r="I321" s="96">
        <f>SUMIF($H$276:$H$293,$H321,$N$276:$N$293)</f>
        <v>2.73658032261811</v>
      </c>
      <c r="J321" s="82">
        <f>I321/I$322</f>
        <v>0.33950751385359229</v>
      </c>
      <c r="K321" s="96">
        <f>SUMIF($H$296:$H$313,$H321,$N$296:$N$313)</f>
        <v>2.73658032261811</v>
      </c>
      <c r="L321" s="82">
        <f>K321/K$322</f>
        <v>0.47139024646121935</v>
      </c>
    </row>
    <row r="322" spans="7:12" x14ac:dyDescent="0.35">
      <c r="I322" s="96">
        <f>SUM(I317:I321)</f>
        <v>8.060441112352585</v>
      </c>
      <c r="K322" s="96">
        <f>SUM(K317:K321)</f>
        <v>5.80533929830312</v>
      </c>
    </row>
    <row r="323" spans="7:12" x14ac:dyDescent="0.35">
      <c r="H323" s="77" t="s">
        <v>605</v>
      </c>
    </row>
    <row r="324" spans="7:12" x14ac:dyDescent="0.35">
      <c r="H324" s="77" t="s">
        <v>513</v>
      </c>
      <c r="J324" s="82">
        <f>J317/2</f>
        <v>0.21573715948430497</v>
      </c>
      <c r="L324" s="82">
        <f>L317/2</f>
        <v>0.11845967407022193</v>
      </c>
    </row>
    <row r="325" spans="7:12" x14ac:dyDescent="0.35">
      <c r="H325" s="77" t="s">
        <v>514</v>
      </c>
      <c r="J325" s="85">
        <f>J321</f>
        <v>0.33950751385359229</v>
      </c>
      <c r="L325" s="85">
        <f>L321</f>
        <v>0.47139024646121935</v>
      </c>
    </row>
    <row r="326" spans="7:12" x14ac:dyDescent="0.35">
      <c r="H326" s="77" t="s">
        <v>515</v>
      </c>
      <c r="J326" s="85">
        <f>J318</f>
        <v>0.1415480231967611</v>
      </c>
      <c r="L326" s="85">
        <f>L318</f>
        <v>0.17024221633999342</v>
      </c>
    </row>
    <row r="327" spans="7:12" x14ac:dyDescent="0.35">
      <c r="H327" s="77" t="s">
        <v>276</v>
      </c>
      <c r="J327" s="85">
        <f>J320</f>
        <v>8.6730413853540619E-2</v>
      </c>
      <c r="L327" s="85">
        <f>L320</f>
        <v>0.12042110849933838</v>
      </c>
    </row>
    <row r="328" spans="7:12" x14ac:dyDescent="0.35">
      <c r="H328" s="77" t="s">
        <v>256</v>
      </c>
      <c r="J328" s="82">
        <f>J317/2</f>
        <v>0.21573715948430497</v>
      </c>
      <c r="L328" s="82">
        <f>L317/2</f>
        <v>0.11845967407022193</v>
      </c>
    </row>
  </sheetData>
  <mergeCells count="23">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 ref="C42:D42"/>
    <mergeCell ref="X81:Y81"/>
    <mergeCell ref="Z81:AA81"/>
    <mergeCell ref="X96:Y96"/>
    <mergeCell ref="Z96:AA96"/>
    <mergeCell ref="V96:W96"/>
    <mergeCell ref="M42:N42"/>
    <mergeCell ref="P42:Q42"/>
    <mergeCell ref="V81:W81"/>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558</v>
      </c>
      <c r="V1" s="69" t="s">
        <v>294</v>
      </c>
      <c r="W1" s="69">
        <v>3.0000000000000001E-5</v>
      </c>
    </row>
    <row r="2" spans="3:23" x14ac:dyDescent="0.25">
      <c r="V2" s="69" t="s">
        <v>292</v>
      </c>
      <c r="W2" s="69">
        <v>0</v>
      </c>
    </row>
    <row r="3" spans="3:23" x14ac:dyDescent="0.25">
      <c r="C3" s="69" t="s">
        <v>557</v>
      </c>
      <c r="V3" s="69" t="s">
        <v>288</v>
      </c>
      <c r="W3" s="69">
        <v>0</v>
      </c>
    </row>
    <row r="4" spans="3:23" x14ac:dyDescent="0.25">
      <c r="V4" s="69" t="s">
        <v>556</v>
      </c>
      <c r="W4" s="69">
        <v>1.8799999999999999E-3</v>
      </c>
    </row>
    <row r="5" spans="3:23" x14ac:dyDescent="0.25">
      <c r="V5" s="69" t="s">
        <v>555</v>
      </c>
      <c r="W5" s="69">
        <v>6.2E-4</v>
      </c>
    </row>
    <row r="6" spans="3:23" x14ac:dyDescent="0.25">
      <c r="V6" s="69" t="s">
        <v>282</v>
      </c>
      <c r="W6" s="69">
        <v>1.0000000000000001E-5</v>
      </c>
    </row>
    <row r="7" spans="3:23" x14ac:dyDescent="0.25">
      <c r="V7" s="69" t="s">
        <v>281</v>
      </c>
      <c r="W7" s="69">
        <v>1.0000000000000001E-5</v>
      </c>
    </row>
    <row r="8" spans="3:23" x14ac:dyDescent="0.25">
      <c r="V8" s="69" t="s">
        <v>279</v>
      </c>
      <c r="W8" s="69">
        <v>3.0000000000000001E-5</v>
      </c>
    </row>
    <row r="9" spans="3:23" x14ac:dyDescent="0.25">
      <c r="V9" s="69" t="s">
        <v>277</v>
      </c>
      <c r="W9" s="69">
        <v>1.5200000000000001E-3</v>
      </c>
    </row>
    <row r="10" spans="3:23" x14ac:dyDescent="0.25">
      <c r="V10" s="69" t="s">
        <v>276</v>
      </c>
      <c r="W10" s="69">
        <v>2.7000000000000001E-3</v>
      </c>
    </row>
    <row r="11" spans="3:23" x14ac:dyDescent="0.25">
      <c r="V11" s="69" t="s">
        <v>514</v>
      </c>
      <c r="W11" s="69">
        <v>0.17191000000000001</v>
      </c>
    </row>
    <row r="12" spans="3:23" x14ac:dyDescent="0.25">
      <c r="O12" s="69" t="s">
        <v>554</v>
      </c>
      <c r="V12" s="69" t="s">
        <v>515</v>
      </c>
      <c r="W12" s="69">
        <v>7.2400000000000006E-2</v>
      </c>
    </row>
    <row r="13" spans="3:23" x14ac:dyDescent="0.25">
      <c r="O13" s="69" t="s">
        <v>553</v>
      </c>
      <c r="P13" s="69" t="s">
        <v>552</v>
      </c>
      <c r="V13" s="69" t="s">
        <v>273</v>
      </c>
      <c r="W13" s="69">
        <v>3.6269999999999997E-2</v>
      </c>
    </row>
    <row r="14" spans="3:23" x14ac:dyDescent="0.25">
      <c r="O14" s="69" t="s">
        <v>551</v>
      </c>
      <c r="P14" s="69" t="s">
        <v>514</v>
      </c>
      <c r="V14" s="69" t="s">
        <v>272</v>
      </c>
      <c r="W14" s="69">
        <v>0.11017</v>
      </c>
    </row>
    <row r="15" spans="3:23" x14ac:dyDescent="0.25">
      <c r="O15" s="69" t="s">
        <v>550</v>
      </c>
      <c r="P15" s="69" t="s">
        <v>515</v>
      </c>
      <c r="V15" s="69" t="s">
        <v>271</v>
      </c>
      <c r="W15" s="69">
        <v>1.2959999999999999E-2</v>
      </c>
    </row>
    <row r="16" spans="3:23" x14ac:dyDescent="0.25">
      <c r="O16" s="69" t="s">
        <v>549</v>
      </c>
      <c r="P16" s="69" t="s">
        <v>513</v>
      </c>
      <c r="V16" s="69" t="s">
        <v>270</v>
      </c>
      <c r="W16" s="69">
        <v>2.6179999999999998E-2</v>
      </c>
    </row>
    <row r="17" spans="3:23" x14ac:dyDescent="0.25">
      <c r="O17" s="69" t="s">
        <v>548</v>
      </c>
      <c r="V17" s="69" t="s">
        <v>269</v>
      </c>
      <c r="W17" s="69">
        <v>1.75E-3</v>
      </c>
    </row>
    <row r="18" spans="3:23" x14ac:dyDescent="0.25">
      <c r="O18" s="69" t="s">
        <v>547</v>
      </c>
      <c r="P18" s="69" t="s">
        <v>515</v>
      </c>
      <c r="V18" s="69" t="s">
        <v>513</v>
      </c>
      <c r="W18" s="69">
        <v>0.48737000000000003</v>
      </c>
    </row>
    <row r="19" spans="3:23" x14ac:dyDescent="0.25">
      <c r="O19" s="69" t="s">
        <v>539</v>
      </c>
      <c r="P19" s="69" t="s">
        <v>513</v>
      </c>
      <c r="V19" s="69" t="s">
        <v>256</v>
      </c>
      <c r="W19" s="69">
        <v>7.4209999999999998E-2</v>
      </c>
    </row>
    <row r="20" spans="3:23" x14ac:dyDescent="0.25">
      <c r="O20" s="69" t="s">
        <v>546</v>
      </c>
    </row>
    <row r="32" spans="3:23" x14ac:dyDescent="0.25">
      <c r="C32" s="19" t="s">
        <v>545</v>
      </c>
      <c r="S32" s="69">
        <v>1.6</v>
      </c>
    </row>
    <row r="33" spans="16:35" x14ac:dyDescent="0.25">
      <c r="R33" s="69" t="s">
        <v>544</v>
      </c>
      <c r="S33" s="69" t="s">
        <v>543</v>
      </c>
    </row>
    <row r="34" spans="16:35" x14ac:dyDescent="0.25">
      <c r="P34" s="69" t="s">
        <v>542</v>
      </c>
      <c r="Q34" s="69" t="s">
        <v>514</v>
      </c>
      <c r="R34" s="69">
        <v>0.4</v>
      </c>
      <c r="S34" s="69">
        <v>0.4</v>
      </c>
      <c r="W34" s="69" t="s">
        <v>541</v>
      </c>
    </row>
    <row r="35" spans="16:35" x14ac:dyDescent="0.25">
      <c r="P35" s="69" t="s">
        <v>540</v>
      </c>
      <c r="Q35" s="69" t="s">
        <v>515</v>
      </c>
      <c r="R35" s="69">
        <v>0.05</v>
      </c>
      <c r="S35" s="69">
        <f>R35</f>
        <v>0.05</v>
      </c>
    </row>
    <row r="36" spans="16:35" x14ac:dyDescent="0.25">
      <c r="P36" s="69" t="s">
        <v>539</v>
      </c>
      <c r="Q36" s="69" t="s">
        <v>513</v>
      </c>
      <c r="R36" s="69">
        <v>0.12</v>
      </c>
      <c r="S36" s="69">
        <f>R36*S$32</f>
        <v>0.192</v>
      </c>
    </row>
    <row r="37" spans="16:35" x14ac:dyDescent="0.25">
      <c r="P37" s="69" t="s">
        <v>538</v>
      </c>
      <c r="Q37" s="69" t="s">
        <v>515</v>
      </c>
      <c r="R37" s="69">
        <f>0.07+0.05</f>
        <v>0.12000000000000001</v>
      </c>
      <c r="S37" s="69">
        <f>R37*S$32</f>
        <v>0.19200000000000003</v>
      </c>
    </row>
    <row r="38" spans="16:35" x14ac:dyDescent="0.25">
      <c r="P38" s="69" t="s">
        <v>537</v>
      </c>
      <c r="Q38" s="69" t="s">
        <v>513</v>
      </c>
      <c r="R38" s="69">
        <v>0.11</v>
      </c>
      <c r="S38" s="69">
        <f>R38*S$32</f>
        <v>0.17600000000000002</v>
      </c>
    </row>
    <row r="39" spans="16:35" x14ac:dyDescent="0.25">
      <c r="P39" s="69" t="s">
        <v>504</v>
      </c>
      <c r="Q39" s="69" t="s">
        <v>276</v>
      </c>
    </row>
    <row r="40" spans="16:35" x14ac:dyDescent="0.25">
      <c r="P40" s="69" t="s">
        <v>536</v>
      </c>
      <c r="Q40" s="69" t="s">
        <v>256</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160</v>
      </c>
      <c r="U44" s="69" t="s">
        <v>535</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7.9289131920710867E-2</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17:35" x14ac:dyDescent="0.25">
      <c r="AH50" s="69" t="str">
        <f>AH47</f>
        <v>cbsrv</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5"/>
    </row>
    <row r="54" spans="17:35" x14ac:dyDescent="0.25">
      <c r="R54" s="70"/>
      <c r="S54" s="70"/>
      <c r="T54" s="70"/>
      <c r="U54" s="70"/>
      <c r="V54" s="75"/>
      <c r="AH54" s="69" t="str">
        <f>AH48</f>
        <v>cbsrv</v>
      </c>
      <c r="AI54" s="69">
        <v>23</v>
      </c>
    </row>
    <row r="55" spans="17:35" x14ac:dyDescent="0.25">
      <c r="R55" s="70"/>
      <c r="S55" s="70"/>
      <c r="T55" s="70"/>
      <c r="U55" s="70"/>
      <c r="V55" s="75"/>
      <c r="AH55" s="69" t="str">
        <f>AH48</f>
        <v>cbsrv</v>
      </c>
      <c r="AI55" s="69">
        <v>90</v>
      </c>
    </row>
    <row r="56" spans="17:35" x14ac:dyDescent="0.25">
      <c r="R56" s="70"/>
      <c r="S56" s="70"/>
      <c r="T56" s="70"/>
      <c r="U56" s="70"/>
      <c r="V56" s="75"/>
      <c r="AI56" s="69">
        <f>SUM(AI43:AI55)</f>
        <v>1463</v>
      </c>
    </row>
    <row r="57" spans="17:35" x14ac:dyDescent="0.25">
      <c r="R57" s="70"/>
      <c r="S57" s="70"/>
      <c r="T57" s="70"/>
      <c r="U57" s="70"/>
    </row>
    <row r="66" spans="6:17" x14ac:dyDescent="0.25">
      <c r="F66" s="69" t="s">
        <v>534</v>
      </c>
    </row>
    <row r="67" spans="6:17" x14ac:dyDescent="0.25">
      <c r="Q67" s="69" t="s">
        <v>533</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sheetViews>
  <sheetFormatPr defaultRowHeight="12.75" x14ac:dyDescent="0.2"/>
  <cols>
    <col min="1" max="1" width="99.28515625" bestFit="1" customWidth="1"/>
  </cols>
  <sheetData>
    <row r="1" spans="1:10" ht="20.25" thickBot="1" x14ac:dyDescent="0.35">
      <c r="A1" s="379" t="s">
        <v>1140</v>
      </c>
      <c r="B1" s="379"/>
      <c r="C1" s="379"/>
      <c r="D1" s="379"/>
      <c r="E1" s="379"/>
      <c r="F1" s="379"/>
      <c r="G1" s="379"/>
    </row>
    <row r="2" spans="1:10" ht="13.5" thickTop="1" x14ac:dyDescent="0.2"/>
    <row r="3" spans="1:10" ht="18" thickBot="1" x14ac:dyDescent="0.35">
      <c r="A3" s="380" t="s">
        <v>1141</v>
      </c>
    </row>
    <row r="4" spans="1:10" ht="77.25" thickTop="1" x14ac:dyDescent="0.2">
      <c r="B4" s="1" t="s">
        <v>1142</v>
      </c>
      <c r="C4" s="381" t="s">
        <v>1143</v>
      </c>
      <c r="D4" s="381" t="s">
        <v>1144</v>
      </c>
      <c r="E4" s="381" t="s">
        <v>1145</v>
      </c>
      <c r="F4" s="381" t="s">
        <v>1146</v>
      </c>
      <c r="G4" s="382" t="s">
        <v>1147</v>
      </c>
      <c r="H4" s="383" t="s">
        <v>1148</v>
      </c>
    </row>
    <row r="5" spans="1:10" x14ac:dyDescent="0.2">
      <c r="A5" s="66" t="s">
        <v>1149</v>
      </c>
    </row>
    <row r="6" spans="1:10" ht="15" x14ac:dyDescent="0.25">
      <c r="A6" s="66" t="s">
        <v>1150</v>
      </c>
      <c r="B6" s="1"/>
      <c r="C6" s="384">
        <v>0.79318121894331206</v>
      </c>
      <c r="D6" s="385"/>
      <c r="E6" s="384">
        <v>0.8</v>
      </c>
      <c r="F6" s="384">
        <v>0.91222049555382889</v>
      </c>
      <c r="G6" s="386">
        <v>0.8</v>
      </c>
      <c r="H6" s="1"/>
    </row>
    <row r="7" spans="1:10" ht="15" x14ac:dyDescent="0.25">
      <c r="A7" s="387" t="s">
        <v>1151</v>
      </c>
      <c r="C7" s="388">
        <v>0.68507942350468476</v>
      </c>
      <c r="D7" s="389"/>
      <c r="E7" s="388">
        <v>0.7263795890503022</v>
      </c>
      <c r="F7" s="388">
        <v>0.83717812216570053</v>
      </c>
      <c r="G7" s="390">
        <v>0.75</v>
      </c>
      <c r="H7" s="1"/>
    </row>
    <row r="8" spans="1:10" ht="15" x14ac:dyDescent="0.25">
      <c r="A8" s="391" t="s">
        <v>1152</v>
      </c>
      <c r="B8">
        <v>21</v>
      </c>
      <c r="C8" s="392">
        <v>0.255587197512747</v>
      </c>
      <c r="D8" s="392">
        <v>0.245</v>
      </c>
      <c r="E8" s="392">
        <v>0.26417602645168986</v>
      </c>
      <c r="F8" s="393">
        <v>0.20957136128120585</v>
      </c>
      <c r="G8" s="394">
        <v>0.24499999999999988</v>
      </c>
      <c r="H8" s="395">
        <v>0.14699999999999994</v>
      </c>
      <c r="J8" t="s">
        <v>513</v>
      </c>
    </row>
    <row r="9" spans="1:10" ht="15" x14ac:dyDescent="0.25">
      <c r="A9" s="391" t="s">
        <v>1153</v>
      </c>
      <c r="B9">
        <v>22</v>
      </c>
      <c r="C9" s="392">
        <v>0.28916345492509982</v>
      </c>
      <c r="D9" s="392">
        <v>0.31336142322097377</v>
      </c>
      <c r="E9" s="392">
        <v>0.28365444314858868</v>
      </c>
      <c r="F9" s="393">
        <v>0.39513895430993878</v>
      </c>
      <c r="G9" s="394">
        <v>0.32</v>
      </c>
      <c r="H9" s="395">
        <v>0.192</v>
      </c>
      <c r="J9" t="s">
        <v>514</v>
      </c>
    </row>
    <row r="10" spans="1:10" ht="15" x14ac:dyDescent="0.25">
      <c r="A10" s="391" t="s">
        <v>1154</v>
      </c>
      <c r="B10">
        <v>23</v>
      </c>
      <c r="C10" s="392">
        <v>0.1951378323230144</v>
      </c>
      <c r="D10" s="392">
        <v>0.22527153558052435</v>
      </c>
      <c r="E10" s="392">
        <v>0.24956721392901576</v>
      </c>
      <c r="F10" s="393">
        <v>0.21326424870466321</v>
      </c>
      <c r="G10" s="394">
        <v>0.23</v>
      </c>
      <c r="H10" s="395">
        <v>0.13800000000000001</v>
      </c>
      <c r="J10" t="s">
        <v>514</v>
      </c>
    </row>
    <row r="11" spans="1:10" ht="15" x14ac:dyDescent="0.25">
      <c r="A11" s="391" t="s">
        <v>1155</v>
      </c>
      <c r="B11">
        <v>24</v>
      </c>
      <c r="C11" s="392">
        <v>0.14115403839369708</v>
      </c>
      <c r="D11" s="392">
        <v>7.8455056179775273E-2</v>
      </c>
      <c r="E11" s="392">
        <v>7.7913666787595162E-2</v>
      </c>
      <c r="F11" s="393">
        <v>5.7239755063589262E-2</v>
      </c>
      <c r="G11" s="396">
        <v>7.4999999999999997E-2</v>
      </c>
      <c r="H11" s="395">
        <v>4.4999999999999998E-2</v>
      </c>
      <c r="J11" t="s">
        <v>515</v>
      </c>
    </row>
    <row r="12" spans="1:10" ht="15" x14ac:dyDescent="0.25">
      <c r="A12" s="391" t="s">
        <v>1156</v>
      </c>
      <c r="B12">
        <v>25</v>
      </c>
      <c r="C12" s="397">
        <v>5.6236756797099455E-2</v>
      </c>
      <c r="D12" s="392">
        <v>6.8820224719101125E-2</v>
      </c>
      <c r="E12" s="392">
        <v>5.4783046960027851E-2</v>
      </c>
      <c r="F12" s="393">
        <v>5.7239755063589262E-2</v>
      </c>
      <c r="G12" s="394">
        <v>0.06</v>
      </c>
      <c r="H12" s="395">
        <v>3.5999999999999997E-2</v>
      </c>
      <c r="J12" t="s">
        <v>514</v>
      </c>
    </row>
    <row r="13" spans="1:10" ht="15" x14ac:dyDescent="0.25">
      <c r="A13" s="391" t="s">
        <v>1157</v>
      </c>
      <c r="B13">
        <v>26</v>
      </c>
      <c r="C13" s="397">
        <v>4.6370659113397807E-2</v>
      </c>
      <c r="D13" s="392">
        <v>4.9091760299625468E-2</v>
      </c>
      <c r="E13" s="392">
        <v>4.9913442785803154E-2</v>
      </c>
      <c r="F13" s="393">
        <v>4.7545925577013662E-2</v>
      </c>
      <c r="G13" s="394">
        <v>0.05</v>
      </c>
      <c r="H13" s="395">
        <v>3.0000000000000006E-2</v>
      </c>
      <c r="J13" t="s">
        <v>514</v>
      </c>
    </row>
    <row r="14" spans="1:10" ht="15" x14ac:dyDescent="0.25">
      <c r="A14" s="391" t="s">
        <v>1158</v>
      </c>
      <c r="B14" s="1" t="s">
        <v>1159</v>
      </c>
      <c r="C14" s="397">
        <v>1.635006093494442E-2</v>
      </c>
      <c r="D14" s="397">
        <v>0.02</v>
      </c>
      <c r="E14" s="397">
        <v>1.9992159937279499E-2</v>
      </c>
      <c r="F14" s="397">
        <v>2.0000000000000004E-2</v>
      </c>
      <c r="G14" s="394">
        <v>0.02</v>
      </c>
      <c r="H14" s="395">
        <v>1.2E-2</v>
      </c>
      <c r="J14" t="s">
        <v>256</v>
      </c>
    </row>
    <row r="15" spans="1:10" ht="15" x14ac:dyDescent="0.25">
      <c r="A15" s="387" t="s">
        <v>1160</v>
      </c>
      <c r="C15" s="398">
        <v>0.31492057649531519</v>
      </c>
      <c r="D15" s="399"/>
      <c r="E15" s="388">
        <v>0.27362041094969775</v>
      </c>
      <c r="F15" s="388">
        <v>0.1944889307583608</v>
      </c>
      <c r="G15" s="390">
        <v>0.25</v>
      </c>
      <c r="H15" s="400"/>
    </row>
    <row r="16" spans="1:10" ht="15" x14ac:dyDescent="0.25">
      <c r="A16" s="391" t="s">
        <v>1161</v>
      </c>
      <c r="B16" s="1" t="s">
        <v>1162</v>
      </c>
      <c r="C16" s="392">
        <v>0.34289449990843945</v>
      </c>
      <c r="D16" s="401"/>
      <c r="E16" s="392">
        <v>0.56233881236628291</v>
      </c>
      <c r="F16" s="393">
        <v>0.36313877452167598</v>
      </c>
      <c r="G16" s="394">
        <v>0.4</v>
      </c>
      <c r="H16" s="395">
        <v>8.0000000000000016E-2</v>
      </c>
      <c r="J16" t="s">
        <v>256</v>
      </c>
    </row>
    <row r="17" spans="1:10" ht="15" x14ac:dyDescent="0.25">
      <c r="A17" s="391" t="s">
        <v>1052</v>
      </c>
      <c r="B17" s="1" t="s">
        <v>1163</v>
      </c>
      <c r="C17" s="392">
        <v>0.3385880542555707</v>
      </c>
      <c r="D17" s="401"/>
      <c r="E17" s="392">
        <v>0.16159161274893186</v>
      </c>
      <c r="F17" s="393">
        <v>0.25395979656091067</v>
      </c>
      <c r="G17" s="394">
        <v>0.25</v>
      </c>
      <c r="H17" s="395">
        <v>0.05</v>
      </c>
      <c r="J17" t="s">
        <v>256</v>
      </c>
    </row>
    <row r="18" spans="1:10" ht="15" x14ac:dyDescent="0.25">
      <c r="A18" s="391" t="s">
        <v>1164</v>
      </c>
      <c r="B18" s="1" t="s">
        <v>1165</v>
      </c>
      <c r="C18" s="392">
        <v>7.1135969864102033E-2</v>
      </c>
      <c r="D18" s="401"/>
      <c r="E18" s="397">
        <v>5.3073149291259183E-2</v>
      </c>
      <c r="F18" s="397">
        <v>0.10283361588762413</v>
      </c>
      <c r="G18" s="394">
        <v>9.9999999999999978E-2</v>
      </c>
      <c r="H18" s="395">
        <v>1.9999999999999997E-2</v>
      </c>
      <c r="J18" t="s">
        <v>256</v>
      </c>
    </row>
    <row r="19" spans="1:10" ht="15" x14ac:dyDescent="0.25">
      <c r="A19" s="391" t="s">
        <v>1166</v>
      </c>
      <c r="B19" s="1" t="s">
        <v>1167</v>
      </c>
      <c r="C19" s="397">
        <v>0.24738147597188775</v>
      </c>
      <c r="D19" s="401"/>
      <c r="E19" s="392">
        <v>0.22299642559352598</v>
      </c>
      <c r="F19" s="393">
        <v>0.28006781302978928</v>
      </c>
      <c r="G19" s="394">
        <v>0.25</v>
      </c>
      <c r="H19" s="395">
        <v>0.05</v>
      </c>
      <c r="J19" t="s">
        <v>256</v>
      </c>
    </row>
    <row r="20" spans="1:10" ht="15" x14ac:dyDescent="0.25">
      <c r="A20" s="402" t="s">
        <v>1168</v>
      </c>
      <c r="C20" s="403">
        <v>9.5268228374404226E-2</v>
      </c>
      <c r="D20" s="385"/>
      <c r="E20" s="384">
        <v>0.1</v>
      </c>
      <c r="F20" s="384">
        <v>4.582865693976805E-2</v>
      </c>
      <c r="G20" s="386">
        <v>0.1</v>
      </c>
      <c r="H20" s="404">
        <v>0.1</v>
      </c>
      <c r="J20" t="s">
        <v>513</v>
      </c>
    </row>
    <row r="21" spans="1:10" ht="15" x14ac:dyDescent="0.25">
      <c r="A21" s="402" t="s">
        <v>1169</v>
      </c>
      <c r="C21" s="403">
        <v>0.11155055268228374</v>
      </c>
      <c r="D21" s="385"/>
      <c r="E21" s="384">
        <v>0.1</v>
      </c>
      <c r="F21" s="384">
        <v>4.1950847506403065E-2</v>
      </c>
      <c r="G21" s="386">
        <v>9.9999999999999978E-2</v>
      </c>
      <c r="H21" s="404">
        <v>9.9999999999999978E-2</v>
      </c>
      <c r="J21" t="s">
        <v>256</v>
      </c>
    </row>
    <row r="22" spans="1:10" x14ac:dyDescent="0.2">
      <c r="A22" s="405" t="s">
        <v>60</v>
      </c>
      <c r="C22" s="406"/>
      <c r="H22" s="407">
        <v>1.0000000000000002</v>
      </c>
    </row>
    <row r="23" spans="1:10" x14ac:dyDescent="0.2">
      <c r="H23" s="64">
        <f>SUMIF($J$8:$J$21,J23,$H$8:$H$21)</f>
        <v>0.24699999999999994</v>
      </c>
      <c r="J23" t="s">
        <v>513</v>
      </c>
    </row>
    <row r="24" spans="1:10" x14ac:dyDescent="0.2">
      <c r="H24" s="64">
        <f t="shared" ref="H24:H27" si="0">SUMIF($J$8:$J$21,J24,$H$8:$H$21)</f>
        <v>0.39600000000000002</v>
      </c>
      <c r="J24" t="s">
        <v>514</v>
      </c>
    </row>
    <row r="25" spans="1:10" x14ac:dyDescent="0.2">
      <c r="H25" s="64">
        <f t="shared" si="0"/>
        <v>4.4999999999999998E-2</v>
      </c>
      <c r="J25" t="s">
        <v>515</v>
      </c>
    </row>
    <row r="26" spans="1:10" x14ac:dyDescent="0.2">
      <c r="H26" s="64">
        <f t="shared" si="0"/>
        <v>0</v>
      </c>
      <c r="J26" t="s">
        <v>276</v>
      </c>
    </row>
    <row r="27" spans="1:10" x14ac:dyDescent="0.2">
      <c r="H27" s="64">
        <f t="shared" si="0"/>
        <v>0.312</v>
      </c>
      <c r="J27" t="s">
        <v>256</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tabSelected="1" workbookViewId="0">
      <selection activeCell="K12" sqref="K12"/>
    </sheetView>
  </sheetViews>
  <sheetFormatPr defaultRowHeight="12.75" x14ac:dyDescent="0.2"/>
  <cols>
    <col min="1" max="1" width="36.5703125" bestFit="1" customWidth="1"/>
    <col min="2" max="2" width="13.5703125" customWidth="1"/>
    <col min="3" max="3" width="13" customWidth="1"/>
    <col min="12" max="12" width="17.5703125" customWidth="1"/>
    <col min="17" max="17" width="18.140625" customWidth="1"/>
    <col min="22" max="22" width="12.85546875" customWidth="1"/>
    <col min="25" max="25" width="22" customWidth="1"/>
    <col min="33" max="33" width="13.5703125" customWidth="1"/>
  </cols>
  <sheetData>
    <row r="2" spans="1:70" ht="15" x14ac:dyDescent="0.25">
      <c r="Y2" s="67" t="s">
        <v>1314</v>
      </c>
    </row>
    <row r="3" spans="1:70" x14ac:dyDescent="0.2">
      <c r="R3" s="66" t="s">
        <v>511</v>
      </c>
      <c r="Y3" s="66" t="s">
        <v>512</v>
      </c>
      <c r="AC3" s="66" t="s">
        <v>521</v>
      </c>
      <c r="AJ3">
        <f>MATCH(AH6,$R$5:$V$5,0)</f>
        <v>1</v>
      </c>
      <c r="AR3">
        <f>MATCH(AP6,$R$5:$V$5,0)</f>
        <v>2</v>
      </c>
      <c r="AZ3">
        <f>MATCH(AX6,$R$5:$V$5,0)</f>
        <v>3</v>
      </c>
      <c r="BH3">
        <f>MATCH(BF6,$R$5:$V$5,0)</f>
        <v>4</v>
      </c>
      <c r="BP3">
        <f>MATCH(BN6,$R$5:$V$5,0)</f>
        <v>5</v>
      </c>
    </row>
    <row r="4" spans="1:70" ht="15" x14ac:dyDescent="0.25">
      <c r="B4" s="1" t="s">
        <v>1369</v>
      </c>
      <c r="G4" s="1" t="s">
        <v>1369</v>
      </c>
      <c r="L4" s="1" t="s">
        <v>1369</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x14ac:dyDescent="0.25">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x14ac:dyDescent="0.2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6.0040416212520223E-2</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x14ac:dyDescent="0.25">
      <c r="A7" s="74" t="s">
        <v>566</v>
      </c>
      <c r="B7" s="1" t="s">
        <v>428</v>
      </c>
      <c r="C7" s="74" t="s">
        <v>565</v>
      </c>
      <c r="D7" s="1">
        <v>2017</v>
      </c>
      <c r="E7">
        <v>51359.8538564517</v>
      </c>
      <c r="G7" s="1" t="s">
        <v>428</v>
      </c>
      <c r="H7" s="74" t="str">
        <f t="shared" ref="H7:H29" si="0">C7</f>
        <v>ETCLEKUSI-N</v>
      </c>
      <c r="I7" s="1">
        <v>2030</v>
      </c>
      <c r="L7" s="1" t="s">
        <v>428</v>
      </c>
      <c r="M7" s="74" t="str">
        <f t="shared" ref="M7:M29" si="1">C7</f>
        <v>ETCLEKUSI-N</v>
      </c>
      <c r="N7" s="1">
        <v>2050</v>
      </c>
      <c r="R7" s="76">
        <f>R6</f>
        <v>0.27128240236133583</v>
      </c>
      <c r="S7" s="76">
        <f t="shared" ref="S7:V7" si="2">S6</f>
        <v>0.41966135343537808</v>
      </c>
      <c r="T7" s="76">
        <f t="shared" si="2"/>
        <v>6.0040416212520223E-2</v>
      </c>
      <c r="U7" s="76">
        <f t="shared" si="2"/>
        <v>0</v>
      </c>
      <c r="V7" s="76">
        <f t="shared" si="2"/>
        <v>0.24901582799076588</v>
      </c>
      <c r="W7" s="1" t="s">
        <v>1291</v>
      </c>
      <c r="AF7" s="3" t="str">
        <f t="shared" ref="AF7:AF45" si="3">$C7</f>
        <v>ETCLEKUSI-N</v>
      </c>
      <c r="AG7" s="58" t="s">
        <v>481</v>
      </c>
      <c r="AH7" s="376" t="str">
        <f>AH6</f>
        <v>ccons_e</v>
      </c>
      <c r="AI7" s="3">
        <v>3</v>
      </c>
      <c r="AJ7" cm="1">
        <f t="array" ref="AJ7">INDEX($R7:$V7,1,AJ$3)*$E7</f>
        <v>13933.024539105336</v>
      </c>
      <c r="AK7" t="str">
        <f t="shared" ref="AK7:AK45" si="4">IF($J7&lt;&gt;"",AJ7*$J7/$E7,"")</f>
        <v/>
      </c>
      <c r="AL7" t="str">
        <f t="shared" ref="AL7:AL45" si="5">IF($O7&lt;&gt;"",AK7*$O7/$J7,"")</f>
        <v/>
      </c>
      <c r="AN7" s="3" t="str">
        <f t="shared" ref="AN7:AN45" si="6">$M7</f>
        <v>ETCLEKUSI-N</v>
      </c>
      <c r="AO7" s="58" t="s">
        <v>481</v>
      </c>
      <c r="AP7" s="376" t="str">
        <f>AP6</f>
        <v>cmach_e</v>
      </c>
      <c r="AQ7" s="3">
        <v>3</v>
      </c>
      <c r="AR7" cm="1">
        <f t="array" ref="AR7">INDEX($R7:$V7,1,AR$3)*$E7</f>
        <v>21553.745781641745</v>
      </c>
      <c r="AS7" t="str">
        <f t="shared" ref="AS7:AS45" si="7">IF($J7&lt;&gt;"",AR7*$J7/$E7,"")</f>
        <v/>
      </c>
      <c r="AT7" t="str">
        <f t="shared" ref="AT7:AT45" si="8">IF($O7&lt;&gt;"",AS7*$O7/$J7,"")</f>
        <v/>
      </c>
      <c r="AV7" s="3" t="str">
        <f t="shared" ref="AV7:AV45" si="9">$M7</f>
        <v>ETCLEKUSI-N</v>
      </c>
      <c r="AW7" s="58" t="s">
        <v>481</v>
      </c>
      <c r="AX7" s="376" t="str">
        <f>AX6</f>
        <v>cemch_e</v>
      </c>
      <c r="AY7" s="3">
        <v>3</v>
      </c>
      <c r="AZ7" cm="1">
        <f t="array" ref="AZ7">INDEX($R7:$V7,1,AZ$3)*$E7</f>
        <v>3083.6670021555719</v>
      </c>
      <c r="BA7" t="str">
        <f t="shared" ref="BA7:BA45" si="10">IF($J7&lt;&gt;"",AZ7*$J7/$E7,"")</f>
        <v/>
      </c>
      <c r="BB7" t="str">
        <f t="shared" ref="BB7:BB45" si="11">IF($O7&lt;&gt;"",BA7*$O7/$J7,"")</f>
        <v/>
      </c>
      <c r="BD7" s="3" t="str">
        <f t="shared" ref="BD7:BD45" si="12">$M7</f>
        <v>ETCLEKUSI-N</v>
      </c>
      <c r="BE7" s="58" t="s">
        <v>481</v>
      </c>
      <c r="BF7" s="376" t="str">
        <f>BF6</f>
        <v>cmetp</v>
      </c>
      <c r="BG7" s="3">
        <v>3</v>
      </c>
      <c r="BH7" cm="1">
        <f t="array" ref="BH7">INDEX($R7:$V7,1,BH$3)*$E7</f>
        <v>0</v>
      </c>
      <c r="BI7" t="str">
        <f t="shared" ref="BI7:BI45" si="13">IF($J7&lt;&gt;"",BH7*$J7/$E7,"")</f>
        <v/>
      </c>
      <c r="BJ7" t="str">
        <f t="shared" ref="BJ7:BJ45" si="14">IF($O7&lt;&gt;"",BI7*$O7/$J7,"")</f>
        <v/>
      </c>
      <c r="BL7" s="3" t="str">
        <f t="shared" ref="BL7:BL45" si="15">$M7</f>
        <v>ETCLEKUSI-N</v>
      </c>
      <c r="BM7" s="58" t="s">
        <v>481</v>
      </c>
      <c r="BN7" s="376" t="str">
        <f>BN6</f>
        <v>cbsrv</v>
      </c>
      <c r="BO7" s="3">
        <v>3</v>
      </c>
      <c r="BP7" cm="1">
        <f t="array" ref="BP7">INDEX($R7:$V7,1,BP$3)*$E7</f>
        <v>12789.416533549051</v>
      </c>
      <c r="BQ7" t="str">
        <f t="shared" ref="BQ7:BQ45" si="16">IF($J7&lt;&gt;"",BP7*$J7/$E7,"")</f>
        <v/>
      </c>
      <c r="BR7" t="str">
        <f t="shared" ref="BR7:BR45" si="17">IF($O7&lt;&gt;"",BQ7*$O7/$J7,"")</f>
        <v/>
      </c>
    </row>
    <row r="8" spans="1:70" ht="15" x14ac:dyDescent="0.2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ref="R8:R9" si="18">R7</f>
        <v>0.27128240236133583</v>
      </c>
      <c r="S8" s="76">
        <f t="shared" ref="S8:S9" si="19">S7</f>
        <v>0.41966135343537808</v>
      </c>
      <c r="T8" s="76">
        <f t="shared" ref="T8:T9" si="20">T7</f>
        <v>6.0040416212520223E-2</v>
      </c>
      <c r="U8" s="76">
        <f t="shared" ref="U8:U9" si="21">U7</f>
        <v>0</v>
      </c>
      <c r="V8" s="76">
        <f t="shared" ref="V8:V9" si="22">V7</f>
        <v>0.24901582799076588</v>
      </c>
      <c r="W8" s="1" t="s">
        <v>1291</v>
      </c>
      <c r="AF8" s="3" t="str">
        <f t="shared" si="3"/>
        <v>ETCLEWATE-N</v>
      </c>
      <c r="AG8" s="58" t="s">
        <v>481</v>
      </c>
      <c r="AH8" s="376" t="str">
        <f t="shared" ref="AH8:AH45" si="23">AH7</f>
        <v>ccons_e</v>
      </c>
      <c r="AI8" s="3">
        <v>3</v>
      </c>
      <c r="AJ8" cm="1">
        <f t="array" ref="AJ8">INDEX($R8:$V8,1,AJ$3)*$E8</f>
        <v>15003.769600877038</v>
      </c>
      <c r="AK8" t="str">
        <f t="shared" si="4"/>
        <v/>
      </c>
      <c r="AL8" t="str">
        <f t="shared" si="5"/>
        <v/>
      </c>
      <c r="AN8" s="3" t="str">
        <f t="shared" si="6"/>
        <v>ETCLEWATE-N</v>
      </c>
      <c r="AO8" s="58" t="s">
        <v>481</v>
      </c>
      <c r="AP8" s="376" t="str">
        <f t="shared" ref="AP8:AP45" si="24">AP7</f>
        <v>cmach_e</v>
      </c>
      <c r="AQ8" s="3">
        <v>3</v>
      </c>
      <c r="AR8" cm="1">
        <f t="array" ref="AR8">INDEX($R8:$V8,1,AR$3)*$E8</f>
        <v>23210.138964155831</v>
      </c>
      <c r="AS8" t="str">
        <f t="shared" si="7"/>
        <v/>
      </c>
      <c r="AT8" t="str">
        <f t="shared" si="8"/>
        <v/>
      </c>
      <c r="AV8" s="3" t="str">
        <f t="shared" si="9"/>
        <v>ETCLEWATE-N</v>
      </c>
      <c r="AW8" s="58" t="s">
        <v>481</v>
      </c>
      <c r="AX8" s="376" t="str">
        <f t="shared" ref="AX8:AX45" si="25">AX7</f>
        <v>cemch_e</v>
      </c>
      <c r="AY8" s="3">
        <v>3</v>
      </c>
      <c r="AZ8" cm="1">
        <f t="array" ref="AZ8">INDEX($R8:$V8,1,AZ$3)*$E8</f>
        <v>3320.6450685789332</v>
      </c>
      <c r="BA8" t="str">
        <f t="shared" si="10"/>
        <v/>
      </c>
      <c r="BB8" t="str">
        <f t="shared" si="11"/>
        <v/>
      </c>
      <c r="BD8" s="3" t="str">
        <f t="shared" si="12"/>
        <v>ETCLEWATE-N</v>
      </c>
      <c r="BE8" s="58" t="s">
        <v>481</v>
      </c>
      <c r="BF8" s="376" t="str">
        <f t="shared" ref="BF8:BF45" si="26">BF7</f>
        <v>cmetp</v>
      </c>
      <c r="BG8" s="3">
        <v>3</v>
      </c>
      <c r="BH8" cm="1">
        <f t="array" ref="BH8">INDEX($R8:$V8,1,BH$3)*$E8</f>
        <v>0</v>
      </c>
      <c r="BI8" t="str">
        <f t="shared" si="13"/>
        <v/>
      </c>
      <c r="BJ8" t="str">
        <f t="shared" si="14"/>
        <v/>
      </c>
      <c r="BL8" s="3" t="str">
        <f t="shared" si="15"/>
        <v>ETCLEWATE-N</v>
      </c>
      <c r="BM8" s="58" t="s">
        <v>481</v>
      </c>
      <c r="BN8" s="376" t="str">
        <f t="shared" ref="BN8:BN45" si="27">BN7</f>
        <v>cbsrv</v>
      </c>
      <c r="BO8" s="3">
        <v>3</v>
      </c>
      <c r="BP8" cm="1">
        <f t="array" ref="BP8">INDEX($R8:$V8,1,BP$3)*$E8</f>
        <v>13772.275966388199</v>
      </c>
      <c r="BQ8" t="str">
        <f t="shared" si="16"/>
        <v/>
      </c>
      <c r="BR8" t="str">
        <f t="shared" si="17"/>
        <v/>
      </c>
    </row>
    <row r="9" spans="1:70" ht="15" x14ac:dyDescent="0.2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6.0040416212520223E-2</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x14ac:dyDescent="0.2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v>
      </c>
      <c r="S10" s="445">
        <v>0.2</v>
      </c>
      <c r="T10" s="445">
        <v>0.1</v>
      </c>
      <c r="U10" s="445">
        <f t="shared" ref="U10" si="28">U9</f>
        <v>0</v>
      </c>
      <c r="V10" s="445">
        <v>0.2</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x14ac:dyDescent="0.2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ref="S11:W11" si="29">S8</f>
        <v>0.41966135343537808</v>
      </c>
      <c r="T11" s="76">
        <f t="shared" si="29"/>
        <v>6.0040416212520223E-2</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x14ac:dyDescent="0.2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4.4999999999999998E-2</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x14ac:dyDescent="0.25">
      <c r="A13" s="74" t="s">
        <v>577</v>
      </c>
      <c r="B13" s="1" t="s">
        <v>428</v>
      </c>
      <c r="C13" s="74" t="s">
        <v>576</v>
      </c>
      <c r="D13" s="1">
        <v>2017</v>
      </c>
      <c r="E13">
        <v>81279.984337530506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ref="S13:V13" si="30">S14</f>
        <v>0.36975375692679613</v>
      </c>
      <c r="T13" s="445">
        <f t="shared" si="30"/>
        <v>0.15577401159838056</v>
      </c>
      <c r="U13" s="445">
        <f t="shared" si="30"/>
        <v>4.336520692677031E-2</v>
      </c>
      <c r="V13" s="445">
        <f t="shared" si="30"/>
        <v>0.20786857974215245</v>
      </c>
      <c r="W13" s="67" t="s">
        <v>1289</v>
      </c>
      <c r="AF13" s="3" t="str">
        <f t="shared" si="3"/>
        <v>ERSOLTC09-N</v>
      </c>
      <c r="AG13" s="58" t="s">
        <v>481</v>
      </c>
      <c r="AH13" s="376" t="str">
        <f t="shared" si="23"/>
        <v>ccons_e</v>
      </c>
      <c r="AI13" s="3">
        <v>3</v>
      </c>
      <c r="AJ13" cm="1">
        <f t="array" ref="AJ13">INDEX($R13:$V13,1,AJ$3)*$E13</f>
        <v>18114.75467076982</v>
      </c>
      <c r="AK13">
        <f t="shared" si="4"/>
        <v>11082.592228291334</v>
      </c>
      <c r="AL13">
        <f t="shared" si="5"/>
        <v>11082.592228291336</v>
      </c>
      <c r="AN13" s="3" t="str">
        <f t="shared" si="6"/>
        <v>ERSOLTC09-N</v>
      </c>
      <c r="AO13" s="58" t="s">
        <v>481</v>
      </c>
      <c r="AP13" s="376" t="str">
        <f t="shared" si="24"/>
        <v>cmach_e</v>
      </c>
      <c r="AQ13" s="3">
        <v>3</v>
      </c>
      <c r="AR13" cm="1">
        <f t="array" ref="AR13">INDEX($R13:$V13,1,AR$3)*$E13</f>
        <v>30053.579571753053</v>
      </c>
      <c r="AS13">
        <f t="shared" si="7"/>
        <v>18386.755628089944</v>
      </c>
      <c r="AT13">
        <f t="shared" si="8"/>
        <v>18386.755628089944</v>
      </c>
      <c r="AV13" s="3" t="str">
        <f t="shared" si="9"/>
        <v>ERSOLTC09-N</v>
      </c>
      <c r="AW13" s="58" t="s">
        <v>481</v>
      </c>
      <c r="AX13" s="376" t="str">
        <f t="shared" si="25"/>
        <v>cemch_e</v>
      </c>
      <c r="AY13" s="3">
        <v>3</v>
      </c>
      <c r="AZ13" cm="1">
        <f t="array" ref="AZ13">INDEX($R13:$V13,1,AZ$3)*$E13</f>
        <v>12661.309222910668</v>
      </c>
      <c r="BA13">
        <f t="shared" si="10"/>
        <v>7746.1787224888749</v>
      </c>
      <c r="BB13">
        <f t="shared" si="11"/>
        <v>7746.1787224888749</v>
      </c>
      <c r="BD13" s="3" t="str">
        <f t="shared" si="12"/>
        <v>ERSOLTC09-N</v>
      </c>
      <c r="BE13" s="58" t="s">
        <v>481</v>
      </c>
      <c r="BF13" s="376" t="str">
        <f t="shared" si="26"/>
        <v>cmetp</v>
      </c>
      <c r="BG13" s="3">
        <v>3</v>
      </c>
      <c r="BH13" cm="1">
        <f t="array" ref="BH13">INDEX($R13:$V13,1,BH$3)*$E13</f>
        <v>3524.7233398016601</v>
      </c>
      <c r="BI13">
        <f t="shared" si="13"/>
        <v>2156.4228830322268</v>
      </c>
      <c r="BJ13">
        <f t="shared" si="14"/>
        <v>2156.4228830322268</v>
      </c>
      <c r="BL13" s="3" t="str">
        <f t="shared" si="15"/>
        <v>ERSOLTC09-N</v>
      </c>
      <c r="BM13" s="58" t="s">
        <v>481</v>
      </c>
      <c r="BN13" s="376" t="str">
        <f t="shared" si="27"/>
        <v>cbsrv</v>
      </c>
      <c r="BO13" s="3">
        <v>3</v>
      </c>
      <c r="BP13" cm="1">
        <f t="array" ref="BP13">INDEX($R13:$V13,1,BP$3)*$E13</f>
        <v>16895.554905706864</v>
      </c>
      <c r="BQ13">
        <f t="shared" si="16"/>
        <v>10336.686800003956</v>
      </c>
      <c r="BR13">
        <f t="shared" si="17"/>
        <v>10336.686800003956</v>
      </c>
    </row>
    <row r="14" spans="1:70" ht="15" x14ac:dyDescent="0.25">
      <c r="A14" s="74" t="s">
        <v>579</v>
      </c>
      <c r="B14" s="1" t="s">
        <v>428</v>
      </c>
      <c r="C14" s="74" t="s">
        <v>578</v>
      </c>
      <c r="D14" s="1">
        <v>2017</v>
      </c>
      <c r="E14">
        <v>19505.013097345101</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0.15577401159838056</v>
      </c>
      <c r="U14" s="76">
        <f>U60</f>
        <v>4.336520692677031E-2</v>
      </c>
      <c r="V14" s="76">
        <f>V60</f>
        <v>0.20786857974215245</v>
      </c>
      <c r="W14" s="1" t="s">
        <v>1290</v>
      </c>
      <c r="AF14" s="3" t="str">
        <f t="shared" si="3"/>
        <v>ERSOLPCF-N</v>
      </c>
      <c r="AG14" s="58" t="s">
        <v>481</v>
      </c>
      <c r="AH14" s="376" t="str">
        <f t="shared" si="23"/>
        <v>ccons_e</v>
      </c>
      <c r="AI14" s="3">
        <v>3</v>
      </c>
      <c r="AJ14" cm="1">
        <f t="array" ref="AJ14">INDEX($R14:$V14,1,AJ$3)*$E14</f>
        <v>4347.054566857385</v>
      </c>
      <c r="AK14">
        <f t="shared" si="4"/>
        <v>2714.2600725687375</v>
      </c>
      <c r="AL14">
        <f t="shared" si="5"/>
        <v>2130.197395051518</v>
      </c>
      <c r="AN14" s="3" t="str">
        <f t="shared" si="6"/>
        <v>ERSOLPCF-N</v>
      </c>
      <c r="AO14" s="58" t="s">
        <v>481</v>
      </c>
      <c r="AP14" s="376" t="str">
        <f t="shared" si="24"/>
        <v>cmach_e</v>
      </c>
      <c r="AQ14" s="3">
        <v>3</v>
      </c>
      <c r="AR14" cm="1">
        <f t="array" ref="AR14">INDEX($R14:$V14,1,AR$3)*$E14</f>
        <v>7212.0518716497154</v>
      </c>
      <c r="AS14">
        <f t="shared" si="7"/>
        <v>4503.1375004489728</v>
      </c>
      <c r="AT14">
        <f t="shared" si="8"/>
        <v>3534.1387768847562</v>
      </c>
      <c r="AV14" s="3" t="str">
        <f t="shared" si="9"/>
        <v>ERSOLPCF-N</v>
      </c>
      <c r="AW14" s="58" t="s">
        <v>481</v>
      </c>
      <c r="AX14" s="376" t="str">
        <f t="shared" si="25"/>
        <v>cemch_e</v>
      </c>
      <c r="AY14" s="3">
        <v>3</v>
      </c>
      <c r="AZ14" cm="1">
        <f t="array" ref="AZ14">INDEX($R14:$V14,1,AZ$3)*$E14</f>
        <v>3038.3741364524003</v>
      </c>
      <c r="BA14">
        <f t="shared" si="10"/>
        <v>1897.1322943526388</v>
      </c>
      <c r="BB14">
        <f t="shared" si="11"/>
        <v>1488.9016392867261</v>
      </c>
      <c r="BD14" s="3" t="str">
        <f t="shared" si="12"/>
        <v>ERSOLPCF-N</v>
      </c>
      <c r="BE14" s="58" t="s">
        <v>481</v>
      </c>
      <c r="BF14" s="376" t="str">
        <f t="shared" si="26"/>
        <v>cmetp</v>
      </c>
      <c r="BG14" s="3">
        <v>3</v>
      </c>
      <c r="BH14" cm="1">
        <f t="array" ref="BH14">INDEX($R14:$V14,1,BH$3)*$E14</f>
        <v>845.83892907573545</v>
      </c>
      <c r="BI14">
        <f t="shared" si="13"/>
        <v>528.13388875269868</v>
      </c>
      <c r="BJ14">
        <f t="shared" si="14"/>
        <v>414.48844398860979</v>
      </c>
      <c r="BL14" s="3" t="str">
        <f t="shared" si="15"/>
        <v>ERSOLPCF-N</v>
      </c>
      <c r="BM14" s="58" t="s">
        <v>481</v>
      </c>
      <c r="BN14" s="376" t="str">
        <f t="shared" si="27"/>
        <v>cbsrv</v>
      </c>
      <c r="BO14" s="3">
        <v>3</v>
      </c>
      <c r="BP14" cm="1">
        <f t="array" ref="BP14">INDEX($R14:$V14,1,BP$3)*$E14</f>
        <v>4054.4793703972082</v>
      </c>
      <c r="BQ14">
        <f t="shared" si="16"/>
        <v>2531.5788658430743</v>
      </c>
      <c r="BR14">
        <f t="shared" si="17"/>
        <v>1986.8260819541729</v>
      </c>
    </row>
    <row r="15" spans="1:70" ht="15" x14ac:dyDescent="0.25">
      <c r="A15" s="74" t="s">
        <v>581</v>
      </c>
      <c r="B15" s="1" t="s">
        <v>428</v>
      </c>
      <c r="C15" s="74" t="s">
        <v>580</v>
      </c>
      <c r="D15" s="1">
        <v>2017</v>
      </c>
      <c r="E15">
        <v>20793.080000000002</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ref="S15:V15" si="31">S14</f>
        <v>0.36975375692679613</v>
      </c>
      <c r="T15" s="76">
        <f t="shared" si="31"/>
        <v>0.15577401159838056</v>
      </c>
      <c r="U15" s="76">
        <f t="shared" si="31"/>
        <v>4.336520692677031E-2</v>
      </c>
      <c r="V15" s="76">
        <f t="shared" si="31"/>
        <v>0.20786857974215245</v>
      </c>
      <c r="W15" s="1" t="s">
        <v>1290</v>
      </c>
      <c r="AF15" s="3" t="str">
        <f t="shared" si="3"/>
        <v>ERSOLPCT-N</v>
      </c>
      <c r="AG15" s="58" t="s">
        <v>481</v>
      </c>
      <c r="AH15" s="376" t="str">
        <f t="shared" si="23"/>
        <v>ccons_e</v>
      </c>
      <c r="AI15" s="3">
        <v>3</v>
      </c>
      <c r="AJ15" cm="1">
        <f t="array" ref="AJ15">INDEX($R15:$V15,1,AJ$3)*$E15</f>
        <v>4634.1242080649563</v>
      </c>
      <c r="AK15">
        <f t="shared" si="4"/>
        <v>2893.5036622666848</v>
      </c>
      <c r="AL15">
        <f t="shared" si="5"/>
        <v>2270.8708079322787</v>
      </c>
      <c r="AN15" s="3" t="str">
        <f t="shared" si="6"/>
        <v>ERSOLPCT-N</v>
      </c>
      <c r="AO15" s="58" t="s">
        <v>481</v>
      </c>
      <c r="AP15" s="376" t="str">
        <f t="shared" si="24"/>
        <v>cmach_e</v>
      </c>
      <c r="AQ15" s="3">
        <v>3</v>
      </c>
      <c r="AR15" cm="1">
        <f t="array" ref="AR15">INDEX($R15:$V15,1,AR$3)*$E15</f>
        <v>7688.3194480794264</v>
      </c>
      <c r="AS15">
        <f t="shared" si="7"/>
        <v>4800.5145051956224</v>
      </c>
      <c r="AT15">
        <f t="shared" si="8"/>
        <v>3767.525299886579</v>
      </c>
      <c r="AV15" s="3" t="str">
        <f t="shared" si="9"/>
        <v>ERSOLPCT-N</v>
      </c>
      <c r="AW15" s="58" t="s">
        <v>481</v>
      </c>
      <c r="AX15" s="376" t="str">
        <f t="shared" si="25"/>
        <v>cemch_e</v>
      </c>
      <c r="AY15" s="3">
        <v>3</v>
      </c>
      <c r="AZ15" cm="1">
        <f t="array" ref="AZ15">INDEX($R15:$V15,1,AZ$3)*$E15</f>
        <v>3239.0214850860552</v>
      </c>
      <c r="BA15">
        <f t="shared" si="10"/>
        <v>2022.4146156778213</v>
      </c>
      <c r="BB15">
        <f t="shared" si="11"/>
        <v>1587.2253324471703</v>
      </c>
      <c r="BD15" s="3" t="str">
        <f t="shared" si="12"/>
        <v>ERSOLPCT-N</v>
      </c>
      <c r="BE15" s="58" t="s">
        <v>481</v>
      </c>
      <c r="BF15" s="376" t="str">
        <f t="shared" si="26"/>
        <v>cmetp</v>
      </c>
      <c r="BG15" s="3">
        <v>3</v>
      </c>
      <c r="BH15" cm="1">
        <f t="array" ref="BH15">INDEX($R15:$V15,1,BH$3)*$E15</f>
        <v>901.69621684488925</v>
      </c>
      <c r="BI15">
        <f t="shared" si="13"/>
        <v>563.01065499108665</v>
      </c>
      <c r="BJ15">
        <f t="shared" si="14"/>
        <v>441.86032236521595</v>
      </c>
      <c r="BL15" s="3" t="str">
        <f t="shared" si="15"/>
        <v>ERSOLPCT-N</v>
      </c>
      <c r="BM15" s="58" t="s">
        <v>481</v>
      </c>
      <c r="BN15" s="376" t="str">
        <f t="shared" si="27"/>
        <v>cbsrv</v>
      </c>
      <c r="BO15" s="3">
        <v>3</v>
      </c>
      <c r="BP15" cm="1">
        <f t="array" ref="BP15">INDEX($R15:$V15,1,BP$3)*$E15</f>
        <v>4322.2280080649552</v>
      </c>
      <c r="BQ15">
        <f t="shared" si="16"/>
        <v>2698.7586022666842</v>
      </c>
      <c r="BR15">
        <f t="shared" si="17"/>
        <v>2118.0315779322782</v>
      </c>
    </row>
    <row r="16" spans="1:70" ht="15" x14ac:dyDescent="0.25">
      <c r="A16" s="74" t="s">
        <v>160</v>
      </c>
      <c r="B16" s="1" t="s">
        <v>428</v>
      </c>
      <c r="C16" s="74" t="s">
        <v>582</v>
      </c>
      <c r="D16" s="1">
        <v>2017</v>
      </c>
      <c r="E16">
        <v>21530.351999999999</v>
      </c>
      <c r="G16" s="1" t="s">
        <v>428</v>
      </c>
      <c r="H16" s="74" t="str">
        <f t="shared" si="0"/>
        <v>ERWNDH-N</v>
      </c>
      <c r="I16" s="1">
        <v>2030</v>
      </c>
      <c r="J16">
        <v>17269.898000000001</v>
      </c>
      <c r="L16" s="1" t="s">
        <v>428</v>
      </c>
      <c r="M16" s="74" t="str">
        <f t="shared" si="1"/>
        <v>ERWNDH-N</v>
      </c>
      <c r="N16" s="1">
        <v>2050</v>
      </c>
      <c r="O16">
        <v>16673.754000000001</v>
      </c>
      <c r="R16" s="76">
        <f>R53</f>
        <v>8.9105290219193278E-2</v>
      </c>
      <c r="S16" s="76">
        <f>S53</f>
        <v>0.51961225664094957</v>
      </c>
      <c r="T16" s="76">
        <f>T53</f>
        <v>0.10850614894834829</v>
      </c>
      <c r="U16" s="76">
        <f>U53</f>
        <v>0.17359121125812774</v>
      </c>
      <c r="V16" s="76">
        <f>V53</f>
        <v>0.10918509293338124</v>
      </c>
      <c r="W16" s="1" t="s">
        <v>1290</v>
      </c>
      <c r="AF16" s="3" t="str">
        <f t="shared" si="3"/>
        <v>ERWNDH-N</v>
      </c>
      <c r="AG16" s="58" t="s">
        <v>481</v>
      </c>
      <c r="AH16" s="376" t="str">
        <f t="shared" si="23"/>
        <v>ccons_e</v>
      </c>
      <c r="AI16" s="3">
        <v>3</v>
      </c>
      <c r="AJ16" cm="1">
        <f t="array" ref="AJ16">INDEX($R16:$V16,1,AJ$3)*$E16</f>
        <v>1918.4682634813882</v>
      </c>
      <c r="AK16">
        <f t="shared" si="4"/>
        <v>1538.8392733458654</v>
      </c>
      <c r="AL16">
        <f t="shared" si="5"/>
        <v>1485.7196892134345</v>
      </c>
      <c r="AN16" s="3" t="str">
        <f t="shared" si="6"/>
        <v>ERWNDH-N</v>
      </c>
      <c r="AO16" s="58" t="s">
        <v>481</v>
      </c>
      <c r="AP16" s="376" t="str">
        <f t="shared" si="24"/>
        <v>cmach_e</v>
      </c>
      <c r="AQ16" s="3">
        <v>3</v>
      </c>
      <c r="AR16" cm="1">
        <f t="array" ref="AR16">INDEX($R16:$V16,1,AR$3)*$E16</f>
        <v>11187.434788993982</v>
      </c>
      <c r="AS16">
        <f t="shared" si="7"/>
        <v>8973.6506717390221</v>
      </c>
      <c r="AT16">
        <f t="shared" si="8"/>
        <v>8663.88694261606</v>
      </c>
      <c r="AV16" s="3" t="str">
        <f t="shared" si="9"/>
        <v>ERWNDH-N</v>
      </c>
      <c r="AW16" s="58" t="s">
        <v>481</v>
      </c>
      <c r="AX16" s="376" t="str">
        <f t="shared" si="25"/>
        <v>cemch_e</v>
      </c>
      <c r="AY16" s="3">
        <v>3</v>
      </c>
      <c r="AZ16" cm="1">
        <f t="array" ref="AZ16">INDEX($R16:$V16,1,AZ$3)*$E16</f>
        <v>2336.1755810223681</v>
      </c>
      <c r="BA16">
        <f t="shared" si="10"/>
        <v>1873.8901247107822</v>
      </c>
      <c r="BB16">
        <f t="shared" si="11"/>
        <v>1809.2048350521179</v>
      </c>
      <c r="BD16" s="3" t="str">
        <f t="shared" si="12"/>
        <v>ERWNDH-N</v>
      </c>
      <c r="BE16" s="58" t="s">
        <v>481</v>
      </c>
      <c r="BF16" s="376" t="str">
        <f t="shared" si="26"/>
        <v>cmetp</v>
      </c>
      <c r="BG16" s="3">
        <v>3</v>
      </c>
      <c r="BH16" cm="1">
        <f t="array" ref="BH16">INDEX($R16:$V16,1,BH$3)*$E16</f>
        <v>3737.479882493853</v>
      </c>
      <c r="BI16">
        <f t="shared" si="13"/>
        <v>2997.902512124318</v>
      </c>
      <c r="BJ16">
        <f t="shared" si="14"/>
        <v>2894.4171530800527</v>
      </c>
      <c r="BL16" s="3" t="str">
        <f t="shared" si="15"/>
        <v>ERWNDH-N</v>
      </c>
      <c r="BM16" s="58" t="s">
        <v>481</v>
      </c>
      <c r="BN16" s="376" t="str">
        <f t="shared" si="27"/>
        <v>cbsrv</v>
      </c>
      <c r="BO16" s="3">
        <v>3</v>
      </c>
      <c r="BP16" cm="1">
        <f t="array" ref="BP16">INDEX($R16:$V16,1,BP$3)*$E16</f>
        <v>2350.7934840084108</v>
      </c>
      <c r="BQ16">
        <f t="shared" si="16"/>
        <v>1885.6154180800152</v>
      </c>
      <c r="BR16">
        <f t="shared" si="17"/>
        <v>1820.5253800383375</v>
      </c>
    </row>
    <row r="17" spans="1:70" ht="15" x14ac:dyDescent="0.2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6.3755533600869635E-2</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x14ac:dyDescent="0.2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ref="S18:V18" si="32">S17</f>
        <v>0.47218555012517083</v>
      </c>
      <c r="T18" s="445">
        <f t="shared" si="32"/>
        <v>6.3755533600869635E-2</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x14ac:dyDescent="0.2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ref="S19:V19" si="33">S17</f>
        <v>0.47218555012517083</v>
      </c>
      <c r="T19" s="76">
        <f t="shared" si="33"/>
        <v>6.3755533600869635E-2</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x14ac:dyDescent="0.2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ref="S20:V20" si="34">S19</f>
        <v>0.47218555012517083</v>
      </c>
      <c r="T20" s="445">
        <f t="shared" si="34"/>
        <v>6.3755533600869635E-2</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x14ac:dyDescent="0.2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ref="S21:V21" si="35">S19</f>
        <v>0.47218555012517083</v>
      </c>
      <c r="T21" s="76">
        <f t="shared" si="35"/>
        <v>6.3755533600869635E-2</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x14ac:dyDescent="0.2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ref="S22:W22" si="36">S21</f>
        <v>0.47218555012517083</v>
      </c>
      <c r="T22" s="76">
        <f t="shared" si="36"/>
        <v>6.3755533600869635E-2</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x14ac:dyDescent="0.2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ref="S23" si="37">S22</f>
        <v>0.47218555012517083</v>
      </c>
      <c r="T23" s="76">
        <f t="shared" ref="T23" si="38">T22</f>
        <v>6.3755533600869635E-2</v>
      </c>
      <c r="U23" s="76">
        <f t="shared" ref="U23" si="39">U22</f>
        <v>0</v>
      </c>
      <c r="V23" s="76">
        <f t="shared" ref="V23" si="40">V22</f>
        <v>0.1445803497789474</v>
      </c>
      <c r="W23" s="76" t="str">
        <f t="shared" ref="W23" si="41">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x14ac:dyDescent="0.2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5.4200542005420058E-2</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x14ac:dyDescent="0.25">
      <c r="A25" t="s">
        <v>1100</v>
      </c>
      <c r="B25" s="1" t="s">
        <v>428</v>
      </c>
      <c r="C25" s="74" t="s">
        <v>1099</v>
      </c>
      <c r="D25" s="1">
        <v>2017</v>
      </c>
      <c r="E25">
        <v>22625.8151929204</v>
      </c>
      <c r="G25" s="1" t="s">
        <v>428</v>
      </c>
      <c r="H25" s="74" t="str">
        <f t="shared" si="0"/>
        <v>ERSOLPRA-N</v>
      </c>
      <c r="I25" s="1">
        <v>2030</v>
      </c>
      <c r="J25">
        <v>14127.346653451301</v>
      </c>
      <c r="L25" s="1" t="s">
        <v>428</v>
      </c>
      <c r="M25" s="74" t="str">
        <f t="shared" si="1"/>
        <v>ERSOLPRA-N</v>
      </c>
      <c r="N25" s="1">
        <v>2050</v>
      </c>
      <c r="O25">
        <v>11087.3815461947</v>
      </c>
      <c r="R25" s="76">
        <f t="shared" ref="R25:V29" si="42">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6260.375933078727</v>
      </c>
      <c r="AK25">
        <f t="shared" si="4"/>
        <v>3908.9199762932922</v>
      </c>
      <c r="AL25">
        <f t="shared" si="5"/>
        <v>3067.7867736839466</v>
      </c>
      <c r="AN25" s="3" t="str">
        <f t="shared" si="6"/>
        <v>ERSOLPRA-N</v>
      </c>
      <c r="AO25" s="58" t="s">
        <v>481</v>
      </c>
      <c r="AP25" s="376" t="str">
        <f t="shared" si="24"/>
        <v>cmach_e</v>
      </c>
      <c r="AQ25" s="3">
        <v>3</v>
      </c>
      <c r="AR25" cm="1">
        <f t="array" ref="AR25">INDEX($R25:$V25,1,AR$3)*$E25</f>
        <v>6804.7564489986162</v>
      </c>
      <c r="AS25">
        <f t="shared" si="7"/>
        <v>4248.8260611883607</v>
      </c>
      <c r="AT25">
        <f t="shared" si="8"/>
        <v>3334.5508409608115</v>
      </c>
      <c r="AV25" s="3" t="str">
        <f t="shared" si="9"/>
        <v>ERSOLPRA-N</v>
      </c>
      <c r="AW25" s="58" t="s">
        <v>481</v>
      </c>
      <c r="AX25" s="376" t="str">
        <f t="shared" si="25"/>
        <v>cemch_e</v>
      </c>
      <c r="AY25" s="3">
        <v>3</v>
      </c>
      <c r="AZ25" cm="1">
        <f t="array" ref="AZ25">INDEX($R25:$V25,1,AZ$3)*$E25</f>
        <v>4116.877651644164</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5443.8051591988924</v>
      </c>
      <c r="BQ25">
        <f t="shared" si="16"/>
        <v>3399.0608489506885</v>
      </c>
      <c r="BR25">
        <f t="shared" si="17"/>
        <v>2667.640672768649</v>
      </c>
    </row>
    <row r="26" spans="1:70" ht="15" x14ac:dyDescent="0.25">
      <c r="A26" t="s">
        <v>1102</v>
      </c>
      <c r="B26" s="1" t="s">
        <v>428</v>
      </c>
      <c r="C26" s="74" t="s">
        <v>1101</v>
      </c>
      <c r="D26" s="1">
        <v>2017</v>
      </c>
      <c r="E26">
        <v>22625.8151929204</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6260.375933078727</v>
      </c>
      <c r="AK26">
        <f t="shared" si="4"/>
        <v>3908.9199762932922</v>
      </c>
      <c r="AL26">
        <f t="shared" si="5"/>
        <v>3067.7867736839466</v>
      </c>
      <c r="AN26" s="3" t="str">
        <f t="shared" si="6"/>
        <v>ERSOLPRM-N</v>
      </c>
      <c r="AO26" s="58" t="s">
        <v>481</v>
      </c>
      <c r="AP26" s="376" t="str">
        <f t="shared" si="24"/>
        <v>cmach_e</v>
      </c>
      <c r="AQ26" s="3">
        <v>3</v>
      </c>
      <c r="AR26" cm="1">
        <f t="array" ref="AR26">INDEX($R26:$V26,1,AR$3)*$E26</f>
        <v>6804.7564489986162</v>
      </c>
      <c r="AS26">
        <f t="shared" si="7"/>
        <v>4248.8260611883607</v>
      </c>
      <c r="AT26">
        <f t="shared" si="8"/>
        <v>3334.5508409608115</v>
      </c>
      <c r="AV26" s="3" t="str">
        <f t="shared" si="9"/>
        <v>ERSOLPRM-N</v>
      </c>
      <c r="AW26" s="58" t="s">
        <v>481</v>
      </c>
      <c r="AX26" s="376" t="str">
        <f t="shared" si="25"/>
        <v>cemch_e</v>
      </c>
      <c r="AY26" s="3">
        <v>3</v>
      </c>
      <c r="AZ26" cm="1">
        <f t="array" ref="AZ26">INDEX($R26:$V26,1,AZ$3)*$E26</f>
        <v>4116.877651644164</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5443.8051591988924</v>
      </c>
      <c r="BQ26">
        <f t="shared" si="16"/>
        <v>3399.0608489506885</v>
      </c>
      <c r="BR26">
        <f t="shared" si="17"/>
        <v>2667.640672768649</v>
      </c>
    </row>
    <row r="27" spans="1:70" ht="15" x14ac:dyDescent="0.25">
      <c r="A27" t="s">
        <v>1104</v>
      </c>
      <c r="B27" s="1" t="s">
        <v>428</v>
      </c>
      <c r="C27" s="74" t="s">
        <v>1103</v>
      </c>
      <c r="D27" s="1">
        <v>2017</v>
      </c>
      <c r="E27">
        <v>22625.8151929204</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6260.375933078727</v>
      </c>
      <c r="AK27">
        <f t="shared" si="4"/>
        <v>3908.9199762932922</v>
      </c>
      <c r="AL27">
        <f t="shared" si="5"/>
        <v>3067.7867736839466</v>
      </c>
      <c r="AN27" s="3" t="str">
        <f t="shared" si="6"/>
        <v>ERSOLPRC-N</v>
      </c>
      <c r="AO27" s="58" t="s">
        <v>481</v>
      </c>
      <c r="AP27" s="376" t="str">
        <f t="shared" si="24"/>
        <v>cmach_e</v>
      </c>
      <c r="AQ27" s="3">
        <v>3</v>
      </c>
      <c r="AR27" cm="1">
        <f t="array" ref="AR27">INDEX($R27:$V27,1,AR$3)*$E27</f>
        <v>6804.7564489986162</v>
      </c>
      <c r="AS27">
        <f t="shared" si="7"/>
        <v>4248.8260611883607</v>
      </c>
      <c r="AT27">
        <f t="shared" si="8"/>
        <v>3334.5508409608115</v>
      </c>
      <c r="AV27" s="3" t="str">
        <f t="shared" si="9"/>
        <v>ERSOLPRC-N</v>
      </c>
      <c r="AW27" s="58" t="s">
        <v>481</v>
      </c>
      <c r="AX27" s="376" t="str">
        <f t="shared" si="25"/>
        <v>cemch_e</v>
      </c>
      <c r="AY27" s="3">
        <v>3</v>
      </c>
      <c r="AZ27" cm="1">
        <f t="array" ref="AZ27">INDEX($R27:$V27,1,AZ$3)*$E27</f>
        <v>4116.877651644164</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5443.8051591988924</v>
      </c>
      <c r="BQ27">
        <f t="shared" si="16"/>
        <v>3399.0608489506885</v>
      </c>
      <c r="BR27">
        <f t="shared" si="17"/>
        <v>2667.640672768649</v>
      </c>
    </row>
    <row r="28" spans="1:70" ht="15" x14ac:dyDescent="0.25">
      <c r="A28" t="s">
        <v>1106</v>
      </c>
      <c r="B28" s="1" t="s">
        <v>428</v>
      </c>
      <c r="C28" s="74" t="s">
        <v>1105</v>
      </c>
      <c r="D28" s="1">
        <v>2017</v>
      </c>
      <c r="E28">
        <v>34133.772920354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9444.532657661859</v>
      </c>
      <c r="AK28">
        <f t="shared" si="4"/>
        <v>5897.0775504424691</v>
      </c>
      <c r="AL28">
        <f t="shared" si="5"/>
        <v>4628.1265982300993</v>
      </c>
      <c r="AN28" s="3" t="str">
        <f t="shared" si="6"/>
        <v>ERSOLPRR-N</v>
      </c>
      <c r="AO28" s="58" t="s">
        <v>481</v>
      </c>
      <c r="AP28" s="376" t="str">
        <f t="shared" si="24"/>
        <v>cmach_e</v>
      </c>
      <c r="AQ28" s="3">
        <v>3</v>
      </c>
      <c r="AR28" cm="1">
        <f t="array" ref="AR28">INDEX($R28:$V28,1,AR$3)*$E28</f>
        <v>10265.796367023759</v>
      </c>
      <c r="AS28">
        <f t="shared" si="7"/>
        <v>6409.8669026548569</v>
      </c>
      <c r="AT28">
        <f t="shared" si="8"/>
        <v>5030.5723893805416</v>
      </c>
      <c r="AV28" s="3" t="str">
        <f t="shared" si="9"/>
        <v>ERSOLPRR-N</v>
      </c>
      <c r="AW28" s="58" t="s">
        <v>481</v>
      </c>
      <c r="AX28" s="376" t="str">
        <f t="shared" si="25"/>
        <v>cemch_e</v>
      </c>
      <c r="AY28" s="3">
        <v>3</v>
      </c>
      <c r="AZ28" cm="1">
        <f t="array" ref="AZ28">INDEX($R28:$V28,1,AZ$3)*$E28</f>
        <v>6210.8068020493756</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8212.6370936190069</v>
      </c>
      <c r="BQ28">
        <f t="shared" si="16"/>
        <v>5127.8935221238853</v>
      </c>
      <c r="BR28">
        <f t="shared" si="17"/>
        <v>4024.457911504433</v>
      </c>
    </row>
    <row r="29" spans="1:70" ht="15" x14ac:dyDescent="0.25">
      <c r="A29" t="s">
        <v>1108</v>
      </c>
      <c r="B29" s="1" t="s">
        <v>428</v>
      </c>
      <c r="C29" s="74" t="s">
        <v>1107</v>
      </c>
      <c r="D29" s="1">
        <v>2017</v>
      </c>
      <c r="E29">
        <v>22625.8151929204</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6260.375933078727</v>
      </c>
      <c r="AK29">
        <f t="shared" si="4"/>
        <v>3908.9199762932922</v>
      </c>
      <c r="AL29">
        <f t="shared" si="5"/>
        <v>3067.7867736839466</v>
      </c>
      <c r="AN29" s="3" t="str">
        <f t="shared" si="6"/>
        <v>ERSOLPRI-N</v>
      </c>
      <c r="AO29" s="58" t="s">
        <v>481</v>
      </c>
      <c r="AP29" s="376" t="str">
        <f t="shared" si="24"/>
        <v>cmach_e</v>
      </c>
      <c r="AQ29" s="3">
        <v>3</v>
      </c>
      <c r="AR29" cm="1">
        <f t="array" ref="AR29">INDEX($R29:$V29,1,AR$3)*$E29</f>
        <v>6804.7564489986162</v>
      </c>
      <c r="AS29">
        <f t="shared" si="7"/>
        <v>4248.8260611883607</v>
      </c>
      <c r="AT29">
        <f t="shared" si="8"/>
        <v>3334.5508409608115</v>
      </c>
      <c r="AV29" s="3" t="str">
        <f t="shared" si="9"/>
        <v>ERSOLPRI-N</v>
      </c>
      <c r="AW29" s="58" t="s">
        <v>481</v>
      </c>
      <c r="AX29" s="376" t="str">
        <f t="shared" si="25"/>
        <v>cemch_e</v>
      </c>
      <c r="AY29" s="3">
        <v>3</v>
      </c>
      <c r="AZ29" cm="1">
        <f t="array" ref="AZ29">INDEX($R29:$V29,1,AZ$3)*$E29</f>
        <v>4116.877651644164</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5443.8051591988924</v>
      </c>
      <c r="BQ29">
        <f t="shared" si="16"/>
        <v>3399.0608489506885</v>
      </c>
      <c r="BR29">
        <f t="shared" si="17"/>
        <v>2667.640672768649</v>
      </c>
    </row>
    <row r="30" spans="1:70" ht="15" x14ac:dyDescent="0.25">
      <c r="A30" s="74" t="s">
        <v>104</v>
      </c>
      <c r="B30" s="1" t="s">
        <v>428</v>
      </c>
      <c r="C30" s="74" t="s">
        <v>1292</v>
      </c>
      <c r="D30" s="1">
        <v>2017</v>
      </c>
      <c r="E30">
        <v>6329.3065449900196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2357.9668531046395</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1748.9774954573982</v>
      </c>
      <c r="BA30" t="str">
        <f t="shared" si="10"/>
        <v/>
      </c>
      <c r="BB30" t="str">
        <f t="shared" si="11"/>
        <v/>
      </c>
      <c r="BD30" s="3">
        <f t="shared" si="12"/>
        <v>0</v>
      </c>
      <c r="BE30" s="58" t="s">
        <v>481</v>
      </c>
      <c r="BF30" s="376" t="str">
        <f t="shared" si="26"/>
        <v>cmetp</v>
      </c>
      <c r="BG30" s="3">
        <v>3</v>
      </c>
      <c r="BH30" cm="1">
        <f t="array" ref="BH30">INDEX($R30:$V30,1,BH$3)*$E30</f>
        <v>1536.3279203019442</v>
      </c>
      <c r="BI30" t="str">
        <f t="shared" si="13"/>
        <v/>
      </c>
      <c r="BJ30" t="str">
        <f t="shared" si="14"/>
        <v/>
      </c>
      <c r="BL30" s="3">
        <f t="shared" si="15"/>
        <v>0</v>
      </c>
      <c r="BM30" s="58" t="s">
        <v>481</v>
      </c>
      <c r="BN30" s="376" t="str">
        <f t="shared" si="27"/>
        <v>cbsrv</v>
      </c>
      <c r="BO30" s="3">
        <v>3</v>
      </c>
      <c r="BP30" cm="1">
        <f t="array" ref="BP30">INDEX($R30:$V30,1,BP$3)*$E30</f>
        <v>686.03427612603821</v>
      </c>
      <c r="BQ30" t="str">
        <f t="shared" si="16"/>
        <v/>
      </c>
      <c r="BR30" t="str">
        <f t="shared" si="17"/>
        <v/>
      </c>
    </row>
    <row r="31" spans="1:70" ht="15" x14ac:dyDescent="0.25">
      <c r="A31" s="74" t="s">
        <v>1293</v>
      </c>
      <c r="B31" s="1" t="s">
        <v>428</v>
      </c>
      <c r="C31" s="74" t="s">
        <v>24</v>
      </c>
      <c r="D31" s="1">
        <v>2017</v>
      </c>
      <c r="E31">
        <v>2812</v>
      </c>
      <c r="G31" s="1"/>
      <c r="H31" s="74"/>
      <c r="I31" s="1"/>
      <c r="L31" s="1"/>
      <c r="M31" s="74"/>
      <c r="N31" s="1"/>
      <c r="R31" s="76">
        <f>R30</f>
        <v>0.37254742464181873</v>
      </c>
      <c r="S31" s="76">
        <f t="shared" ref="S31:V31" si="43">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1047.6033580927942</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777.04005680040245</v>
      </c>
      <c r="BA31" t="str">
        <f t="shared" si="10"/>
        <v/>
      </c>
      <c r="BB31" t="str">
        <f t="shared" si="11"/>
        <v/>
      </c>
      <c r="BD31" s="3">
        <f t="shared" si="12"/>
        <v>0</v>
      </c>
      <c r="BE31" s="58" t="s">
        <v>481</v>
      </c>
      <c r="BF31" s="376" t="str">
        <f t="shared" si="26"/>
        <v>cmetp</v>
      </c>
      <c r="BG31" s="3">
        <v>3</v>
      </c>
      <c r="BH31" cm="1">
        <f t="array" ref="BH31">INDEX($R31:$V31,1,BH$3)*$E31</f>
        <v>682.56357646458082</v>
      </c>
      <c r="BI31" t="str">
        <f t="shared" si="13"/>
        <v/>
      </c>
      <c r="BJ31" t="str">
        <f t="shared" si="14"/>
        <v/>
      </c>
      <c r="BL31" s="3">
        <f t="shared" si="15"/>
        <v>0</v>
      </c>
      <c r="BM31" s="58" t="s">
        <v>481</v>
      </c>
      <c r="BN31" s="376" t="str">
        <f t="shared" si="27"/>
        <v>cbsrv</v>
      </c>
      <c r="BO31" s="3">
        <v>3</v>
      </c>
      <c r="BP31" cm="1">
        <f t="array" ref="BP31">INDEX($R31:$V31,1,BP$3)*$E31</f>
        <v>304.79300864222267</v>
      </c>
      <c r="BQ31" t="str">
        <f t="shared" si="16"/>
        <v/>
      </c>
      <c r="BR31" t="str">
        <f t="shared" si="17"/>
        <v/>
      </c>
    </row>
    <row r="32" spans="1:70" ht="15" x14ac:dyDescent="0.25">
      <c r="A32" s="74" t="s">
        <v>1294</v>
      </c>
      <c r="B32" s="1" t="s">
        <v>428</v>
      </c>
      <c r="C32" s="74" t="s">
        <v>23</v>
      </c>
      <c r="D32" s="1">
        <v>2017</v>
      </c>
      <c r="E32">
        <v>36989.331580508697</v>
      </c>
      <c r="G32" s="1"/>
      <c r="H32" s="74"/>
      <c r="I32" s="1"/>
      <c r="L32" s="1"/>
      <c r="M32" s="74"/>
      <c r="N32" s="1"/>
      <c r="R32" s="76">
        <f t="array" ref="R32:V32">TRANSPOSE(TnD!F58:F62)</f>
        <v>8.7838589047483789E-2</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3249.0906958414175</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19635.760275236313</v>
      </c>
      <c r="BA32" t="str">
        <f t="shared" si="10"/>
        <v/>
      </c>
      <c r="BB32" t="str">
        <f t="shared" si="11"/>
        <v/>
      </c>
      <c r="BD32" s="3">
        <f t="shared" si="12"/>
        <v>0</v>
      </c>
      <c r="BE32" s="58" t="s">
        <v>481</v>
      </c>
      <c r="BF32" s="376" t="str">
        <f t="shared" si="26"/>
        <v>cmetp</v>
      </c>
      <c r="BG32" s="3">
        <v>3</v>
      </c>
      <c r="BH32" cm="1">
        <f t="array" ref="BH32">INDEX($R32:$V32,1,BH$3)*$E32</f>
        <v>8950.5077300890298</v>
      </c>
      <c r="BI32" t="str">
        <f t="shared" si="13"/>
        <v/>
      </c>
      <c r="BJ32" t="str">
        <f t="shared" si="14"/>
        <v/>
      </c>
      <c r="BL32" s="3">
        <f t="shared" si="15"/>
        <v>0</v>
      </c>
      <c r="BM32" s="58" t="s">
        <v>481</v>
      </c>
      <c r="BN32" s="376" t="str">
        <f t="shared" si="27"/>
        <v>cbsrv</v>
      </c>
      <c r="BO32" s="3">
        <v>3</v>
      </c>
      <c r="BP32" cm="1">
        <f t="array" ref="BP32">INDEX($R32:$V32,1,BP$3)*$E32</f>
        <v>5153.9728793419381</v>
      </c>
      <c r="BQ32" t="str">
        <f t="shared" si="16"/>
        <v/>
      </c>
      <c r="BR32" t="str">
        <f t="shared" si="17"/>
        <v/>
      </c>
    </row>
    <row r="33" spans="1:70" ht="15" x14ac:dyDescent="0.25">
      <c r="A33" s="74" t="s">
        <v>1295</v>
      </c>
      <c r="B33" s="1" t="s">
        <v>428</v>
      </c>
      <c r="C33" s="74" t="s">
        <v>21</v>
      </c>
      <c r="D33" s="1">
        <v>2017</v>
      </c>
      <c r="E33">
        <v>18494.665850167301</v>
      </c>
      <c r="G33" s="1"/>
      <c r="H33" s="74"/>
      <c r="I33" s="1"/>
      <c r="L33" s="1"/>
      <c r="M33" s="74"/>
      <c r="N33" s="1"/>
      <c r="R33" s="76">
        <f>R32</f>
        <v>8.7838589047483789E-2</v>
      </c>
      <c r="S33" s="76">
        <f t="shared" ref="S33:V33" si="44">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1624.545353183378</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9817.8801694229041</v>
      </c>
      <c r="BA33" t="str">
        <f t="shared" si="10"/>
        <v/>
      </c>
      <c r="BB33" t="str">
        <f t="shared" si="11"/>
        <v/>
      </c>
      <c r="BD33" s="3">
        <f t="shared" si="12"/>
        <v>0</v>
      </c>
      <c r="BE33" s="58" t="s">
        <v>481</v>
      </c>
      <c r="BF33" s="376" t="str">
        <f t="shared" si="26"/>
        <v>cmetp</v>
      </c>
      <c r="BG33" s="3">
        <v>3</v>
      </c>
      <c r="BH33" cm="1">
        <f t="array" ref="BH33">INDEX($R33:$V33,1,BH$3)*$E33</f>
        <v>4475.2538795419741</v>
      </c>
      <c r="BI33" t="str">
        <f t="shared" si="13"/>
        <v/>
      </c>
      <c r="BJ33" t="str">
        <f t="shared" si="14"/>
        <v/>
      </c>
      <c r="BL33" s="3">
        <f t="shared" si="15"/>
        <v>0</v>
      </c>
      <c r="BM33" s="58" t="s">
        <v>481</v>
      </c>
      <c r="BN33" s="376" t="str">
        <f t="shared" si="27"/>
        <v>cbsrv</v>
      </c>
      <c r="BO33" s="3">
        <v>3</v>
      </c>
      <c r="BP33" cm="1">
        <f t="array" ref="BP33">INDEX($R33:$V33,1,BP$3)*$E33</f>
        <v>2576.9864480190445</v>
      </c>
      <c r="BQ33" t="str">
        <f t="shared" si="16"/>
        <v/>
      </c>
      <c r="BR33" t="str">
        <f t="shared" si="17"/>
        <v/>
      </c>
    </row>
    <row r="34" spans="1:70" ht="15" x14ac:dyDescent="0.25">
      <c r="A34" s="74" t="s">
        <v>1296</v>
      </c>
      <c r="B34" s="1" t="s">
        <v>428</v>
      </c>
      <c r="C34" s="74" t="s">
        <v>3</v>
      </c>
      <c r="D34" s="1">
        <v>2017</v>
      </c>
      <c r="E34">
        <v>8791.3381114607892</v>
      </c>
      <c r="G34" s="1"/>
      <c r="H34" s="74"/>
      <c r="I34" s="1"/>
      <c r="L34" s="1"/>
      <c r="M34" s="74"/>
      <c r="N34" s="1"/>
      <c r="R34" s="76">
        <f t="shared" ref="R34:R45" si="45">R33</f>
        <v>8.7838589047483789E-2</v>
      </c>
      <c r="S34" s="76">
        <f t="shared" ref="S34:S45" si="46">S33</f>
        <v>0</v>
      </c>
      <c r="T34" s="76">
        <f t="shared" ref="T34:T45" si="47">T33</f>
        <v>0.5308492864354234</v>
      </c>
      <c r="U34" s="76">
        <f t="shared" ref="U34:U45" si="48">U33</f>
        <v>0.24197538445937869</v>
      </c>
      <c r="V34" s="76">
        <f t="shared" ref="V34:V45" si="49">V33</f>
        <v>0.13933674005771418</v>
      </c>
      <c r="AF34" s="3" t="str">
        <f t="shared" si="3"/>
        <v>XICPELC</v>
      </c>
      <c r="AG34" s="58" t="s">
        <v>481</v>
      </c>
      <c r="AH34" s="376" t="str">
        <f t="shared" si="23"/>
        <v>ccons_e</v>
      </c>
      <c r="AI34" s="3">
        <v>3</v>
      </c>
      <c r="AJ34" cm="1">
        <f t="array" ref="AJ34">INDEX($R34:$V34,1,AJ$3)*$E34</f>
        <v>772.21873555008654</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4666.8755632815028</v>
      </c>
      <c r="BA34" t="str">
        <f t="shared" si="10"/>
        <v/>
      </c>
      <c r="BB34" t="str">
        <f t="shared" si="11"/>
        <v/>
      </c>
      <c r="BD34" s="3">
        <f t="shared" si="12"/>
        <v>0</v>
      </c>
      <c r="BE34" s="58" t="s">
        <v>481</v>
      </c>
      <c r="BF34" s="376" t="str">
        <f t="shared" si="26"/>
        <v>cmetp</v>
      </c>
      <c r="BG34" s="3">
        <v>3</v>
      </c>
      <c r="BH34" cm="1">
        <f t="array" ref="BH34">INDEX($R34:$V34,1,BH$3)*$E34</f>
        <v>2127.2874194331125</v>
      </c>
      <c r="BI34" t="str">
        <f t="shared" si="13"/>
        <v/>
      </c>
      <c r="BJ34" t="str">
        <f t="shared" si="14"/>
        <v/>
      </c>
      <c r="BL34" s="3">
        <f t="shared" si="15"/>
        <v>0</v>
      </c>
      <c r="BM34" s="58" t="s">
        <v>481</v>
      </c>
      <c r="BN34" s="376" t="str">
        <f t="shared" si="27"/>
        <v>cbsrv</v>
      </c>
      <c r="BO34" s="3">
        <v>3</v>
      </c>
      <c r="BP34" cm="1">
        <f t="array" ref="BP34">INDEX($R34:$V34,1,BP$3)*$E34</f>
        <v>1224.9563931960879</v>
      </c>
      <c r="BQ34" t="str">
        <f t="shared" si="16"/>
        <v/>
      </c>
      <c r="BR34" t="str">
        <f t="shared" si="17"/>
        <v/>
      </c>
    </row>
    <row r="35" spans="1:70" ht="15" x14ac:dyDescent="0.25">
      <c r="A35" s="74" t="s">
        <v>1297</v>
      </c>
      <c r="B35" s="1" t="s">
        <v>428</v>
      </c>
      <c r="C35" s="74" t="s">
        <v>19</v>
      </c>
      <c r="D35" s="1">
        <v>2017</v>
      </c>
      <c r="E35">
        <v>8791.3381114607892</v>
      </c>
      <c r="G35" s="1"/>
      <c r="H35" s="74"/>
      <c r="I35" s="1"/>
      <c r="L35" s="1"/>
      <c r="M35" s="74"/>
      <c r="N35" s="1"/>
      <c r="R35" s="76">
        <f t="shared" si="45"/>
        <v>8.7838589047483789E-2</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772.21873555008654</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4666.8755632815028</v>
      </c>
      <c r="BA35" t="str">
        <f t="shared" si="10"/>
        <v/>
      </c>
      <c r="BB35" t="str">
        <f t="shared" si="11"/>
        <v/>
      </c>
      <c r="BD35" s="3">
        <f t="shared" si="12"/>
        <v>0</v>
      </c>
      <c r="BE35" s="58" t="s">
        <v>481</v>
      </c>
      <c r="BF35" s="376" t="str">
        <f t="shared" si="26"/>
        <v>cmetp</v>
      </c>
      <c r="BG35" s="3">
        <v>3</v>
      </c>
      <c r="BH35" cm="1">
        <f t="array" ref="BH35">INDEX($R35:$V35,1,BH$3)*$E35</f>
        <v>2127.2874194331125</v>
      </c>
      <c r="BI35" t="str">
        <f t="shared" si="13"/>
        <v/>
      </c>
      <c r="BJ35" t="str">
        <f t="shared" si="14"/>
        <v/>
      </c>
      <c r="BL35" s="3">
        <f t="shared" si="15"/>
        <v>0</v>
      </c>
      <c r="BM35" s="58" t="s">
        <v>481</v>
      </c>
      <c r="BN35" s="376" t="str">
        <f t="shared" si="27"/>
        <v>cbsrv</v>
      </c>
      <c r="BO35" s="3">
        <v>3</v>
      </c>
      <c r="BP35" cm="1">
        <f t="array" ref="BP35">INDEX($R35:$V35,1,BP$3)*$E35</f>
        <v>1224.9563931960879</v>
      </c>
      <c r="BQ35" t="str">
        <f t="shared" si="16"/>
        <v/>
      </c>
      <c r="BR35" t="str">
        <f t="shared" si="17"/>
        <v/>
      </c>
    </row>
    <row r="36" spans="1:70" ht="15" x14ac:dyDescent="0.25">
      <c r="A36" s="74" t="s">
        <v>1298</v>
      </c>
      <c r="B36" s="1" t="s">
        <v>428</v>
      </c>
      <c r="C36" s="74" t="s">
        <v>5</v>
      </c>
      <c r="D36" s="1">
        <v>2017</v>
      </c>
      <c r="E36">
        <v>14124.4235169599</v>
      </c>
      <c r="G36" s="1"/>
      <c r="H36" s="74"/>
      <c r="I36" s="1"/>
      <c r="L36" s="1"/>
      <c r="M36" s="74"/>
      <c r="N36" s="1"/>
      <c r="R36" s="76">
        <f t="shared" si="45"/>
        <v>8.7838589047483789E-2</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1240.6694328388562</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7497.9401452898765</v>
      </c>
      <c r="BA36" t="str">
        <f t="shared" si="10"/>
        <v/>
      </c>
      <c r="BB36" t="str">
        <f t="shared" si="11"/>
        <v/>
      </c>
      <c r="BD36" s="3">
        <f t="shared" si="12"/>
        <v>0</v>
      </c>
      <c r="BE36" s="58" t="s">
        <v>481</v>
      </c>
      <c r="BF36" s="376" t="str">
        <f t="shared" si="26"/>
        <v>cmetp</v>
      </c>
      <c r="BG36" s="3">
        <v>3</v>
      </c>
      <c r="BH36" cm="1">
        <f t="array" ref="BH36">INDEX($R36:$V36,1,BH$3)*$E36</f>
        <v>3417.7628107834612</v>
      </c>
      <c r="BI36" t="str">
        <f t="shared" si="13"/>
        <v/>
      </c>
      <c r="BJ36" t="str">
        <f t="shared" si="14"/>
        <v/>
      </c>
      <c r="BL36" s="3">
        <f t="shared" si="15"/>
        <v>0</v>
      </c>
      <c r="BM36" s="58" t="s">
        <v>481</v>
      </c>
      <c r="BN36" s="376" t="str">
        <f t="shared" si="27"/>
        <v>cbsrv</v>
      </c>
      <c r="BO36" s="3">
        <v>3</v>
      </c>
      <c r="BP36" cm="1">
        <f t="array" ref="BP36">INDEX($R36:$V36,1,BP$3)*$E36</f>
        <v>1968.0511280477067</v>
      </c>
      <c r="BQ36" t="str">
        <f t="shared" si="16"/>
        <v/>
      </c>
      <c r="BR36" t="str">
        <f t="shared" si="17"/>
        <v/>
      </c>
    </row>
    <row r="37" spans="1:70" ht="15" x14ac:dyDescent="0.25">
      <c r="A37" s="74" t="s">
        <v>1299</v>
      </c>
      <c r="B37" s="1" t="s">
        <v>428</v>
      </c>
      <c r="C37" s="74" t="s">
        <v>18</v>
      </c>
      <c r="D37" s="1">
        <v>2017</v>
      </c>
      <c r="E37">
        <v>8791.3381114607892</v>
      </c>
      <c r="R37" s="76">
        <f t="shared" si="45"/>
        <v>8.7838589047483789E-2</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772.21873555008654</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4666.8755632815028</v>
      </c>
      <c r="BA37" t="str">
        <f t="shared" si="10"/>
        <v/>
      </c>
      <c r="BB37" t="str">
        <f t="shared" si="11"/>
        <v/>
      </c>
      <c r="BD37" s="3">
        <f t="shared" si="12"/>
        <v>0</v>
      </c>
      <c r="BE37" s="58" t="s">
        <v>481</v>
      </c>
      <c r="BF37" s="376" t="str">
        <f t="shared" si="26"/>
        <v>cmetp</v>
      </c>
      <c r="BG37" s="3">
        <v>3</v>
      </c>
      <c r="BH37" cm="1">
        <f t="array" ref="BH37">INDEX($R37:$V37,1,BH$3)*$E37</f>
        <v>2127.2874194331125</v>
      </c>
      <c r="BI37" t="str">
        <f t="shared" si="13"/>
        <v/>
      </c>
      <c r="BJ37" t="str">
        <f t="shared" si="14"/>
        <v/>
      </c>
      <c r="BL37" s="3">
        <f t="shared" si="15"/>
        <v>0</v>
      </c>
      <c r="BM37" s="58" t="s">
        <v>481</v>
      </c>
      <c r="BN37" s="376" t="str">
        <f t="shared" si="27"/>
        <v>cbsrv</v>
      </c>
      <c r="BO37" s="3">
        <v>3</v>
      </c>
      <c r="BP37" cm="1">
        <f t="array" ref="BP37">INDEX($R37:$V37,1,BP$3)*$E37</f>
        <v>1224.9563931960879</v>
      </c>
      <c r="BQ37" t="str">
        <f t="shared" si="16"/>
        <v/>
      </c>
      <c r="BR37" t="str">
        <f t="shared" si="17"/>
        <v/>
      </c>
    </row>
    <row r="38" spans="1:70" ht="15" x14ac:dyDescent="0.25">
      <c r="A38" s="74" t="s">
        <v>1300</v>
      </c>
      <c r="B38" s="1" t="s">
        <v>428</v>
      </c>
      <c r="C38" s="74" t="s">
        <v>4</v>
      </c>
      <c r="D38" s="1">
        <v>2017</v>
      </c>
      <c r="E38">
        <v>8791.3381114607892</v>
      </c>
      <c r="R38" s="76">
        <f t="shared" si="45"/>
        <v>8.7838589047483789E-2</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772.21873555008654</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4666.8755632815028</v>
      </c>
      <c r="BA38" t="str">
        <f t="shared" si="10"/>
        <v/>
      </c>
      <c r="BB38" t="str">
        <f t="shared" si="11"/>
        <v/>
      </c>
      <c r="BD38" s="3">
        <f t="shared" si="12"/>
        <v>0</v>
      </c>
      <c r="BE38" s="58" t="s">
        <v>481</v>
      </c>
      <c r="BF38" s="376" t="str">
        <f t="shared" si="26"/>
        <v>cmetp</v>
      </c>
      <c r="BG38" s="3">
        <v>3</v>
      </c>
      <c r="BH38" cm="1">
        <f t="array" ref="BH38">INDEX($R38:$V38,1,BH$3)*$E38</f>
        <v>2127.2874194331125</v>
      </c>
      <c r="BI38" t="str">
        <f t="shared" si="13"/>
        <v/>
      </c>
      <c r="BJ38" t="str">
        <f t="shared" si="14"/>
        <v/>
      </c>
      <c r="BL38" s="3">
        <f t="shared" si="15"/>
        <v>0</v>
      </c>
      <c r="BM38" s="58" t="s">
        <v>481</v>
      </c>
      <c r="BN38" s="376" t="str">
        <f t="shared" si="27"/>
        <v>cbsrv</v>
      </c>
      <c r="BO38" s="3">
        <v>3</v>
      </c>
      <c r="BP38" cm="1">
        <f t="array" ref="BP38">INDEX($R38:$V38,1,BP$3)*$E38</f>
        <v>1224.9563931960879</v>
      </c>
      <c r="BQ38" t="str">
        <f t="shared" si="16"/>
        <v/>
      </c>
      <c r="BR38" t="str">
        <f t="shared" si="17"/>
        <v/>
      </c>
    </row>
    <row r="39" spans="1:70" ht="15" x14ac:dyDescent="0.25">
      <c r="A39" s="74" t="s">
        <v>1301</v>
      </c>
      <c r="B39" s="1" t="s">
        <v>428</v>
      </c>
      <c r="C39" s="74" t="s">
        <v>17</v>
      </c>
      <c r="D39" s="1">
        <v>2017</v>
      </c>
      <c r="E39">
        <v>8791.3381114607892</v>
      </c>
      <c r="R39" s="76">
        <f t="shared" si="45"/>
        <v>8.7838589047483789E-2</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772.21873555008654</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4666.8755632815028</v>
      </c>
      <c r="BA39" t="str">
        <f t="shared" si="10"/>
        <v/>
      </c>
      <c r="BB39" t="str">
        <f t="shared" si="11"/>
        <v/>
      </c>
      <c r="BD39" s="3">
        <f t="shared" si="12"/>
        <v>0</v>
      </c>
      <c r="BE39" s="58" t="s">
        <v>481</v>
      </c>
      <c r="BF39" s="376" t="str">
        <f t="shared" si="26"/>
        <v>cmetp</v>
      </c>
      <c r="BG39" s="3">
        <v>3</v>
      </c>
      <c r="BH39" cm="1">
        <f t="array" ref="BH39">INDEX($R39:$V39,1,BH$3)*$E39</f>
        <v>2127.2874194331125</v>
      </c>
      <c r="BI39" t="str">
        <f t="shared" si="13"/>
        <v/>
      </c>
      <c r="BJ39" t="str">
        <f t="shared" si="14"/>
        <v/>
      </c>
      <c r="BL39" s="3">
        <f t="shared" si="15"/>
        <v>0</v>
      </c>
      <c r="BM39" s="58" t="s">
        <v>481</v>
      </c>
      <c r="BN39" s="376" t="str">
        <f t="shared" si="27"/>
        <v>cbsrv</v>
      </c>
      <c r="BO39" s="3">
        <v>3</v>
      </c>
      <c r="BP39" cm="1">
        <f t="array" ref="BP39">INDEX($R39:$V39,1,BP$3)*$E39</f>
        <v>1224.9563931960879</v>
      </c>
      <c r="BQ39" t="str">
        <f t="shared" si="16"/>
        <v/>
      </c>
      <c r="BR39" t="str">
        <f t="shared" si="17"/>
        <v/>
      </c>
    </row>
    <row r="40" spans="1:70" ht="15" x14ac:dyDescent="0.25">
      <c r="A40" s="74" t="s">
        <v>1302</v>
      </c>
      <c r="B40" s="1" t="s">
        <v>428</v>
      </c>
      <c r="C40" s="74" t="s">
        <v>16</v>
      </c>
      <c r="D40" s="1">
        <v>2017</v>
      </c>
      <c r="E40">
        <v>8791.3381114607892</v>
      </c>
      <c r="R40" s="76">
        <f t="shared" si="45"/>
        <v>8.7838589047483789E-2</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772.21873555008654</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4666.8755632815028</v>
      </c>
      <c r="BA40" t="str">
        <f t="shared" si="10"/>
        <v/>
      </c>
      <c r="BB40" t="str">
        <f t="shared" si="11"/>
        <v/>
      </c>
      <c r="BD40" s="3">
        <f t="shared" si="12"/>
        <v>0</v>
      </c>
      <c r="BE40" s="58" t="s">
        <v>481</v>
      </c>
      <c r="BF40" s="376" t="str">
        <f t="shared" si="26"/>
        <v>cmetp</v>
      </c>
      <c r="BG40" s="3">
        <v>3</v>
      </c>
      <c r="BH40" cm="1">
        <f t="array" ref="BH40">INDEX($R40:$V40,1,BH$3)*$E40</f>
        <v>2127.2874194331125</v>
      </c>
      <c r="BI40" t="str">
        <f t="shared" si="13"/>
        <v/>
      </c>
      <c r="BJ40" t="str">
        <f t="shared" si="14"/>
        <v/>
      </c>
      <c r="BL40" s="3">
        <f t="shared" si="15"/>
        <v>0</v>
      </c>
      <c r="BM40" s="58" t="s">
        <v>481</v>
      </c>
      <c r="BN40" s="376" t="str">
        <f t="shared" si="27"/>
        <v>cbsrv</v>
      </c>
      <c r="BO40" s="3">
        <v>3</v>
      </c>
      <c r="BP40" cm="1">
        <f t="array" ref="BP40">INDEX($R40:$V40,1,BP$3)*$E40</f>
        <v>1224.9563931960879</v>
      </c>
      <c r="BQ40" t="str">
        <f t="shared" si="16"/>
        <v/>
      </c>
      <c r="BR40" t="str">
        <f t="shared" si="17"/>
        <v/>
      </c>
    </row>
    <row r="41" spans="1:70" ht="15" x14ac:dyDescent="0.25">
      <c r="A41" s="74" t="s">
        <v>1303</v>
      </c>
      <c r="B41" s="1" t="s">
        <v>428</v>
      </c>
      <c r="C41" s="74" t="s">
        <v>15</v>
      </c>
      <c r="D41" s="1">
        <v>2017</v>
      </c>
      <c r="E41">
        <v>14124.4235169599</v>
      </c>
      <c r="R41" s="76">
        <f t="shared" si="45"/>
        <v>8.7838589047483789E-2</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1240.6694328388562</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7497.9401452898765</v>
      </c>
      <c r="BA41" t="str">
        <f t="shared" si="10"/>
        <v/>
      </c>
      <c r="BB41" t="str">
        <f t="shared" si="11"/>
        <v/>
      </c>
      <c r="BD41" s="3">
        <f t="shared" si="12"/>
        <v>0</v>
      </c>
      <c r="BE41" s="58" t="s">
        <v>481</v>
      </c>
      <c r="BF41" s="376" t="str">
        <f t="shared" si="26"/>
        <v>cmetp</v>
      </c>
      <c r="BG41" s="3">
        <v>3</v>
      </c>
      <c r="BH41" cm="1">
        <f t="array" ref="BH41">INDEX($R41:$V41,1,BH$3)*$E41</f>
        <v>3417.7628107834612</v>
      </c>
      <c r="BI41" t="str">
        <f t="shared" si="13"/>
        <v/>
      </c>
      <c r="BJ41" t="str">
        <f t="shared" si="14"/>
        <v/>
      </c>
      <c r="BL41" s="3">
        <f t="shared" si="15"/>
        <v>0</v>
      </c>
      <c r="BM41" s="58" t="s">
        <v>481</v>
      </c>
      <c r="BN41" s="376" t="str">
        <f t="shared" si="27"/>
        <v>cbsrv</v>
      </c>
      <c r="BO41" s="3">
        <v>3</v>
      </c>
      <c r="BP41" cm="1">
        <f t="array" ref="BP41">INDEX($R41:$V41,1,BP$3)*$E41</f>
        <v>1968.0511280477067</v>
      </c>
      <c r="BQ41" t="str">
        <f t="shared" si="16"/>
        <v/>
      </c>
      <c r="BR41" t="str">
        <f t="shared" si="17"/>
        <v/>
      </c>
    </row>
    <row r="42" spans="1:70" ht="15" x14ac:dyDescent="0.25">
      <c r="A42" s="74" t="s">
        <v>1304</v>
      </c>
      <c r="B42" s="1" t="s">
        <v>428</v>
      </c>
      <c r="C42" s="74" t="s">
        <v>14</v>
      </c>
      <c r="D42" s="1">
        <v>2017</v>
      </c>
      <c r="E42">
        <v>14124.4235169599</v>
      </c>
      <c r="R42" s="76">
        <f t="shared" si="45"/>
        <v>8.7838589047483789E-2</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1240.6694328388562</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7497.9401452898765</v>
      </c>
      <c r="BA42" t="str">
        <f t="shared" si="10"/>
        <v/>
      </c>
      <c r="BB42" t="str">
        <f t="shared" si="11"/>
        <v/>
      </c>
      <c r="BD42" s="3">
        <f t="shared" si="12"/>
        <v>0</v>
      </c>
      <c r="BE42" s="58" t="s">
        <v>481</v>
      </c>
      <c r="BF42" s="376" t="str">
        <f t="shared" si="26"/>
        <v>cmetp</v>
      </c>
      <c r="BG42" s="3">
        <v>3</v>
      </c>
      <c r="BH42" cm="1">
        <f t="array" ref="BH42">INDEX($R42:$V42,1,BH$3)*$E42</f>
        <v>3417.7628107834612</v>
      </c>
      <c r="BI42" t="str">
        <f t="shared" si="13"/>
        <v/>
      </c>
      <c r="BJ42" t="str">
        <f t="shared" si="14"/>
        <v/>
      </c>
      <c r="BL42" s="3">
        <f t="shared" si="15"/>
        <v>0</v>
      </c>
      <c r="BM42" s="58" t="s">
        <v>481</v>
      </c>
      <c r="BN42" s="376" t="str">
        <f t="shared" si="27"/>
        <v>cbsrv</v>
      </c>
      <c r="BO42" s="3">
        <v>3</v>
      </c>
      <c r="BP42" cm="1">
        <f t="array" ref="BP42">INDEX($R42:$V42,1,BP$3)*$E42</f>
        <v>1968.0511280477067</v>
      </c>
      <c r="BQ42" t="str">
        <f t="shared" si="16"/>
        <v/>
      </c>
      <c r="BR42" t="str">
        <f t="shared" si="17"/>
        <v/>
      </c>
    </row>
    <row r="43" spans="1:70" ht="15" x14ac:dyDescent="0.25">
      <c r="A43" s="74" t="s">
        <v>1305</v>
      </c>
      <c r="B43" s="1" t="s">
        <v>428</v>
      </c>
      <c r="C43" s="74" t="s">
        <v>13</v>
      </c>
      <c r="D43" s="1">
        <v>2017</v>
      </c>
      <c r="E43">
        <v>36989.331580508697</v>
      </c>
      <c r="R43" s="76">
        <f t="shared" si="45"/>
        <v>8.7838589047483789E-2</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3249.0906958414175</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19635.760275236313</v>
      </c>
      <c r="BA43" t="str">
        <f t="shared" si="10"/>
        <v/>
      </c>
      <c r="BB43" t="str">
        <f t="shared" si="11"/>
        <v/>
      </c>
      <c r="BD43" s="3">
        <f t="shared" si="12"/>
        <v>0</v>
      </c>
      <c r="BE43" s="58" t="s">
        <v>481</v>
      </c>
      <c r="BF43" s="376" t="str">
        <f t="shared" si="26"/>
        <v>cmetp</v>
      </c>
      <c r="BG43" s="3">
        <v>3</v>
      </c>
      <c r="BH43" cm="1">
        <f t="array" ref="BH43">INDEX($R43:$V43,1,BH$3)*$E43</f>
        <v>8950.5077300890298</v>
      </c>
      <c r="BI43" t="str">
        <f t="shared" si="13"/>
        <v/>
      </c>
      <c r="BJ43" t="str">
        <f t="shared" si="14"/>
        <v/>
      </c>
      <c r="BL43" s="3">
        <f t="shared" si="15"/>
        <v>0</v>
      </c>
      <c r="BM43" s="58" t="s">
        <v>481</v>
      </c>
      <c r="BN43" s="376" t="str">
        <f t="shared" si="27"/>
        <v>cbsrv</v>
      </c>
      <c r="BO43" s="3">
        <v>3</v>
      </c>
      <c r="BP43" cm="1">
        <f t="array" ref="BP43">INDEX($R43:$V43,1,BP$3)*$E43</f>
        <v>5153.9728793419381</v>
      </c>
      <c r="BQ43" t="str">
        <f t="shared" si="16"/>
        <v/>
      </c>
      <c r="BR43" t="str">
        <f t="shared" si="17"/>
        <v/>
      </c>
    </row>
    <row r="44" spans="1:70" ht="15" x14ac:dyDescent="0.25">
      <c r="A44" s="74" t="s">
        <v>1306</v>
      </c>
      <c r="B44" s="1" t="s">
        <v>428</v>
      </c>
      <c r="C44" s="74" t="s">
        <v>6</v>
      </c>
      <c r="D44" s="1">
        <v>2017</v>
      </c>
      <c r="E44">
        <v>18494.665850167301</v>
      </c>
      <c r="R44" s="76">
        <f t="shared" si="45"/>
        <v>8.7838589047483789E-2</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1624.545353183378</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9817.8801694229041</v>
      </c>
      <c r="BA44" t="str">
        <f t="shared" si="10"/>
        <v/>
      </c>
      <c r="BB44" t="str">
        <f t="shared" si="11"/>
        <v/>
      </c>
      <c r="BD44" s="3">
        <f t="shared" si="12"/>
        <v>0</v>
      </c>
      <c r="BE44" s="58" t="s">
        <v>481</v>
      </c>
      <c r="BF44" s="376" t="str">
        <f t="shared" si="26"/>
        <v>cmetp</v>
      </c>
      <c r="BG44" s="3">
        <v>3</v>
      </c>
      <c r="BH44" cm="1">
        <f t="array" ref="BH44">INDEX($R44:$V44,1,BH$3)*$E44</f>
        <v>4475.2538795419741</v>
      </c>
      <c r="BI44" t="str">
        <f t="shared" si="13"/>
        <v/>
      </c>
      <c r="BJ44" t="str">
        <f t="shared" si="14"/>
        <v/>
      </c>
      <c r="BL44" s="3">
        <f t="shared" si="15"/>
        <v>0</v>
      </c>
      <c r="BM44" s="58" t="s">
        <v>481</v>
      </c>
      <c r="BN44" s="376" t="str">
        <f t="shared" si="27"/>
        <v>cbsrv</v>
      </c>
      <c r="BO44" s="3">
        <v>3</v>
      </c>
      <c r="BP44" cm="1">
        <f t="array" ref="BP44">INDEX($R44:$V44,1,BP$3)*$E44</f>
        <v>2576.9864480190445</v>
      </c>
      <c r="BQ44" t="str">
        <f t="shared" si="16"/>
        <v/>
      </c>
      <c r="BR44" t="str">
        <f t="shared" si="17"/>
        <v/>
      </c>
    </row>
    <row r="45" spans="1:70" ht="15" x14ac:dyDescent="0.25">
      <c r="A45" s="74" t="s">
        <v>1307</v>
      </c>
      <c r="B45" s="1" t="s">
        <v>428</v>
      </c>
      <c r="C45" s="74" t="s">
        <v>10</v>
      </c>
      <c r="D45" s="1">
        <v>2017</v>
      </c>
      <c r="E45">
        <v>9247.3329250836705</v>
      </c>
      <c r="R45" s="76">
        <f t="shared" si="45"/>
        <v>8.7838589047483789E-2</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812.2726765916907</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4908.940084711463</v>
      </c>
      <c r="BA45" t="str">
        <f t="shared" si="10"/>
        <v/>
      </c>
      <c r="BB45" t="str">
        <f t="shared" si="11"/>
        <v/>
      </c>
      <c r="BD45" s="3">
        <f t="shared" si="12"/>
        <v>0</v>
      </c>
      <c r="BE45" s="58" t="s">
        <v>481</v>
      </c>
      <c r="BF45" s="376" t="str">
        <f t="shared" si="26"/>
        <v>cmetp</v>
      </c>
      <c r="BG45" s="3">
        <v>3</v>
      </c>
      <c r="BH45" cm="1">
        <f t="array" ref="BH45">INDEX($R45:$V45,1,BH$3)*$E45</f>
        <v>2237.6269397709921</v>
      </c>
      <c r="BI45" t="str">
        <f t="shared" si="13"/>
        <v/>
      </c>
      <c r="BJ45" t="str">
        <f t="shared" si="14"/>
        <v/>
      </c>
      <c r="BL45" s="3">
        <f t="shared" si="15"/>
        <v>0</v>
      </c>
      <c r="BM45" s="58" t="s">
        <v>481</v>
      </c>
      <c r="BN45" s="376" t="str">
        <f t="shared" si="27"/>
        <v>cbsrv</v>
      </c>
      <c r="BO45" s="3">
        <v>3</v>
      </c>
      <c r="BP45" cm="1">
        <f t="array" ref="BP45">INDEX($R45:$V45,1,BP$3)*$E45</f>
        <v>1288.4932240095252</v>
      </c>
      <c r="BQ45" t="str">
        <f t="shared" si="16"/>
        <v/>
      </c>
      <c r="BR45" t="str">
        <f t="shared" si="17"/>
        <v/>
      </c>
    </row>
    <row r="46" spans="1:70" x14ac:dyDescent="0.2">
      <c r="C46" s="74"/>
      <c r="D46" s="74"/>
    </row>
    <row r="47" spans="1:70" x14ac:dyDescent="0.2">
      <c r="R47" s="1" t="s">
        <v>529</v>
      </c>
    </row>
    <row r="48" spans="1:70" x14ac:dyDescent="0.2">
      <c r="R48" s="64" t="s">
        <v>513</v>
      </c>
      <c r="S48" s="64" t="s">
        <v>514</v>
      </c>
      <c r="T48" s="64" t="s">
        <v>515</v>
      </c>
      <c r="U48" s="71" t="s">
        <v>276</v>
      </c>
      <c r="V48" s="71" t="s">
        <v>256</v>
      </c>
    </row>
    <row r="49" spans="16:24" x14ac:dyDescent="0.2">
      <c r="P49" s="1" t="s">
        <v>875</v>
      </c>
      <c r="Q49" s="66" t="s">
        <v>160</v>
      </c>
    </row>
    <row r="50" spans="16:24" x14ac:dyDescent="0.2">
      <c r="P50">
        <v>0.5</v>
      </c>
      <c r="Q50" s="1" t="s">
        <v>531</v>
      </c>
      <c r="R50" s="64">
        <f t="array" ref="R50:V50">TRANSPOSE(SAREM_Wind!L273:L277)</f>
        <v>9.8921448517675675E-2</v>
      </c>
      <c r="S50" s="64">
        <v>0.47531473884580877</v>
      </c>
      <c r="T50" s="64">
        <v>0.12678673398692214</v>
      </c>
      <c r="U50" s="64">
        <v>0.20774291465569497</v>
      </c>
      <c r="V50" s="64">
        <v>9.1234163993898498E-2</v>
      </c>
    </row>
    <row r="51" spans="16:24" x14ac:dyDescent="0.2">
      <c r="P51">
        <v>0</v>
      </c>
      <c r="Q51" s="1" t="s">
        <v>532</v>
      </c>
      <c r="R51" s="64">
        <f t="array" ref="R51:V51">TRANSPOSE(SAREM_Wind!N273:N277)</f>
        <v>0.13242503165498545</v>
      </c>
      <c r="S51" s="64">
        <v>0.49141294778456335</v>
      </c>
      <c r="T51" s="64">
        <v>0.13108081360948959</v>
      </c>
      <c r="U51" s="64">
        <v>0.15075707642690084</v>
      </c>
      <c r="V51" s="64">
        <v>9.4324130524060773E-2</v>
      </c>
    </row>
    <row r="52" spans="16:24" x14ac:dyDescent="0.2">
      <c r="P52">
        <v>0.5</v>
      </c>
      <c r="Q52" s="1" t="s">
        <v>530</v>
      </c>
      <c r="R52" s="76">
        <f t="array" ref="R52:V52">TRANSPOSE(NREL!T45:T49)</f>
        <v>7.9289131920710867E-2</v>
      </c>
      <c r="S52" s="76">
        <v>0.56390977443609025</v>
      </c>
      <c r="T52" s="76">
        <v>9.0225563909774431E-2</v>
      </c>
      <c r="U52" s="76">
        <v>0.1394395078605605</v>
      </c>
      <c r="V52" s="76">
        <v>0.12713602187286399</v>
      </c>
    </row>
    <row r="53" spans="16:24" x14ac:dyDescent="0.2">
      <c r="Q53" s="72" t="s">
        <v>49</v>
      </c>
      <c r="R53" s="375">
        <f>SUMPRODUCT($P$50:$P$52,R$50:R$52)</f>
        <v>8.9105290219193278E-2</v>
      </c>
      <c r="S53" s="375">
        <f>SUMPRODUCT($P$50:$P$52,S$50:S$52)</f>
        <v>0.51961225664094957</v>
      </c>
      <c r="T53" s="375">
        <f>SUMPRODUCT($P$50:$P$52,T$50:T$52)</f>
        <v>0.10850614894834829</v>
      </c>
      <c r="U53" s="375">
        <f>SUMPRODUCT($P$50:$P$52,U$50:U$52)</f>
        <v>0.17359121125812774</v>
      </c>
      <c r="V53" s="375">
        <f>SUMPRODUCT($P$50:$P$52,V$50:V$52)</f>
        <v>0.10918509293338124</v>
      </c>
      <c r="W53" s="267">
        <f>SUM(R53:V53)</f>
        <v>1.0000000000000002</v>
      </c>
      <c r="X53" s="267"/>
    </row>
    <row r="54" spans="16:24" x14ac:dyDescent="0.2">
      <c r="P54" s="1" t="s">
        <v>876</v>
      </c>
      <c r="R54" s="268"/>
      <c r="S54" s="268"/>
      <c r="T54" s="268"/>
      <c r="U54" s="268"/>
      <c r="V54" s="268"/>
    </row>
    <row r="56" spans="16:24" x14ac:dyDescent="0.2">
      <c r="Q56" s="66" t="s">
        <v>161</v>
      </c>
    </row>
    <row r="57" spans="16:24" x14ac:dyDescent="0.2">
      <c r="Q57" s="1" t="s">
        <v>1109</v>
      </c>
      <c r="R57" s="64">
        <f t="array" ref="R57:V57">TRANSPOSE(SAREM_PV!L324:L328)</f>
        <v>0.11845967407022193</v>
      </c>
      <c r="S57" s="64">
        <v>0.47139024646121935</v>
      </c>
      <c r="T57" s="64">
        <v>0.17024221633999342</v>
      </c>
      <c r="U57" s="64">
        <v>0.12042110849933838</v>
      </c>
      <c r="V57" s="64">
        <v>0.11845967407022193</v>
      </c>
    </row>
    <row r="58" spans="16:24" x14ac:dyDescent="0.2">
      <c r="P58">
        <v>0.5</v>
      </c>
      <c r="Q58" s="1" t="s">
        <v>1110</v>
      </c>
      <c r="R58" s="64">
        <f t="array" ref="R58:V58">TRANSPOSE(SAREM_PV!J324:J328)</f>
        <v>0.21573715948430497</v>
      </c>
      <c r="S58" s="64">
        <v>0.33950751385359229</v>
      </c>
      <c r="T58" s="64">
        <v>0.1415480231967611</v>
      </c>
      <c r="U58" s="64">
        <v>8.6730413853540619E-2</v>
      </c>
      <c r="V58" s="64">
        <v>0.21573715948430497</v>
      </c>
    </row>
    <row r="59" spans="16:24" x14ac:dyDescent="0.2">
      <c r="P59">
        <v>0.5</v>
      </c>
      <c r="Q59" s="1" t="s">
        <v>560</v>
      </c>
      <c r="R59" s="64">
        <f t="array" ref="R59:V59">TRANSPOSE(NREL!R45:R49)</f>
        <v>0.22999999999999998</v>
      </c>
      <c r="S59" s="64">
        <v>0.4</v>
      </c>
      <c r="T59" s="64">
        <v>0.17</v>
      </c>
      <c r="U59" s="64">
        <v>0</v>
      </c>
      <c r="V59" s="64">
        <v>0.19999999999999996</v>
      </c>
    </row>
    <row r="60" spans="16:24" x14ac:dyDescent="0.2">
      <c r="Q60" s="72" t="str">
        <f>MaterialInputs!A10</f>
        <v>EPV_Grid</v>
      </c>
      <c r="R60" s="375">
        <f>SUMPRODUCT($P$57:$P$59,R$57:R$59)</f>
        <v>0.22286857974215246</v>
      </c>
      <c r="S60" s="375">
        <f>SUMPRODUCT($P$57:$P$59,S$57:S$59)</f>
        <v>0.36975375692679613</v>
      </c>
      <c r="T60" s="375">
        <f>SUMPRODUCT($P$57:$P$59,T$57:T$59)</f>
        <v>0.15577401159838056</v>
      </c>
      <c r="U60" s="375">
        <f>SUMPRODUCT($P$57:$P$59,U$57:U$59)</f>
        <v>4.336520692677031E-2</v>
      </c>
      <c r="V60" s="375">
        <f>SUMPRODUCT($P$57:$P$59,V$57:V$59)</f>
        <v>0.20786857974215245</v>
      </c>
      <c r="W60" s="267">
        <f>SUM(R60:V60)</f>
        <v>0.99963013493625186</v>
      </c>
      <c r="X60" s="267"/>
    </row>
    <row r="64" spans="16:24" x14ac:dyDescent="0.2">
      <c r="Q64" s="1" t="s">
        <v>561</v>
      </c>
      <c r="R64" s="64">
        <f t="array" ref="R64:V64">TRANSPOSE(NREL!S45:S49)</f>
        <v>0.27669172932330827</v>
      </c>
      <c r="S64" s="64">
        <v>0.3007518796992481</v>
      </c>
      <c r="T64" s="64">
        <v>0.18195488721804515</v>
      </c>
      <c r="U64" s="64">
        <v>0</v>
      </c>
      <c r="V64" s="64">
        <v>0.24060150375939846</v>
      </c>
    </row>
    <row r="65" spans="17:22" x14ac:dyDescent="0.2">
      <c r="Q65" s="1" t="s">
        <v>499</v>
      </c>
      <c r="R65" s="76">
        <f>R64</f>
        <v>0.27669172932330827</v>
      </c>
      <c r="S65" s="76">
        <f t="shared" ref="S65:V65" si="50">S64</f>
        <v>0.3007518796992481</v>
      </c>
      <c r="T65" s="76">
        <f t="shared" si="50"/>
        <v>0.18195488721804515</v>
      </c>
      <c r="U65" s="76">
        <f t="shared" si="50"/>
        <v>0</v>
      </c>
      <c r="V65" s="76">
        <f t="shared" si="50"/>
        <v>0.24060150375939846</v>
      </c>
    </row>
    <row r="68" spans="17:22" x14ac:dyDescent="0.2">
      <c r="Q68" s="66" t="s">
        <v>1117</v>
      </c>
    </row>
    <row r="69" spans="17:22" x14ac:dyDescent="0.2">
      <c r="Q69" t="str">
        <f>A24</f>
        <v>Utility Scale Storage - 4hrs</v>
      </c>
      <c r="R69" s="64">
        <f t="array" ref="R69:V69">TRANSPOSE(NREL!U45:U49)</f>
        <v>5.4200542005420058E-2</v>
      </c>
      <c r="S69" s="64">
        <v>0.58265582655826553</v>
      </c>
      <c r="T69" s="64">
        <v>0.15176151761517614</v>
      </c>
      <c r="U69" s="64">
        <v>0</v>
      </c>
      <c r="V69" s="64">
        <v>0.21138211382113822</v>
      </c>
    </row>
    <row r="78" spans="17:22" x14ac:dyDescent="0.2">
      <c r="Q78" t="s">
        <v>1139</v>
      </c>
      <c r="R78">
        <v>2019</v>
      </c>
      <c r="S78" t="s">
        <v>1135</v>
      </c>
    </row>
    <row r="79" spans="17:22" x14ac:dyDescent="0.2">
      <c r="Q79" s="64" t="s">
        <v>513</v>
      </c>
      <c r="R79" s="64">
        <v>0.48737000000000003</v>
      </c>
      <c r="S79" s="76">
        <f>R79</f>
        <v>0.48737000000000003</v>
      </c>
      <c r="T79" s="76"/>
      <c r="U79" s="76"/>
    </row>
    <row r="80" spans="17:22" x14ac:dyDescent="0.2">
      <c r="Q80" s="64" t="s">
        <v>514</v>
      </c>
      <c r="R80" s="64">
        <v>0.17191000000000001</v>
      </c>
      <c r="S80" s="76">
        <f>S79+R80</f>
        <v>0.65928000000000009</v>
      </c>
      <c r="T80" s="76"/>
      <c r="U80" s="76"/>
    </row>
    <row r="81" spans="17:21" x14ac:dyDescent="0.2">
      <c r="Q81" s="64" t="s">
        <v>272</v>
      </c>
      <c r="R81" s="64">
        <v>0.11017</v>
      </c>
      <c r="S81" s="76">
        <f>S80+R81</f>
        <v>0.76945000000000008</v>
      </c>
      <c r="T81" s="76"/>
      <c r="U81" s="76"/>
    </row>
    <row r="82" spans="17:21" x14ac:dyDescent="0.2">
      <c r="Q82" s="64" t="s">
        <v>256</v>
      </c>
      <c r="R82" s="64">
        <v>7.4209999999999998E-2</v>
      </c>
      <c r="S82" s="76">
        <f>S81+R82</f>
        <v>0.84366000000000008</v>
      </c>
      <c r="T82" s="76"/>
      <c r="U82" s="76"/>
    </row>
    <row r="83" spans="17:21" x14ac:dyDescent="0.2">
      <c r="Q83" s="64" t="s">
        <v>515</v>
      </c>
      <c r="R83" s="64">
        <v>7.2400000000000006E-2</v>
      </c>
      <c r="S83" s="76">
        <f>S82+R83</f>
        <v>0.9160600000000001</v>
      </c>
      <c r="T83" s="76"/>
      <c r="U83" s="76"/>
    </row>
    <row r="84" spans="17:21" x14ac:dyDescent="0.2">
      <c r="Q84" s="64" t="s">
        <v>273</v>
      </c>
      <c r="R84" s="64">
        <v>3.6269999999999997E-2</v>
      </c>
      <c r="S84" s="76">
        <f>S83+R84</f>
        <v>0.95233000000000012</v>
      </c>
      <c r="T84" s="76"/>
      <c r="U84" s="76"/>
    </row>
    <row r="85" spans="17:21" x14ac:dyDescent="0.2">
      <c r="R85" s="64"/>
    </row>
    <row r="86" spans="17:21" x14ac:dyDescent="0.2">
      <c r="Q86" t="s">
        <v>276</v>
      </c>
      <c r="R86" s="64"/>
    </row>
    <row r="87" spans="17:21" x14ac:dyDescent="0.2">
      <c r="Q87" t="s">
        <v>279</v>
      </c>
      <c r="R87" s="64"/>
    </row>
    <row r="88" spans="17:21" x14ac:dyDescent="0.2">
      <c r="Q88" t="s">
        <v>519</v>
      </c>
      <c r="R88" s="64"/>
    </row>
    <row r="89" spans="17:21" x14ac:dyDescent="0.2">
      <c r="Q89" t="s">
        <v>300</v>
      </c>
      <c r="R89" s="64"/>
    </row>
    <row r="90" spans="17:21" x14ac:dyDescent="0.2">
      <c r="Q90" t="s">
        <v>278</v>
      </c>
      <c r="R90" s="64"/>
    </row>
    <row r="91" spans="17:21" x14ac:dyDescent="0.2">
      <c r="Q91" t="s">
        <v>274</v>
      </c>
      <c r="R91" s="64"/>
    </row>
    <row r="92" spans="17:21" x14ac:dyDescent="0.2">
      <c r="Q92" t="s">
        <v>281</v>
      </c>
      <c r="R92" s="64"/>
    </row>
    <row r="93" spans="17:21" x14ac:dyDescent="0.2">
      <c r="Q93" s="64"/>
      <c r="R93" s="64"/>
    </row>
    <row r="94" spans="17:21" x14ac:dyDescent="0.2">
      <c r="Q94" s="64"/>
      <c r="R94" s="64"/>
    </row>
    <row r="95" spans="17:21" x14ac:dyDescent="0.2">
      <c r="Q95" s="64"/>
      <c r="R95" s="64"/>
    </row>
    <row r="96" spans="17:21" x14ac:dyDescent="0.2">
      <c r="Q96" s="64"/>
      <c r="R96" s="64"/>
    </row>
    <row r="97" spans="17:30" x14ac:dyDescent="0.2">
      <c r="Q97" s="64"/>
      <c r="R97" s="64"/>
    </row>
    <row r="99" spans="17:30" x14ac:dyDescent="0.2">
      <c r="Q99" t="s">
        <v>1138</v>
      </c>
      <c r="R99">
        <v>2019</v>
      </c>
      <c r="S99" t="s">
        <v>1135</v>
      </c>
      <c r="V99" t="s">
        <v>1137</v>
      </c>
      <c r="W99">
        <v>2019</v>
      </c>
      <c r="Y99" t="s">
        <v>1135</v>
      </c>
      <c r="AB99" t="s">
        <v>1136</v>
      </c>
      <c r="AC99">
        <v>2019</v>
      </c>
      <c r="AD99" t="s">
        <v>1135</v>
      </c>
    </row>
    <row r="100" spans="17:30" x14ac:dyDescent="0.2">
      <c r="Q100" t="s">
        <v>256</v>
      </c>
      <c r="R100" s="64">
        <v>0.111</v>
      </c>
      <c r="S100" s="76">
        <f>R100</f>
        <v>0.111</v>
      </c>
      <c r="T100" s="76">
        <f t="shared" ref="T100:T109" si="51">R100*$R$79</f>
        <v>5.4098070000000005E-2</v>
      </c>
      <c r="U100" s="76">
        <f t="shared" ref="U100:U109" si="52">S100*$R$79</f>
        <v>5.4098070000000005E-2</v>
      </c>
      <c r="V100" t="s">
        <v>278</v>
      </c>
      <c r="W100" s="64">
        <v>0.13469999999999999</v>
      </c>
      <c r="X100" s="64"/>
      <c r="Y100" s="76">
        <f>W100</f>
        <v>0.13469999999999999</v>
      </c>
      <c r="Z100" s="76">
        <f t="shared" ref="Z100:Z107" si="53">W100*$R$80</f>
        <v>2.3156276999999999E-2</v>
      </c>
      <c r="AA100" s="76">
        <f t="shared" ref="AA100:AA107" si="54">Y100*$R$80</f>
        <v>2.3156276999999999E-2</v>
      </c>
      <c r="AB100" t="s">
        <v>277</v>
      </c>
      <c r="AC100" s="64">
        <v>0.1288</v>
      </c>
      <c r="AD100" s="76">
        <f>AC100</f>
        <v>0.1288</v>
      </c>
    </row>
    <row r="101" spans="17:30" x14ac:dyDescent="0.2">
      <c r="Q101" t="s">
        <v>254</v>
      </c>
      <c r="R101" s="64">
        <v>0.109</v>
      </c>
      <c r="S101" s="76">
        <f t="shared" ref="S101:S109" si="55">S100+R101</f>
        <v>0.22</v>
      </c>
      <c r="T101" s="76">
        <f t="shared" si="51"/>
        <v>5.3123330000000003E-2</v>
      </c>
      <c r="U101" s="76">
        <f t="shared" si="52"/>
        <v>0.10722140000000001</v>
      </c>
      <c r="V101" t="s">
        <v>276</v>
      </c>
      <c r="W101" s="64">
        <v>0.1104</v>
      </c>
      <c r="X101" s="64"/>
      <c r="Y101" s="76">
        <f t="shared" ref="Y101:Y107" si="56">Y100+W101</f>
        <v>0.24509999999999998</v>
      </c>
      <c r="Z101" s="76">
        <f t="shared" si="53"/>
        <v>1.8978864000000002E-2</v>
      </c>
      <c r="AA101" s="76">
        <f t="shared" si="54"/>
        <v>4.2135141000000001E-2</v>
      </c>
      <c r="AB101" t="s">
        <v>275</v>
      </c>
      <c r="AC101" s="64">
        <v>0.1101</v>
      </c>
      <c r="AD101" s="76">
        <f>AD100+AC101</f>
        <v>0.2389</v>
      </c>
    </row>
    <row r="102" spans="17:30" x14ac:dyDescent="0.2">
      <c r="Q102" t="s">
        <v>276</v>
      </c>
      <c r="R102" s="64">
        <v>7.85E-2</v>
      </c>
      <c r="S102" s="76">
        <f t="shared" si="55"/>
        <v>0.29849999999999999</v>
      </c>
      <c r="T102" s="76">
        <f t="shared" si="51"/>
        <v>3.8258545000000005E-2</v>
      </c>
      <c r="U102" s="76">
        <f t="shared" si="52"/>
        <v>0.145479945</v>
      </c>
      <c r="V102" t="s">
        <v>275</v>
      </c>
      <c r="W102" s="64">
        <v>9.5299999999999996E-2</v>
      </c>
      <c r="X102" s="64"/>
      <c r="Y102" s="76">
        <f t="shared" si="56"/>
        <v>0.34039999999999998</v>
      </c>
      <c r="Z102" s="76">
        <f t="shared" si="53"/>
        <v>1.6383023E-2</v>
      </c>
      <c r="AA102" s="76">
        <f t="shared" si="54"/>
        <v>5.8518163999999998E-2</v>
      </c>
      <c r="AB102" t="s">
        <v>278</v>
      </c>
      <c r="AC102" s="64">
        <v>7.1199999999999999E-2</v>
      </c>
      <c r="AD102" s="76">
        <f>AD101+AC102</f>
        <v>0.31009999999999999</v>
      </c>
    </row>
    <row r="103" spans="17:30" ht="15" x14ac:dyDescent="0.25">
      <c r="Q103" t="s">
        <v>279</v>
      </c>
      <c r="R103" s="64">
        <v>4.8899999999999999E-2</v>
      </c>
      <c r="S103" s="76">
        <f t="shared" si="55"/>
        <v>0.34739999999999999</v>
      </c>
      <c r="T103" s="76">
        <f t="shared" si="51"/>
        <v>2.3832393E-2</v>
      </c>
      <c r="U103" s="76">
        <f t="shared" si="52"/>
        <v>0.16931233800000001</v>
      </c>
      <c r="V103" s="378" t="s">
        <v>302</v>
      </c>
      <c r="W103" s="377">
        <v>5.0700000000000002E-2</v>
      </c>
      <c r="X103" s="377"/>
      <c r="Y103" s="76">
        <f t="shared" si="56"/>
        <v>0.3911</v>
      </c>
      <c r="Z103" s="76">
        <f t="shared" si="53"/>
        <v>8.7158370000000006E-3</v>
      </c>
      <c r="AA103" s="76">
        <f t="shared" si="54"/>
        <v>6.7234001000000002E-2</v>
      </c>
      <c r="AB103" t="s">
        <v>273</v>
      </c>
      <c r="AC103" s="64">
        <v>6.3E-2</v>
      </c>
      <c r="AD103" s="76">
        <f>AD102+AC103</f>
        <v>0.37309999999999999</v>
      </c>
    </row>
    <row r="104" spans="17:30" x14ac:dyDescent="0.2">
      <c r="Q104" t="s">
        <v>262</v>
      </c>
      <c r="R104" s="64">
        <v>4.8099999999999997E-2</v>
      </c>
      <c r="S104" s="76">
        <f t="shared" si="55"/>
        <v>0.39549999999999996</v>
      </c>
      <c r="T104" s="76">
        <f t="shared" si="51"/>
        <v>2.3442497E-2</v>
      </c>
      <c r="U104" s="76">
        <f t="shared" si="52"/>
        <v>0.19275483499999999</v>
      </c>
      <c r="V104" t="s">
        <v>273</v>
      </c>
      <c r="W104" s="64">
        <v>4.6699999999999998E-2</v>
      </c>
      <c r="X104" s="64"/>
      <c r="Y104" s="76">
        <f t="shared" si="56"/>
        <v>0.43780000000000002</v>
      </c>
      <c r="Z104" s="76">
        <f t="shared" si="53"/>
        <v>8.0281970000000008E-3</v>
      </c>
      <c r="AA104" s="76">
        <f t="shared" si="54"/>
        <v>7.5262198000000002E-2</v>
      </c>
      <c r="AB104" t="s">
        <v>302</v>
      </c>
      <c r="AC104" s="64">
        <v>5.5599999999999997E-2</v>
      </c>
      <c r="AD104" s="76">
        <f>AD103+AC104</f>
        <v>0.42869999999999997</v>
      </c>
    </row>
    <row r="105" spans="17:30" x14ac:dyDescent="0.2">
      <c r="Q105" t="s">
        <v>519</v>
      </c>
      <c r="R105" s="64">
        <v>4.4600000000000001E-2</v>
      </c>
      <c r="S105" s="76">
        <f t="shared" si="55"/>
        <v>0.44009999999999994</v>
      </c>
      <c r="T105" s="76">
        <f t="shared" si="51"/>
        <v>2.1736702E-2</v>
      </c>
      <c r="U105" s="76">
        <f t="shared" si="52"/>
        <v>0.21449153699999998</v>
      </c>
      <c r="V105" t="s">
        <v>256</v>
      </c>
      <c r="W105" s="64">
        <v>4.0399999999999998E-2</v>
      </c>
      <c r="X105" s="64"/>
      <c r="Y105" s="76">
        <f t="shared" si="56"/>
        <v>0.47820000000000001</v>
      </c>
      <c r="Z105" s="76">
        <f t="shared" si="53"/>
        <v>6.9451640000000002E-3</v>
      </c>
      <c r="AA105" s="76">
        <f t="shared" si="54"/>
        <v>8.2207362000000006E-2</v>
      </c>
      <c r="AB105" t="s">
        <v>274</v>
      </c>
      <c r="AC105" s="64">
        <v>4.4699999999999997E-2</v>
      </c>
    </row>
    <row r="106" spans="17:30" x14ac:dyDescent="0.2">
      <c r="Q106" t="s">
        <v>300</v>
      </c>
      <c r="R106" s="64">
        <v>3.6299999999999999E-2</v>
      </c>
      <c r="S106" s="76">
        <f t="shared" si="55"/>
        <v>0.47639999999999993</v>
      </c>
      <c r="T106" s="76">
        <f t="shared" si="51"/>
        <v>1.7691531E-2</v>
      </c>
      <c r="U106" s="76">
        <f t="shared" si="52"/>
        <v>0.23218306799999999</v>
      </c>
      <c r="V106" t="s">
        <v>274</v>
      </c>
      <c r="W106" s="64">
        <v>3.4099999999999998E-2</v>
      </c>
      <c r="X106" s="64"/>
      <c r="Y106" s="76">
        <f t="shared" si="56"/>
        <v>0.51229999999999998</v>
      </c>
      <c r="Z106" s="76">
        <f t="shared" si="53"/>
        <v>5.8621309999999996E-3</v>
      </c>
      <c r="AA106" s="76">
        <f t="shared" si="54"/>
        <v>8.8069492999999999E-2</v>
      </c>
      <c r="AB106" t="s">
        <v>256</v>
      </c>
      <c r="AC106" s="64">
        <v>4.2099999999999999E-2</v>
      </c>
    </row>
    <row r="107" spans="17:30" x14ac:dyDescent="0.2">
      <c r="Q107" t="s">
        <v>278</v>
      </c>
      <c r="R107" s="64">
        <v>3.1899999999999998E-2</v>
      </c>
      <c r="S107" s="76">
        <f t="shared" si="55"/>
        <v>0.50829999999999997</v>
      </c>
      <c r="T107" s="76">
        <f t="shared" si="51"/>
        <v>1.5547103E-2</v>
      </c>
      <c r="U107" s="76">
        <f t="shared" si="52"/>
        <v>0.247730171</v>
      </c>
      <c r="V107" t="s">
        <v>268</v>
      </c>
      <c r="W107" s="64">
        <v>1.7899999999999999E-2</v>
      </c>
      <c r="X107" s="64"/>
      <c r="Y107" s="76">
        <f t="shared" si="56"/>
        <v>0.5302</v>
      </c>
      <c r="Z107" s="76">
        <f t="shared" si="53"/>
        <v>3.0771890000000001E-3</v>
      </c>
      <c r="AA107" s="76">
        <f t="shared" si="54"/>
        <v>9.1146682000000007E-2</v>
      </c>
      <c r="AB107" t="s">
        <v>254</v>
      </c>
      <c r="AC107" s="64">
        <v>3.9600000000000003E-2</v>
      </c>
    </row>
    <row r="108" spans="17:30" x14ac:dyDescent="0.2">
      <c r="Q108" t="s">
        <v>274</v>
      </c>
      <c r="R108" s="64">
        <v>3.15E-2</v>
      </c>
      <c r="S108" s="76">
        <f t="shared" si="55"/>
        <v>0.53979999999999995</v>
      </c>
      <c r="T108" s="76">
        <f t="shared" si="51"/>
        <v>1.5352155000000001E-2</v>
      </c>
      <c r="U108" s="76">
        <f t="shared" si="52"/>
        <v>0.26308232599999998</v>
      </c>
      <c r="V108" t="s">
        <v>254</v>
      </c>
      <c r="W108" s="64">
        <v>1.7299999999999999E-2</v>
      </c>
      <c r="X108" s="64"/>
      <c r="AB108" t="s">
        <v>276</v>
      </c>
      <c r="AC108" s="64">
        <v>3.3500000000000002E-2</v>
      </c>
    </row>
    <row r="109" spans="17:30" x14ac:dyDescent="0.2">
      <c r="Q109" t="s">
        <v>281</v>
      </c>
      <c r="R109" s="64">
        <v>1.9099999999999999E-2</v>
      </c>
      <c r="S109" s="76">
        <f t="shared" si="55"/>
        <v>0.55889999999999995</v>
      </c>
      <c r="T109" s="76">
        <f t="shared" si="51"/>
        <v>9.3087670000000008E-3</v>
      </c>
      <c r="U109" s="76">
        <f t="shared" si="52"/>
        <v>0.27239109299999997</v>
      </c>
      <c r="V109" t="s">
        <v>257</v>
      </c>
      <c r="W109" s="64">
        <v>1.7000000000000001E-2</v>
      </c>
      <c r="X109" s="64"/>
      <c r="AB109" t="s">
        <v>262</v>
      </c>
      <c r="AC109" s="64">
        <v>3.1099999999999999E-2</v>
      </c>
    </row>
    <row r="110" spans="17:30" x14ac:dyDescent="0.2">
      <c r="Q110" t="s">
        <v>257</v>
      </c>
      <c r="R110" s="64">
        <v>1.5100000000000001E-2</v>
      </c>
      <c r="V110" t="s">
        <v>277</v>
      </c>
      <c r="W110" s="64">
        <v>1.29E-2</v>
      </c>
      <c r="X110" s="64"/>
      <c r="AB110" t="s">
        <v>556</v>
      </c>
      <c r="AC110" s="64">
        <v>2.7900000000000001E-2</v>
      </c>
    </row>
    <row r="111" spans="17:30" x14ac:dyDescent="0.2">
      <c r="Q111" t="s">
        <v>283</v>
      </c>
      <c r="R111" s="64">
        <v>1.12E-2</v>
      </c>
      <c r="V111" t="s">
        <v>1134</v>
      </c>
      <c r="W111" s="64">
        <v>0.01</v>
      </c>
      <c r="X111" s="64"/>
      <c r="AB111" t="s">
        <v>301</v>
      </c>
      <c r="AC111" s="64">
        <v>2.58E-2</v>
      </c>
    </row>
    <row r="112" spans="17:30" x14ac:dyDescent="0.2">
      <c r="Q112" t="s">
        <v>290</v>
      </c>
      <c r="R112" s="64">
        <v>9.9000000000000008E-3</v>
      </c>
      <c r="V112" t="s">
        <v>272</v>
      </c>
      <c r="W112" s="64">
        <v>9.7000000000000003E-3</v>
      </c>
      <c r="X112" s="64"/>
      <c r="AB112" t="s">
        <v>272</v>
      </c>
      <c r="AC112" s="64">
        <v>2.3099999999999999E-2</v>
      </c>
    </row>
    <row r="113" spans="17:29" x14ac:dyDescent="0.2">
      <c r="Q113" t="s">
        <v>1124</v>
      </c>
      <c r="R113" s="64">
        <v>8.3000000000000001E-3</v>
      </c>
      <c r="V113" t="s">
        <v>262</v>
      </c>
      <c r="W113" s="64">
        <v>9.7000000000000003E-3</v>
      </c>
      <c r="X113" s="64"/>
      <c r="AB113" t="s">
        <v>281</v>
      </c>
      <c r="AC113" s="64">
        <v>2.1100000000000001E-2</v>
      </c>
    </row>
    <row r="114" spans="17:29" x14ac:dyDescent="0.2">
      <c r="Q114" t="s">
        <v>275</v>
      </c>
      <c r="R114" s="64">
        <v>5.7999999999999996E-3</v>
      </c>
      <c r="V114" t="s">
        <v>284</v>
      </c>
      <c r="W114" s="64">
        <v>9.2999999999999992E-3</v>
      </c>
      <c r="X114" s="64"/>
      <c r="AB114" t="s">
        <v>271</v>
      </c>
      <c r="AC114" s="64">
        <v>1.9900000000000001E-2</v>
      </c>
    </row>
    <row r="115" spans="17:29" x14ac:dyDescent="0.2">
      <c r="Q115" t="s">
        <v>259</v>
      </c>
      <c r="R115" s="64">
        <v>4.7999999999999996E-3</v>
      </c>
      <c r="V115" t="s">
        <v>301</v>
      </c>
      <c r="W115" s="64">
        <v>8.6E-3</v>
      </c>
      <c r="X115" s="64"/>
      <c r="AB115" t="s">
        <v>284</v>
      </c>
      <c r="AC115" s="64">
        <v>1.8599999999999998E-2</v>
      </c>
    </row>
    <row r="116" spans="17:29" x14ac:dyDescent="0.2">
      <c r="Q116" t="s">
        <v>294</v>
      </c>
      <c r="R116" s="64">
        <v>4.4999999999999997E-3</v>
      </c>
      <c r="V116" t="s">
        <v>300</v>
      </c>
      <c r="W116" s="64">
        <v>6.4000000000000003E-3</v>
      </c>
      <c r="X116" s="64"/>
      <c r="AB116" t="s">
        <v>268</v>
      </c>
      <c r="AC116" s="64">
        <v>1.7999999999999999E-2</v>
      </c>
    </row>
    <row r="117" spans="17:29" x14ac:dyDescent="0.2">
      <c r="Q117" t="s">
        <v>298</v>
      </c>
      <c r="R117" s="64">
        <v>4.3E-3</v>
      </c>
      <c r="V117" t="s">
        <v>281</v>
      </c>
      <c r="W117" s="64">
        <v>5.3E-3</v>
      </c>
      <c r="X117" s="64"/>
      <c r="AB117" t="s">
        <v>257</v>
      </c>
      <c r="AC117" s="64">
        <v>1.0800000000000001E-2</v>
      </c>
    </row>
    <row r="118" spans="17:29" x14ac:dyDescent="0.2">
      <c r="Q118" t="s">
        <v>268</v>
      </c>
      <c r="R118" s="64">
        <v>4.3E-3</v>
      </c>
      <c r="V118" t="s">
        <v>259</v>
      </c>
      <c r="W118" s="64">
        <v>4.4000000000000003E-3</v>
      </c>
      <c r="X118" s="64"/>
      <c r="AB118" t="s">
        <v>555</v>
      </c>
      <c r="AC118" s="64">
        <v>9.1999999999999998E-3</v>
      </c>
    </row>
    <row r="119" spans="17:29" x14ac:dyDescent="0.2">
      <c r="Q119" t="s">
        <v>266</v>
      </c>
      <c r="R119" s="64">
        <v>4.1999999999999997E-3</v>
      </c>
      <c r="V119" t="s">
        <v>282</v>
      </c>
      <c r="W119" s="64">
        <v>3.8999999999999998E-3</v>
      </c>
      <c r="X119" s="64"/>
      <c r="AB119" t="s">
        <v>1134</v>
      </c>
      <c r="AC119" s="64">
        <v>8.5000000000000006E-3</v>
      </c>
    </row>
    <row r="120" spans="17:29" x14ac:dyDescent="0.2">
      <c r="Q120" t="s">
        <v>1133</v>
      </c>
      <c r="R120" s="64">
        <v>2.8E-3</v>
      </c>
      <c r="V120" t="s">
        <v>283</v>
      </c>
      <c r="W120" s="64">
        <v>2.8E-3</v>
      </c>
      <c r="X120" s="64"/>
      <c r="AB120" t="s">
        <v>283</v>
      </c>
      <c r="AC120" s="64">
        <v>5.4000000000000003E-3</v>
      </c>
    </row>
    <row r="121" spans="17:29" x14ac:dyDescent="0.2">
      <c r="Q121" t="s">
        <v>264</v>
      </c>
      <c r="R121" s="64">
        <v>2.2000000000000001E-3</v>
      </c>
      <c r="V121" t="s">
        <v>290</v>
      </c>
      <c r="W121" s="64">
        <v>2.2000000000000001E-3</v>
      </c>
      <c r="X121" s="64"/>
      <c r="AB121" t="s">
        <v>259</v>
      </c>
      <c r="AC121" s="64">
        <v>5.0000000000000001E-3</v>
      </c>
    </row>
    <row r="122" spans="17:29" x14ac:dyDescent="0.2">
      <c r="Q122" t="s">
        <v>291</v>
      </c>
      <c r="R122" s="64">
        <v>2E-3</v>
      </c>
      <c r="V122" t="s">
        <v>271</v>
      </c>
      <c r="W122" s="64">
        <v>2E-3</v>
      </c>
      <c r="X122" s="64"/>
      <c r="AB122" t="s">
        <v>264</v>
      </c>
      <c r="AC122" s="64">
        <v>2.2000000000000001E-3</v>
      </c>
    </row>
    <row r="123" spans="17:29" x14ac:dyDescent="0.2">
      <c r="Q123" t="s">
        <v>289</v>
      </c>
      <c r="R123" s="64">
        <v>1.1000000000000001E-3</v>
      </c>
      <c r="V123" t="s">
        <v>289</v>
      </c>
      <c r="W123" s="64">
        <v>1.9E-3</v>
      </c>
      <c r="X123" s="64"/>
      <c r="AB123" t="s">
        <v>1128</v>
      </c>
      <c r="AC123" s="64">
        <v>2.0999999999999999E-3</v>
      </c>
    </row>
    <row r="124" spans="17:29" x14ac:dyDescent="0.2">
      <c r="Q124" t="s">
        <v>1132</v>
      </c>
      <c r="R124" s="64">
        <v>1E-3</v>
      </c>
      <c r="V124" t="s">
        <v>269</v>
      </c>
      <c r="W124" s="64">
        <v>1.9E-3</v>
      </c>
      <c r="X124" s="64"/>
      <c r="AB124" t="s">
        <v>289</v>
      </c>
      <c r="AC124" s="64">
        <v>2E-3</v>
      </c>
    </row>
    <row r="125" spans="17:29" x14ac:dyDescent="0.2">
      <c r="Q125" t="s">
        <v>1131</v>
      </c>
      <c r="R125" s="64">
        <v>6.9999999999999999E-4</v>
      </c>
      <c r="V125" t="s">
        <v>264</v>
      </c>
      <c r="W125" s="64">
        <v>1.9E-3</v>
      </c>
      <c r="X125" s="64"/>
      <c r="AB125" t="s">
        <v>279</v>
      </c>
      <c r="AC125" s="64">
        <v>1.9E-3</v>
      </c>
    </row>
    <row r="126" spans="17:29" x14ac:dyDescent="0.2">
      <c r="Q126" t="s">
        <v>270</v>
      </c>
      <c r="R126" s="64">
        <v>5.9999999999999995E-4</v>
      </c>
      <c r="V126" t="s">
        <v>260</v>
      </c>
      <c r="W126" s="64">
        <v>1.6000000000000001E-3</v>
      </c>
      <c r="X126" s="64"/>
      <c r="AB126" t="s">
        <v>269</v>
      </c>
      <c r="AC126" s="64">
        <v>1.8E-3</v>
      </c>
    </row>
    <row r="127" spans="17:29" x14ac:dyDescent="0.2">
      <c r="Q127" t="s">
        <v>258</v>
      </c>
      <c r="R127" s="64">
        <v>5.0000000000000001E-4</v>
      </c>
      <c r="V127" t="s">
        <v>279</v>
      </c>
      <c r="W127" s="64">
        <v>1.5E-3</v>
      </c>
      <c r="X127" s="64"/>
      <c r="AB127" t="s">
        <v>258</v>
      </c>
      <c r="AC127" s="64">
        <v>1.6000000000000001E-3</v>
      </c>
    </row>
    <row r="128" spans="17:29" x14ac:dyDescent="0.2">
      <c r="Q128" t="s">
        <v>1130</v>
      </c>
      <c r="R128" s="64">
        <v>4.0000000000000002E-4</v>
      </c>
      <c r="V128" t="s">
        <v>258</v>
      </c>
      <c r="W128" s="64">
        <v>1.2999999999999999E-3</v>
      </c>
      <c r="X128" s="64"/>
      <c r="AB128" t="s">
        <v>1123</v>
      </c>
      <c r="AC128" s="64">
        <v>1.5E-3</v>
      </c>
    </row>
    <row r="129" spans="17:29" x14ac:dyDescent="0.2">
      <c r="Q129" t="s">
        <v>1129</v>
      </c>
      <c r="R129" s="64">
        <v>4.0000000000000002E-4</v>
      </c>
      <c r="V129" t="s">
        <v>1123</v>
      </c>
      <c r="W129" s="64">
        <v>1.1999999999999999E-3</v>
      </c>
      <c r="X129" s="64"/>
      <c r="AB129" t="s">
        <v>290</v>
      </c>
      <c r="AC129" s="64">
        <v>1.2999999999999999E-3</v>
      </c>
    </row>
    <row r="130" spans="17:29" x14ac:dyDescent="0.2">
      <c r="Q130" t="s">
        <v>556</v>
      </c>
      <c r="R130" s="64">
        <v>4.0000000000000002E-4</v>
      </c>
      <c r="V130" t="s">
        <v>294</v>
      </c>
      <c r="W130" s="64">
        <v>1.1999999999999999E-3</v>
      </c>
      <c r="X130" s="64"/>
      <c r="AB130" t="s">
        <v>260</v>
      </c>
      <c r="AC130" s="64">
        <v>1.1999999999999999E-3</v>
      </c>
    </row>
    <row r="131" spans="17:29" x14ac:dyDescent="0.2">
      <c r="Q131" t="s">
        <v>260</v>
      </c>
      <c r="R131" s="64">
        <v>4.0000000000000002E-4</v>
      </c>
      <c r="V131" t="s">
        <v>1128</v>
      </c>
      <c r="W131" s="64">
        <v>1.1000000000000001E-3</v>
      </c>
      <c r="X131" s="64"/>
      <c r="AB131" t="s">
        <v>294</v>
      </c>
      <c r="AC131" s="64">
        <v>6.9999999999999999E-4</v>
      </c>
    </row>
    <row r="132" spans="17:29" x14ac:dyDescent="0.2">
      <c r="Q132" t="s">
        <v>555</v>
      </c>
      <c r="R132" s="64">
        <v>2.9999999999999997E-4</v>
      </c>
      <c r="V132" t="s">
        <v>298</v>
      </c>
      <c r="W132" s="64">
        <v>8.0000000000000004E-4</v>
      </c>
      <c r="X132" s="64"/>
      <c r="AB132" t="s">
        <v>265</v>
      </c>
      <c r="AC132" s="64">
        <v>5.9999999999999995E-4</v>
      </c>
    </row>
    <row r="133" spans="17:29" x14ac:dyDescent="0.2">
      <c r="Q133" t="s">
        <v>267</v>
      </c>
      <c r="R133" s="64">
        <v>2.9999999999999997E-4</v>
      </c>
      <c r="V133" t="s">
        <v>297</v>
      </c>
      <c r="W133" s="64">
        <v>6.9999999999999999E-4</v>
      </c>
      <c r="X133" s="64"/>
      <c r="AB133" t="s">
        <v>267</v>
      </c>
      <c r="AC133" s="64">
        <v>5.0000000000000001E-4</v>
      </c>
    </row>
    <row r="134" spans="17:29" x14ac:dyDescent="0.2">
      <c r="Q134" t="s">
        <v>1127</v>
      </c>
      <c r="R134" s="64">
        <v>2.0000000000000001E-4</v>
      </c>
      <c r="V134" t="s">
        <v>556</v>
      </c>
      <c r="W134" s="64">
        <v>5.0000000000000001E-4</v>
      </c>
      <c r="X134" s="64"/>
      <c r="AB134" t="s">
        <v>288</v>
      </c>
      <c r="AC134" s="64">
        <v>2.9999999999999997E-4</v>
      </c>
    </row>
    <row r="135" spans="17:29" x14ac:dyDescent="0.2">
      <c r="Q135" t="s">
        <v>1126</v>
      </c>
      <c r="R135" s="64">
        <v>2.0000000000000001E-4</v>
      </c>
      <c r="V135" t="s">
        <v>265</v>
      </c>
      <c r="W135" s="64">
        <v>5.0000000000000001E-4</v>
      </c>
      <c r="X135" s="64"/>
      <c r="AB135" t="s">
        <v>270</v>
      </c>
      <c r="AC135" s="64">
        <v>2.9999999999999997E-4</v>
      </c>
    </row>
    <row r="136" spans="17:29" x14ac:dyDescent="0.2">
      <c r="Q136" t="s">
        <v>288</v>
      </c>
      <c r="R136" s="64">
        <v>2.0000000000000001E-4</v>
      </c>
      <c r="V136" t="s">
        <v>288</v>
      </c>
      <c r="W136" s="64">
        <v>2.9999999999999997E-4</v>
      </c>
      <c r="X136" s="64"/>
      <c r="AB136" t="s">
        <v>266</v>
      </c>
      <c r="AC136" s="64">
        <v>2.0000000000000001E-4</v>
      </c>
    </row>
    <row r="137" spans="17:29" x14ac:dyDescent="0.2">
      <c r="Q137" t="s">
        <v>1125</v>
      </c>
      <c r="R137" s="64">
        <v>2.0000000000000001E-4</v>
      </c>
      <c r="V137" t="s">
        <v>1124</v>
      </c>
      <c r="W137" s="64">
        <v>2.9999999999999997E-4</v>
      </c>
      <c r="X137" s="64"/>
      <c r="AB137" t="s">
        <v>282</v>
      </c>
      <c r="AC137" s="64">
        <v>1E-4</v>
      </c>
    </row>
    <row r="138" spans="17:29" x14ac:dyDescent="0.2">
      <c r="Q138" t="s">
        <v>1123</v>
      </c>
      <c r="R138" s="64">
        <v>1E-4</v>
      </c>
      <c r="V138" t="s">
        <v>267</v>
      </c>
      <c r="W138" s="64">
        <v>2.9999999999999997E-4</v>
      </c>
      <c r="X138" s="64"/>
    </row>
    <row r="139" spans="17:29" x14ac:dyDescent="0.2">
      <c r="Q139" t="s">
        <v>1122</v>
      </c>
      <c r="R139" s="64">
        <v>1E-4</v>
      </c>
      <c r="V139" t="s">
        <v>266</v>
      </c>
      <c r="W139" s="64">
        <v>2.9999999999999997E-4</v>
      </c>
      <c r="X139" s="64"/>
    </row>
    <row r="140" spans="17:29" x14ac:dyDescent="0.2">
      <c r="Q140" t="s">
        <v>265</v>
      </c>
      <c r="R140" s="64">
        <v>1E-4</v>
      </c>
      <c r="V140" t="s">
        <v>555</v>
      </c>
      <c r="W140" s="64">
        <v>2.0000000000000001E-4</v>
      </c>
      <c r="X140" s="64"/>
    </row>
    <row r="141" spans="17:29" x14ac:dyDescent="0.2">
      <c r="Q141" t="s">
        <v>1121</v>
      </c>
      <c r="R141" s="64">
        <v>0</v>
      </c>
      <c r="V141" t="s">
        <v>1120</v>
      </c>
      <c r="W141" s="64">
        <v>1E-4</v>
      </c>
      <c r="X141" s="64"/>
    </row>
    <row r="142" spans="17:29" x14ac:dyDescent="0.2">
      <c r="Q142" t="s">
        <v>1119</v>
      </c>
      <c r="R142" s="64">
        <v>0</v>
      </c>
      <c r="V142" t="s">
        <v>270</v>
      </c>
      <c r="W142" s="64">
        <v>0</v>
      </c>
      <c r="X142" s="64"/>
    </row>
    <row r="143" spans="17:29" x14ac:dyDescent="0.2">
      <c r="Q143" t="s">
        <v>1118</v>
      </c>
      <c r="R143" s="64">
        <v>0</v>
      </c>
    </row>
    <row r="144" spans="17:29" x14ac:dyDescent="0.2">
      <c r="Q144" t="s">
        <v>269</v>
      </c>
      <c r="R144" s="64">
        <v>0</v>
      </c>
    </row>
  </sheetData>
  <phoneticPr fontId="2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topLeftCell="A61" workbookViewId="0"/>
  </sheetViews>
  <sheetFormatPr defaultRowHeight="12.75" x14ac:dyDescent="0.2"/>
  <cols>
    <col min="1" max="2" width="9.140625" style="409"/>
    <col min="3" max="3" width="18.5703125" style="409" customWidth="1"/>
    <col min="4" max="4" width="13.140625" style="409" customWidth="1"/>
    <col min="5" max="6" width="9.140625" style="409"/>
    <col min="7" max="7" width="13.42578125" style="409" customWidth="1"/>
    <col min="8" max="18" width="9.140625" style="409"/>
    <col min="19" max="19" width="10" style="409" bestFit="1" customWidth="1"/>
    <col min="20" max="20" width="10.5703125" style="409" bestFit="1" customWidth="1"/>
    <col min="21" max="23" width="9.140625" style="409"/>
    <col min="24" max="24" width="11.28515625" style="409" bestFit="1" customWidth="1"/>
    <col min="25" max="25" width="9.140625" style="409"/>
    <col min="26" max="26" width="10.5703125" style="409" bestFit="1" customWidth="1"/>
    <col min="27" max="16384" width="9.140625" style="409"/>
  </cols>
  <sheetData>
    <row r="5" spans="3:31" x14ac:dyDescent="0.2">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31" x14ac:dyDescent="0.2">
      <c r="C6" s="408"/>
      <c r="D6" s="408" t="s">
        <v>1227</v>
      </c>
    </row>
    <row r="8" spans="3:31" x14ac:dyDescent="0.2">
      <c r="R8" s="408" t="s">
        <v>1227</v>
      </c>
    </row>
    <row r="10" spans="3:31" x14ac:dyDescent="0.2">
      <c r="S10" s="409" t="s">
        <v>492</v>
      </c>
      <c r="T10" s="409" t="s">
        <v>1228</v>
      </c>
      <c r="U10" s="409" t="s">
        <v>1229</v>
      </c>
      <c r="V10" s="409" t="s">
        <v>1230</v>
      </c>
      <c r="W10" s="409" t="s">
        <v>1231</v>
      </c>
      <c r="X10" s="409" t="s">
        <v>1232</v>
      </c>
      <c r="Y10" s="409" t="s">
        <v>1068</v>
      </c>
      <c r="Z10" s="409" t="s">
        <v>1233</v>
      </c>
      <c r="AA10" s="409" t="s">
        <v>1234</v>
      </c>
      <c r="AB10" s="409" t="s">
        <v>1235</v>
      </c>
    </row>
    <row r="11" spans="3:31" x14ac:dyDescent="0.2">
      <c r="R11" s="409" t="s">
        <v>1236</v>
      </c>
      <c r="S11" s="409">
        <v>1150</v>
      </c>
      <c r="AB11" s="409">
        <v>50</v>
      </c>
      <c r="AD11" s="408">
        <f>SUM(S11:AB11)</f>
        <v>1200</v>
      </c>
    </row>
    <row r="12" spans="3:31" x14ac:dyDescent="0.2">
      <c r="R12" s="409" t="s">
        <v>159</v>
      </c>
      <c r="S12" s="409">
        <v>1180</v>
      </c>
      <c r="U12" s="409">
        <v>610</v>
      </c>
      <c r="V12" s="409">
        <v>60</v>
      </c>
      <c r="W12" s="409">
        <v>120</v>
      </c>
      <c r="AB12" s="409">
        <v>450</v>
      </c>
    </row>
    <row r="13" spans="3:31" x14ac:dyDescent="0.2">
      <c r="R13" s="409" t="s">
        <v>158</v>
      </c>
      <c r="S13" s="409">
        <v>1500</v>
      </c>
      <c r="U13" s="409">
        <v>1270</v>
      </c>
      <c r="V13" s="409">
        <v>150</v>
      </c>
      <c r="AB13" s="409">
        <v>2250</v>
      </c>
    </row>
    <row r="14" spans="3:31" x14ac:dyDescent="0.2">
      <c r="R14" s="409" t="s">
        <v>1237</v>
      </c>
      <c r="S14" s="409">
        <v>2850</v>
      </c>
      <c r="Y14" s="409">
        <v>3800</v>
      </c>
    </row>
    <row r="15" spans="3:31" x14ac:dyDescent="0.2">
      <c r="R15" s="409" t="s">
        <v>1238</v>
      </c>
      <c r="S15" s="409">
        <v>2900</v>
      </c>
      <c r="U15" s="409">
        <v>400</v>
      </c>
      <c r="V15" s="409">
        <v>780</v>
      </c>
      <c r="AB15" s="409">
        <v>6050</v>
      </c>
      <c r="AD15" s="408">
        <f>SUM(S15:AB15)</f>
        <v>10130</v>
      </c>
    </row>
    <row r="16" spans="3:31" x14ac:dyDescent="0.2">
      <c r="R16" s="409" t="s">
        <v>1239</v>
      </c>
      <c r="S16" s="409">
        <v>8000</v>
      </c>
      <c r="U16" s="409">
        <v>210</v>
      </c>
      <c r="V16" s="409">
        <v>780</v>
      </c>
      <c r="AB16" s="409">
        <v>6125</v>
      </c>
      <c r="AD16" s="408">
        <f>SUM(S16:AB16)</f>
        <v>15115</v>
      </c>
    </row>
    <row r="44" spans="18:31" x14ac:dyDescent="0.2">
      <c r="R44" s="408" t="s">
        <v>1240</v>
      </c>
    </row>
    <row r="47" spans="18:31" x14ac:dyDescent="0.2">
      <c r="S47" s="409" t="s">
        <v>495</v>
      </c>
      <c r="T47" s="409" t="s">
        <v>491</v>
      </c>
      <c r="U47" s="409" t="s">
        <v>490</v>
      </c>
      <c r="V47" s="409" t="s">
        <v>494</v>
      </c>
      <c r="W47" s="409" t="s">
        <v>496</v>
      </c>
      <c r="X47" s="409" t="s">
        <v>60</v>
      </c>
      <c r="AA47" s="409" t="s">
        <v>495</v>
      </c>
      <c r="AB47" s="409" t="s">
        <v>491</v>
      </c>
      <c r="AC47" s="409" t="s">
        <v>490</v>
      </c>
      <c r="AD47" s="409" t="s">
        <v>494</v>
      </c>
      <c r="AE47" s="409" t="s">
        <v>496</v>
      </c>
    </row>
    <row r="48" spans="18:31" x14ac:dyDescent="0.2">
      <c r="R48" s="409" t="s">
        <v>1236</v>
      </c>
      <c r="S48" s="409">
        <f t="shared" ref="S48:W53" si="0">AA48*1000</f>
        <v>26500</v>
      </c>
      <c r="T48" s="409">
        <f t="shared" si="0"/>
        <v>1000</v>
      </c>
      <c r="U48" s="409">
        <f t="shared" si="0"/>
        <v>6400</v>
      </c>
      <c r="V48" s="409">
        <f t="shared" si="0"/>
        <v>3400</v>
      </c>
      <c r="W48" s="409">
        <f t="shared" si="0"/>
        <v>0</v>
      </c>
      <c r="X48" s="432">
        <f>SUM(S48:W48)</f>
        <v>37300</v>
      </c>
      <c r="Z48" s="409" t="s">
        <v>1236</v>
      </c>
      <c r="AA48" s="409">
        <v>26.5</v>
      </c>
      <c r="AB48" s="409">
        <v>1</v>
      </c>
      <c r="AC48" s="409">
        <v>6.4</v>
      </c>
      <c r="AD48" s="409">
        <v>3.4</v>
      </c>
    </row>
    <row r="49" spans="18:31" x14ac:dyDescent="0.2">
      <c r="R49" s="409" t="s">
        <v>159</v>
      </c>
      <c r="S49" s="409">
        <f t="shared" si="0"/>
        <v>68000</v>
      </c>
      <c r="T49" s="409">
        <f t="shared" si="0"/>
        <v>800</v>
      </c>
      <c r="U49" s="409">
        <f t="shared" si="0"/>
        <v>35500</v>
      </c>
      <c r="V49" s="409">
        <f t="shared" si="0"/>
        <v>0</v>
      </c>
      <c r="W49" s="409">
        <f t="shared" si="0"/>
        <v>0</v>
      </c>
      <c r="X49" s="432">
        <f t="shared" ref="X49:X53" si="1">SUM(S49:W49)</f>
        <v>104300</v>
      </c>
      <c r="Z49" s="409" t="s">
        <v>159</v>
      </c>
      <c r="AA49" s="409">
        <v>68</v>
      </c>
      <c r="AB49" s="409">
        <v>0.8</v>
      </c>
      <c r="AC49" s="409">
        <v>35.5</v>
      </c>
    </row>
    <row r="50" spans="18:31" x14ac:dyDescent="0.2">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v>
      </c>
    </row>
    <row r="51" spans="18:31" x14ac:dyDescent="0.2">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v>
      </c>
      <c r="AD51" s="409">
        <v>7.2</v>
      </c>
      <c r="AE51" s="409">
        <v>46</v>
      </c>
    </row>
    <row r="52" spans="18:31" x14ac:dyDescent="0.2">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v>
      </c>
      <c r="AE52" s="409">
        <v>8</v>
      </c>
    </row>
    <row r="53" spans="18:31" x14ac:dyDescent="0.2">
      <c r="R53" s="409" t="s">
        <v>1239</v>
      </c>
      <c r="S53" s="409">
        <f t="shared" si="0"/>
        <v>0</v>
      </c>
      <c r="T53" s="409">
        <f t="shared" si="0"/>
        <v>0</v>
      </c>
      <c r="U53" s="409">
        <f t="shared" si="0"/>
        <v>0</v>
      </c>
      <c r="V53" s="409">
        <f t="shared" si="0"/>
        <v>0</v>
      </c>
      <c r="W53" s="409">
        <f t="shared" si="0"/>
        <v>0</v>
      </c>
      <c r="X53" s="432">
        <f t="shared" si="1"/>
        <v>0</v>
      </c>
      <c r="Z53" s="409" t="s">
        <v>1239</v>
      </c>
    </row>
    <row r="78" spans="4:4" x14ac:dyDescent="0.2">
      <c r="D78" s="408" t="s">
        <v>1241</v>
      </c>
    </row>
    <row r="81" spans="18:28" x14ac:dyDescent="0.2">
      <c r="S81" s="409" t="s">
        <v>492</v>
      </c>
      <c r="T81" s="409" t="s">
        <v>1228</v>
      </c>
      <c r="U81" s="409" t="s">
        <v>1229</v>
      </c>
      <c r="V81" s="409" t="s">
        <v>1230</v>
      </c>
      <c r="W81" s="409" t="s">
        <v>1231</v>
      </c>
      <c r="X81" s="409" t="s">
        <v>1232</v>
      </c>
      <c r="Y81" s="409" t="s">
        <v>1068</v>
      </c>
      <c r="Z81" s="409" t="s">
        <v>1233</v>
      </c>
      <c r="AA81" s="409" t="s">
        <v>1234</v>
      </c>
      <c r="AB81" s="409" t="s">
        <v>1235</v>
      </c>
    </row>
    <row r="82" spans="18:28" x14ac:dyDescent="0.2">
      <c r="R82" s="409" t="s">
        <v>1242</v>
      </c>
    </row>
    <row r="83" spans="18:28" x14ac:dyDescent="0.2">
      <c r="R83" s="409" t="s">
        <v>1243</v>
      </c>
    </row>
    <row r="84" spans="18:28" x14ac:dyDescent="0.2">
      <c r="R84" s="409" t="s">
        <v>1244</v>
      </c>
      <c r="S84" s="409">
        <v>30</v>
      </c>
    </row>
    <row r="85" spans="18:28" x14ac:dyDescent="0.2">
      <c r="R85" s="409" t="s">
        <v>1245</v>
      </c>
      <c r="S85" s="409">
        <v>440</v>
      </c>
    </row>
    <row r="91" spans="18:28" x14ac:dyDescent="0.2">
      <c r="V91" s="409" t="s">
        <v>1246</v>
      </c>
    </row>
    <row r="97" spans="16:33" x14ac:dyDescent="0.2">
      <c r="S97" s="409" t="s">
        <v>495</v>
      </c>
      <c r="T97" s="409" t="s">
        <v>491</v>
      </c>
      <c r="U97" s="409" t="s">
        <v>490</v>
      </c>
      <c r="V97" s="409" t="s">
        <v>494</v>
      </c>
      <c r="W97" s="409" t="s">
        <v>496</v>
      </c>
    </row>
    <row r="98" spans="16:33" x14ac:dyDescent="0.2">
      <c r="R98" s="409" t="s">
        <v>1242</v>
      </c>
      <c r="S98" s="409">
        <v>78</v>
      </c>
    </row>
    <row r="99" spans="16:33" x14ac:dyDescent="0.2">
      <c r="R99" s="409" t="s">
        <v>1243</v>
      </c>
      <c r="S99" s="409">
        <v>66</v>
      </c>
      <c r="T99" s="409">
        <v>11</v>
      </c>
    </row>
    <row r="100" spans="16:33" x14ac:dyDescent="0.2">
      <c r="R100" s="409" t="s">
        <v>1244</v>
      </c>
    </row>
    <row r="101" spans="16:33" x14ac:dyDescent="0.2">
      <c r="R101" s="409" t="s">
        <v>1245</v>
      </c>
    </row>
    <row r="109" spans="16:33" x14ac:dyDescent="0.2">
      <c r="P109" s="408" t="s">
        <v>1227</v>
      </c>
      <c r="AB109" s="408" t="s">
        <v>1247</v>
      </c>
    </row>
    <row r="110" spans="16:33" x14ac:dyDescent="0.2">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x14ac:dyDescent="0.2">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x14ac:dyDescent="0.2">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4:33" x14ac:dyDescent="0.2">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4:33" x14ac:dyDescent="0.2">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4:33" x14ac:dyDescent="0.2">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4:33" x14ac:dyDescent="0.2">
      <c r="P116" s="436"/>
      <c r="Q116" s="437"/>
      <c r="R116" s="437"/>
      <c r="S116" s="437"/>
      <c r="T116" s="437"/>
      <c r="U116" s="437"/>
      <c r="V116" s="437"/>
      <c r="W116" s="437"/>
      <c r="X116" s="437"/>
      <c r="Y116" s="437"/>
      <c r="Z116" s="437"/>
      <c r="AA116" s="437"/>
      <c r="AB116" s="437"/>
      <c r="AC116" s="437"/>
      <c r="AD116" s="437"/>
      <c r="AE116" s="437"/>
      <c r="AF116" s="437"/>
      <c r="AG116" s="438"/>
    </row>
    <row r="117" spans="4:33" x14ac:dyDescent="0.2">
      <c r="P117" s="440" t="s">
        <v>1273</v>
      </c>
      <c r="Q117" s="437"/>
      <c r="R117" s="437"/>
      <c r="S117" s="437"/>
      <c r="T117" s="437"/>
      <c r="U117" s="437"/>
      <c r="V117" s="437"/>
      <c r="W117" s="437"/>
      <c r="X117" s="437"/>
      <c r="Y117" s="437"/>
      <c r="Z117" s="437"/>
      <c r="AA117" s="437"/>
      <c r="AB117" s="437"/>
      <c r="AC117" s="437"/>
      <c r="AD117" s="437"/>
      <c r="AE117" s="437"/>
      <c r="AF117" s="437"/>
      <c r="AG117" s="438"/>
    </row>
    <row r="118" spans="4:33" x14ac:dyDescent="0.2">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4:33" x14ac:dyDescent="0.2">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4:33" x14ac:dyDescent="0.2">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x14ac:dyDescent="0.2">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4:33" x14ac:dyDescent="0.2">
      <c r="P122" s="440" t="s">
        <v>1278</v>
      </c>
      <c r="Q122" s="437"/>
      <c r="R122" s="437"/>
      <c r="S122" s="437"/>
      <c r="T122" s="437"/>
      <c r="U122" s="437"/>
      <c r="V122" s="437"/>
      <c r="W122" s="437"/>
      <c r="X122" s="437"/>
      <c r="Y122" s="437"/>
      <c r="Z122" s="437"/>
      <c r="AA122" s="437"/>
      <c r="AB122" s="437"/>
      <c r="AC122" s="437"/>
      <c r="AD122" s="437"/>
      <c r="AE122" s="437"/>
      <c r="AF122" s="437"/>
      <c r="AG122" s="438"/>
    </row>
    <row r="123" spans="4:33" x14ac:dyDescent="0.2">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4:33" x14ac:dyDescent="0.2">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4:33" x14ac:dyDescent="0.2">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4:33" x14ac:dyDescent="0.2">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4:33" x14ac:dyDescent="0.2">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4:33" x14ac:dyDescent="0.2">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x14ac:dyDescent="0.2">
      <c r="P129" s="436"/>
      <c r="Q129" s="437"/>
      <c r="R129" s="437"/>
      <c r="S129" s="437"/>
      <c r="T129" s="437"/>
      <c r="U129" s="437"/>
      <c r="V129" s="437"/>
      <c r="W129" s="437"/>
      <c r="X129" s="437"/>
      <c r="Y129" s="437"/>
      <c r="Z129" s="437"/>
      <c r="AA129" s="437"/>
      <c r="AB129" s="437"/>
      <c r="AC129" s="437"/>
      <c r="AD129" s="437"/>
      <c r="AE129" s="437"/>
      <c r="AF129" s="437"/>
      <c r="AG129" s="438"/>
    </row>
    <row r="130" spans="16:33" x14ac:dyDescent="0.2">
      <c r="P130" s="440" t="s">
        <v>1280</v>
      </c>
      <c r="Q130" s="437"/>
      <c r="R130" s="437"/>
      <c r="S130" s="437"/>
      <c r="T130" s="437"/>
      <c r="U130" s="437"/>
      <c r="V130" s="437"/>
      <c r="W130" s="437"/>
      <c r="X130" s="437"/>
      <c r="Y130" s="437"/>
      <c r="Z130" s="437"/>
      <c r="AA130" s="437"/>
      <c r="AB130" s="437"/>
      <c r="AC130" s="437"/>
      <c r="AD130" s="437"/>
      <c r="AE130" s="437"/>
      <c r="AF130" s="437"/>
      <c r="AG130" s="438"/>
    </row>
    <row r="131" spans="16:33" x14ac:dyDescent="0.2">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x14ac:dyDescent="0.2">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x14ac:dyDescent="0.2">
      <c r="P133" s="439" t="s">
        <v>1283</v>
      </c>
      <c r="Q133" s="437"/>
      <c r="R133" s="437"/>
      <c r="S133" s="437"/>
      <c r="T133" s="437"/>
      <c r="U133" s="437"/>
      <c r="V133" s="437"/>
      <c r="W133" s="437"/>
      <c r="X133" s="437"/>
      <c r="Y133" s="437"/>
      <c r="Z133" s="437"/>
      <c r="AA133" s="437"/>
      <c r="AB133" s="437"/>
      <c r="AC133" s="437"/>
      <c r="AD133" s="437"/>
      <c r="AE133" s="437"/>
      <c r="AF133" s="437"/>
      <c r="AG133" s="438"/>
    </row>
    <row r="134" spans="16:33" x14ac:dyDescent="0.2">
      <c r="P134" s="436" t="s">
        <v>1284</v>
      </c>
      <c r="Q134" s="437"/>
      <c r="R134" s="437"/>
      <c r="S134" s="437"/>
      <c r="T134" s="437"/>
      <c r="U134" s="437"/>
      <c r="V134" s="437"/>
      <c r="W134" s="437"/>
      <c r="X134" s="437"/>
      <c r="Y134" s="437"/>
      <c r="Z134" s="437"/>
      <c r="AA134" s="437"/>
      <c r="AB134" s="437"/>
      <c r="AC134" s="437"/>
      <c r="AD134" s="437"/>
      <c r="AE134" s="437"/>
      <c r="AF134" s="437"/>
      <c r="AG134" s="438"/>
    </row>
    <row r="135" spans="16:33" x14ac:dyDescent="0.2">
      <c r="P135" s="436"/>
      <c r="Q135" s="437"/>
      <c r="R135" s="437"/>
      <c r="S135" s="437"/>
      <c r="T135" s="437"/>
      <c r="U135" s="437"/>
      <c r="V135" s="437"/>
      <c r="W135" s="437"/>
      <c r="X135" s="437"/>
      <c r="Y135" s="437"/>
      <c r="Z135" s="437"/>
      <c r="AA135" s="437"/>
      <c r="AB135" s="437"/>
      <c r="AC135" s="437"/>
      <c r="AD135" s="437"/>
      <c r="AE135" s="437"/>
      <c r="AF135" s="437"/>
      <c r="AG135" s="438"/>
    </row>
    <row r="136" spans="16:33" x14ac:dyDescent="0.2">
      <c r="P136" s="440" t="s">
        <v>1285</v>
      </c>
      <c r="Q136" s="437"/>
      <c r="R136" s="437"/>
      <c r="S136" s="437"/>
      <c r="T136" s="437"/>
      <c r="U136" s="437"/>
      <c r="V136" s="437"/>
      <c r="W136" s="437"/>
      <c r="X136" s="437"/>
      <c r="Y136" s="437"/>
      <c r="Z136" s="437"/>
      <c r="AA136" s="437"/>
      <c r="AB136" s="437"/>
      <c r="AC136" s="437"/>
      <c r="AD136" s="437"/>
      <c r="AE136" s="437"/>
      <c r="AF136" s="437"/>
      <c r="AG136" s="438"/>
    </row>
    <row r="137" spans="16:33" x14ac:dyDescent="0.2">
      <c r="P137" s="436" t="s">
        <v>1286</v>
      </c>
      <c r="Q137" s="437"/>
      <c r="R137" s="437"/>
      <c r="S137" s="437"/>
      <c r="T137" s="437"/>
      <c r="U137" s="437"/>
      <c r="V137" s="437"/>
      <c r="W137" s="437"/>
      <c r="X137" s="437"/>
      <c r="Y137" s="437"/>
      <c r="Z137" s="437"/>
      <c r="AA137" s="437"/>
      <c r="AB137" s="437"/>
      <c r="AC137" s="437"/>
      <c r="AD137" s="437"/>
      <c r="AE137" s="437"/>
      <c r="AF137" s="437"/>
      <c r="AG137" s="438"/>
    </row>
    <row r="138" spans="16:33" x14ac:dyDescent="0.2">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DQ104"/>
  <sheetViews>
    <sheetView zoomScale="80" workbookViewId="0">
      <selection activeCell="U33" sqref="U33"/>
    </sheetView>
  </sheetViews>
  <sheetFormatPr defaultRowHeight="12.75" x14ac:dyDescent="0.2"/>
  <cols>
    <col min="20" max="20" width="13.7109375" customWidth="1"/>
    <col min="35" max="35" width="6.7109375" customWidth="1"/>
    <col min="36" max="36" width="6.85546875" customWidth="1"/>
    <col min="37" max="37" width="7.7109375" customWidth="1"/>
    <col min="38" max="38" width="9.28515625" customWidth="1"/>
    <col min="42" max="42" width="12.7109375" customWidth="1"/>
    <col min="43" max="43" width="11.85546875" customWidth="1"/>
  </cols>
  <sheetData>
    <row r="1" spans="1:121" ht="15" x14ac:dyDescent="0.25">
      <c r="C1" t="s">
        <v>1320</v>
      </c>
      <c r="D1" t="s">
        <v>1322</v>
      </c>
      <c r="E1" t="s">
        <v>1321</v>
      </c>
      <c r="F1" t="s">
        <v>1324</v>
      </c>
      <c r="G1" t="s">
        <v>1323</v>
      </c>
      <c r="H1" t="s">
        <v>1325</v>
      </c>
      <c r="I1" s="67" t="s">
        <v>1326</v>
      </c>
      <c r="J1" s="67" t="s">
        <v>1327</v>
      </c>
      <c r="K1" s="67" t="s">
        <v>1328</v>
      </c>
      <c r="L1" s="67" t="s">
        <v>1368</v>
      </c>
      <c r="M1" s="67" t="s">
        <v>1331</v>
      </c>
      <c r="N1" s="67" t="s">
        <v>1329</v>
      </c>
      <c r="O1" s="67"/>
      <c r="P1" s="67" t="s">
        <v>1330</v>
      </c>
      <c r="AQ1" s="76">
        <v>0.01</v>
      </c>
    </row>
    <row r="2" spans="1:121" ht="15" x14ac:dyDescent="0.25">
      <c r="G2" s="3"/>
      <c r="P2" s="1" t="s">
        <v>524</v>
      </c>
      <c r="AS2" s="1" t="s">
        <v>1332</v>
      </c>
    </row>
    <row r="3" spans="1:121" ht="15" x14ac:dyDescent="0.25">
      <c r="A3">
        <v>1000</v>
      </c>
      <c r="C3" t="s">
        <v>498</v>
      </c>
      <c r="P3" t="s">
        <v>501</v>
      </c>
      <c r="Q3">
        <v>18000</v>
      </c>
      <c r="R3">
        <v>1000</v>
      </c>
      <c r="S3">
        <v>42000</v>
      </c>
      <c r="T3" s="67">
        <f>Q3</f>
        <v>18000</v>
      </c>
      <c r="U3">
        <v>9000</v>
      </c>
      <c r="V3">
        <f>8000*18</f>
        <v>144000</v>
      </c>
      <c r="W3">
        <f>56000</f>
        <v>56000</v>
      </c>
      <c r="X3">
        <f>35000*18</f>
        <v>630000</v>
      </c>
      <c r="AQ3">
        <v>1</v>
      </c>
      <c r="AY3">
        <v>2</v>
      </c>
      <c r="BG3">
        <v>3</v>
      </c>
      <c r="BO3">
        <v>4</v>
      </c>
      <c r="BW3">
        <v>5</v>
      </c>
      <c r="CE3">
        <v>6</v>
      </c>
      <c r="CM3">
        <v>7</v>
      </c>
      <c r="CV3">
        <v>8</v>
      </c>
      <c r="DD3">
        <v>9</v>
      </c>
      <c r="DM3">
        <v>10</v>
      </c>
    </row>
    <row r="4" spans="1:121" ht="15" x14ac:dyDescent="0.25">
      <c r="C4" s="63" t="s">
        <v>500</v>
      </c>
      <c r="D4" s="62"/>
      <c r="E4" s="62"/>
      <c r="F4" s="62"/>
      <c r="G4" s="62"/>
      <c r="H4" s="498" t="s">
        <v>502</v>
      </c>
      <c r="I4" s="498"/>
      <c r="J4" s="498"/>
      <c r="K4" s="498"/>
      <c r="L4" s="498"/>
      <c r="M4" s="499"/>
      <c r="N4" s="499"/>
      <c r="O4" s="62"/>
      <c r="Q4" s="1" t="s">
        <v>523</v>
      </c>
      <c r="AA4" s="1" t="s">
        <v>522</v>
      </c>
      <c r="AO4" s="57" t="s">
        <v>478</v>
      </c>
      <c r="AP4" s="57"/>
      <c r="AQ4" s="57"/>
      <c r="AS4" s="3"/>
      <c r="AW4" s="57" t="s">
        <v>478</v>
      </c>
      <c r="AX4" s="57"/>
      <c r="AY4" s="57"/>
      <c r="BA4" s="3"/>
      <c r="BE4" s="57" t="s">
        <v>478</v>
      </c>
      <c r="BF4" s="57"/>
      <c r="BG4" s="57"/>
      <c r="BI4" s="3"/>
      <c r="BM4" s="57" t="s">
        <v>478</v>
      </c>
      <c r="BN4" s="57"/>
      <c r="BO4" s="57"/>
      <c r="BQ4" s="3"/>
      <c r="BU4" s="57" t="s">
        <v>478</v>
      </c>
      <c r="BV4" s="57"/>
      <c r="BW4" s="57"/>
      <c r="BY4" s="3"/>
      <c r="CC4" s="57" t="s">
        <v>478</v>
      </c>
      <c r="CD4" s="57"/>
      <c r="CE4" s="57"/>
      <c r="CG4" s="3"/>
      <c r="CK4" s="57" t="s">
        <v>478</v>
      </c>
      <c r="CL4" s="57"/>
      <c r="CM4" s="57"/>
      <c r="CO4" s="3"/>
      <c r="CT4" s="57" t="s">
        <v>478</v>
      </c>
      <c r="CU4" s="57"/>
      <c r="CV4" s="57"/>
      <c r="CX4" s="3"/>
      <c r="DB4" s="57" t="s">
        <v>478</v>
      </c>
      <c r="DC4" s="57"/>
      <c r="DD4" s="57"/>
      <c r="DF4" s="3"/>
      <c r="DK4" s="57" t="s">
        <v>478</v>
      </c>
      <c r="DL4" s="57"/>
      <c r="DM4" s="57"/>
      <c r="DO4" s="3"/>
    </row>
    <row r="5" spans="1:121" ht="30" x14ac:dyDescent="0.25">
      <c r="C5" t="s">
        <v>495</v>
      </c>
      <c r="D5" t="s">
        <v>490</v>
      </c>
      <c r="E5" t="s">
        <v>491</v>
      </c>
      <c r="F5" t="s">
        <v>496</v>
      </c>
      <c r="G5" t="s">
        <v>494</v>
      </c>
      <c r="H5" t="s">
        <v>492</v>
      </c>
      <c r="I5" s="1" t="s">
        <v>1229</v>
      </c>
      <c r="J5" s="1" t="s">
        <v>1230</v>
      </c>
      <c r="K5" s="1" t="s">
        <v>1231</v>
      </c>
      <c r="L5" s="1" t="s">
        <v>1344</v>
      </c>
      <c r="M5" t="s">
        <v>493</v>
      </c>
      <c r="N5" t="s">
        <v>497</v>
      </c>
      <c r="Q5" t="str">
        <f t="shared" ref="Q5:V5" si="0">C5</f>
        <v>Steel</v>
      </c>
      <c r="R5" t="str">
        <f t="shared" si="0"/>
        <v>Cement</v>
      </c>
      <c r="S5" t="str">
        <f t="shared" si="0"/>
        <v>Aluminium</v>
      </c>
      <c r="T5" t="str">
        <f t="shared" si="0"/>
        <v>Glass</v>
      </c>
      <c r="U5" t="str">
        <f t="shared" si="0"/>
        <v>Plastic</v>
      </c>
      <c r="V5" t="str">
        <f t="shared" si="0"/>
        <v>Copper</v>
      </c>
      <c r="W5" t="str">
        <f>M5</f>
        <v>Zinc</v>
      </c>
      <c r="X5" t="str">
        <f>N5</f>
        <v>SiliconWafer</v>
      </c>
      <c r="AA5" t="str">
        <f t="shared" ref="AA5:AH5" si="1">Q5</f>
        <v>Steel</v>
      </c>
      <c r="AB5" t="str">
        <f t="shared" si="1"/>
        <v>Cement</v>
      </c>
      <c r="AC5" t="str">
        <f t="shared" si="1"/>
        <v>Aluminium</v>
      </c>
      <c r="AD5" t="str">
        <f t="shared" si="1"/>
        <v>Glass</v>
      </c>
      <c r="AE5" t="str">
        <f t="shared" si="1"/>
        <v>Plastic</v>
      </c>
      <c r="AF5" t="str">
        <f t="shared" si="1"/>
        <v>Copper</v>
      </c>
      <c r="AG5" t="str">
        <f t="shared" si="1"/>
        <v>Zinc</v>
      </c>
      <c r="AH5" t="str">
        <f t="shared" si="1"/>
        <v>SiliconWafer</v>
      </c>
      <c r="AI5" s="65" t="s">
        <v>516</v>
      </c>
      <c r="AJ5" s="65" t="s">
        <v>517</v>
      </c>
      <c r="AK5" s="65" t="s">
        <v>518</v>
      </c>
      <c r="AO5" s="59" t="s">
        <v>479</v>
      </c>
      <c r="AP5" s="59" t="s">
        <v>1</v>
      </c>
      <c r="AQ5" s="59" t="s">
        <v>482</v>
      </c>
      <c r="AR5">
        <v>0</v>
      </c>
      <c r="AS5" s="59">
        <v>2017</v>
      </c>
      <c r="AT5">
        <v>2030</v>
      </c>
      <c r="AU5" s="59">
        <v>2050</v>
      </c>
      <c r="AW5" s="59" t="s">
        <v>479</v>
      </c>
      <c r="AX5" s="59" t="s">
        <v>1</v>
      </c>
      <c r="AY5" s="59" t="s">
        <v>482</v>
      </c>
      <c r="AZ5">
        <v>0</v>
      </c>
      <c r="BA5" s="59">
        <v>2017</v>
      </c>
      <c r="BB5">
        <v>2030</v>
      </c>
      <c r="BC5" s="59">
        <v>2050</v>
      </c>
      <c r="BE5" s="59" t="s">
        <v>479</v>
      </c>
      <c r="BF5" s="59" t="s">
        <v>1</v>
      </c>
      <c r="BG5" s="59" t="s">
        <v>482</v>
      </c>
      <c r="BH5">
        <v>0</v>
      </c>
      <c r="BI5" s="59">
        <v>2017</v>
      </c>
      <c r="BJ5">
        <v>2030</v>
      </c>
      <c r="BK5" s="59">
        <v>2050</v>
      </c>
      <c r="BM5" s="59" t="s">
        <v>479</v>
      </c>
      <c r="BN5" s="59" t="s">
        <v>1</v>
      </c>
      <c r="BO5" s="59" t="s">
        <v>482</v>
      </c>
      <c r="BP5">
        <v>0</v>
      </c>
      <c r="BQ5" s="59">
        <v>2017</v>
      </c>
      <c r="BR5">
        <v>2030</v>
      </c>
      <c r="BS5" s="59">
        <v>2050</v>
      </c>
      <c r="BU5" s="59" t="s">
        <v>479</v>
      </c>
      <c r="BV5" s="59" t="s">
        <v>1</v>
      </c>
      <c r="BW5" s="59" t="s">
        <v>482</v>
      </c>
      <c r="BX5">
        <v>0</v>
      </c>
      <c r="BY5" s="59">
        <v>2017</v>
      </c>
      <c r="BZ5">
        <v>2030</v>
      </c>
      <c r="CA5" s="59">
        <v>2050</v>
      </c>
      <c r="CC5" s="59" t="s">
        <v>479</v>
      </c>
      <c r="CD5" s="59" t="s">
        <v>1</v>
      </c>
      <c r="CE5" s="59" t="s">
        <v>482</v>
      </c>
      <c r="CF5">
        <v>0</v>
      </c>
      <c r="CG5" s="59">
        <v>2017</v>
      </c>
      <c r="CH5">
        <v>2030</v>
      </c>
      <c r="CI5" s="59">
        <v>2050</v>
      </c>
      <c r="CK5" s="59" t="s">
        <v>479</v>
      </c>
      <c r="CL5" s="59" t="s">
        <v>1</v>
      </c>
      <c r="CM5" s="59" t="s">
        <v>482</v>
      </c>
      <c r="CN5">
        <v>0</v>
      </c>
      <c r="CO5" s="59">
        <v>2017</v>
      </c>
      <c r="CP5">
        <v>2030</v>
      </c>
      <c r="CQ5" s="59">
        <v>2050</v>
      </c>
      <c r="CT5" s="59" t="s">
        <v>479</v>
      </c>
      <c r="CU5" s="59" t="s">
        <v>1</v>
      </c>
      <c r="CV5" s="59" t="s">
        <v>482</v>
      </c>
      <c r="CW5">
        <v>0</v>
      </c>
      <c r="CX5" s="59">
        <v>2017</v>
      </c>
      <c r="CY5">
        <v>2030</v>
      </c>
      <c r="CZ5" s="59">
        <v>2050</v>
      </c>
      <c r="DB5" s="59" t="s">
        <v>479</v>
      </c>
      <c r="DC5" s="59" t="s">
        <v>1</v>
      </c>
      <c r="DD5" s="59" t="s">
        <v>482</v>
      </c>
      <c r="DE5">
        <v>0</v>
      </c>
      <c r="DF5" s="59">
        <v>2017</v>
      </c>
      <c r="DG5">
        <v>2030</v>
      </c>
      <c r="DH5" s="59">
        <v>2050</v>
      </c>
      <c r="DK5" s="59" t="s">
        <v>479</v>
      </c>
      <c r="DL5" s="59" t="s">
        <v>1</v>
      </c>
      <c r="DM5" s="59" t="s">
        <v>482</v>
      </c>
      <c r="DN5">
        <v>0</v>
      </c>
      <c r="DO5" s="59">
        <v>2017</v>
      </c>
      <c r="DP5">
        <v>2030</v>
      </c>
      <c r="DQ5" s="59">
        <v>2050</v>
      </c>
    </row>
    <row r="6" spans="1:121" ht="15" x14ac:dyDescent="0.25">
      <c r="A6" t="s">
        <v>58</v>
      </c>
      <c r="C6" s="67">
        <f>C17</f>
        <v>61</v>
      </c>
      <c r="D6" s="67">
        <f t="shared" ref="D6:H6" si="2">D17</f>
        <v>74.5</v>
      </c>
      <c r="E6" s="67">
        <f t="shared" si="2"/>
        <v>0</v>
      </c>
      <c r="F6" s="67">
        <f t="shared" si="2"/>
        <v>0</v>
      </c>
      <c r="G6" s="67">
        <f t="shared" si="2"/>
        <v>0</v>
      </c>
      <c r="H6" s="67">
        <f t="shared" si="2"/>
        <v>1.5</v>
      </c>
      <c r="I6" s="67"/>
      <c r="J6" s="67"/>
      <c r="K6" s="67"/>
      <c r="L6" s="67"/>
      <c r="AO6" s="3" t="str">
        <f>$A6</f>
        <v>EPumpStorage</v>
      </c>
      <c r="AP6" s="58" t="s">
        <v>481</v>
      </c>
      <c r="AQ6" s="459" t="str" cm="1">
        <f t="array" ref="AQ6">INDEX($C$1:$N$1,1,AQ$3)</f>
        <v>MATSTL</v>
      </c>
      <c r="AR6" s="3">
        <v>3</v>
      </c>
      <c r="AS6" s="3" cm="1">
        <f t="array" ref="AS6">INDEX($C6:$N6,1,AQ$3)</f>
        <v>61</v>
      </c>
      <c r="AW6" s="3" t="str">
        <f>$A6</f>
        <v>EPumpStorage</v>
      </c>
      <c r="AX6" s="58" t="s">
        <v>481</v>
      </c>
      <c r="AY6" s="459" t="str" cm="1">
        <f t="array" ref="AY6">INDEX($C$1:$N$1,1,AY$3)</f>
        <v>MATCEM</v>
      </c>
      <c r="AZ6" s="3">
        <v>3</v>
      </c>
      <c r="BA6" s="3" cm="1">
        <f t="array" ref="BA6">INDEX($C6:$N6,1,AY$3)</f>
        <v>74.5</v>
      </c>
      <c r="BE6" s="3" t="str">
        <f>$A6</f>
        <v>EPumpStorage</v>
      </c>
      <c r="BF6" s="58" t="s">
        <v>481</v>
      </c>
      <c r="BG6" s="459" t="str" cm="1">
        <f t="array" ref="BG6">INDEX($C$1:$N$1,1,BG$3)</f>
        <v>MATALU</v>
      </c>
      <c r="BH6" s="3">
        <v>3</v>
      </c>
      <c r="BI6" s="3" cm="1">
        <f t="array" ref="BI6">INDEX($C6:$N6,1,BG$3)</f>
        <v>0</v>
      </c>
      <c r="BM6" s="3" t="str">
        <f>$A6</f>
        <v>EPumpStorage</v>
      </c>
      <c r="BN6" s="58" t="s">
        <v>481</v>
      </c>
      <c r="BO6" s="459" t="str" cm="1">
        <f t="array" ref="BO6">INDEX($C$1:$N$1,1,BO$3)</f>
        <v>MATGLS</v>
      </c>
      <c r="BP6" s="3">
        <v>3</v>
      </c>
      <c r="BQ6" s="3" cm="1">
        <f t="array" ref="BQ6">INDEX($C6:$N6,1,BO$3)</f>
        <v>0</v>
      </c>
      <c r="BU6" s="3" t="str">
        <f>$A6</f>
        <v>EPumpStorage</v>
      </c>
      <c r="BV6" s="58" t="s">
        <v>481</v>
      </c>
      <c r="BW6" s="459" t="str" cm="1">
        <f t="array" ref="BW6">INDEX($C$1:$N$1,1,BW$3)</f>
        <v>MATPLT</v>
      </c>
      <c r="BX6" s="3">
        <v>3</v>
      </c>
      <c r="BY6" s="3" cm="1">
        <f t="array" ref="BY6">INDEX($C6:$N6,1,BW$3)</f>
        <v>0</v>
      </c>
      <c r="CC6" s="3" t="str">
        <f>$A6</f>
        <v>EPumpStorage</v>
      </c>
      <c r="CD6" s="58" t="s">
        <v>481</v>
      </c>
      <c r="CE6" s="459" t="str" cm="1">
        <f t="array" ref="CE6">INDEX($C$1:$N$1,1,CE$3)</f>
        <v>MATCOP</v>
      </c>
      <c r="CF6" s="3">
        <v>3</v>
      </c>
      <c r="CG6" s="3" cm="1">
        <f t="array" ref="CG6">INDEX($C6:$N6,1,CE$3)</f>
        <v>1.5</v>
      </c>
      <c r="CK6" s="3" t="str">
        <f>$A6</f>
        <v>EPumpStorage</v>
      </c>
      <c r="CL6" s="58" t="s">
        <v>481</v>
      </c>
      <c r="CM6" s="459" t="str" cm="1">
        <f t="array" ref="CM6">INDEX($C$1:$N$1,1,CM$3)</f>
        <v>MATNIC</v>
      </c>
      <c r="CN6" s="3">
        <v>3</v>
      </c>
      <c r="CO6" s="3"/>
      <c r="CT6" s="3" t="str">
        <f>$A6</f>
        <v>EPumpStorage</v>
      </c>
      <c r="CU6" s="58" t="s">
        <v>481</v>
      </c>
      <c r="CV6" s="459" t="str" cm="1">
        <f t="array" ref="CV6">INDEX($C$1:$N$1,1,CV$3)</f>
        <v>MATMNG</v>
      </c>
      <c r="CW6" s="3">
        <v>3</v>
      </c>
      <c r="CX6" s="3"/>
      <c r="DB6" s="3" t="str">
        <f>$A6</f>
        <v>EPumpStorage</v>
      </c>
      <c r="DC6" s="58" t="s">
        <v>481</v>
      </c>
      <c r="DD6" s="459" t="str" cm="1">
        <f t="array" ref="DD6">INDEX($C$1:$N$1,1,DD$3)</f>
        <v>MATCOB</v>
      </c>
      <c r="DE6" s="3">
        <v>3</v>
      </c>
      <c r="DF6" s="3"/>
      <c r="DK6" s="3" t="str">
        <f>$A6</f>
        <v>EPumpStorage</v>
      </c>
      <c r="DL6" s="58" t="s">
        <v>481</v>
      </c>
      <c r="DM6" s="459" t="str" cm="1">
        <f t="array" ref="DM6">INDEX($C$1:$N$1,1,DM$3)</f>
        <v>MATLIT</v>
      </c>
      <c r="DN6" s="3">
        <v>3</v>
      </c>
      <c r="DO6" s="3"/>
    </row>
    <row r="7" spans="1:121" ht="15" x14ac:dyDescent="0.25">
      <c r="A7" t="s">
        <v>57</v>
      </c>
      <c r="AO7" s="3" t="str">
        <f t="shared" ref="AO7:AO24" si="3">$A7</f>
        <v>EBiomass</v>
      </c>
      <c r="AP7" s="58" t="s">
        <v>481</v>
      </c>
      <c r="AQ7" s="459" t="str" cm="1">
        <f t="array" ref="AQ7">INDEX($C$1:$N$1,1,AQ$3)</f>
        <v>MATSTL</v>
      </c>
      <c r="AR7" s="3">
        <v>3</v>
      </c>
      <c r="AS7" s="3" cm="1">
        <f t="array" ref="AS7">INDEX($C7:$N7,1,AQ$3)</f>
        <v>0</v>
      </c>
      <c r="AW7" s="3" t="str">
        <f t="shared" ref="AW7:AW24" si="4">$A7</f>
        <v>EBiomass</v>
      </c>
      <c r="AX7" s="58" t="s">
        <v>481</v>
      </c>
      <c r="AY7" s="459" t="str" cm="1">
        <f t="array" ref="AY7">INDEX($C$1:$N$1,1,AY$3)</f>
        <v>MATCEM</v>
      </c>
      <c r="AZ7" s="3">
        <v>3</v>
      </c>
      <c r="BA7" s="3" cm="1">
        <f t="array" ref="BA7">INDEX($C7:$N7,1,AY$3)</f>
        <v>0</v>
      </c>
      <c r="BE7" s="3" t="str">
        <f t="shared" ref="BE7:BE24" si="5">$A7</f>
        <v>EBiomass</v>
      </c>
      <c r="BF7" s="58" t="s">
        <v>481</v>
      </c>
      <c r="BG7" s="459" t="str" cm="1">
        <f t="array" ref="BG7">INDEX($C$1:$N$1,1,BG$3)</f>
        <v>MATALU</v>
      </c>
      <c r="BH7" s="3">
        <v>3</v>
      </c>
      <c r="BI7" s="3" cm="1">
        <f t="array" ref="BI7">INDEX($C7:$N7,1,BG$3)</f>
        <v>0</v>
      </c>
      <c r="BM7" s="3" t="str">
        <f t="shared" ref="BM7:BM24" si="6">$A7</f>
        <v>EBiomass</v>
      </c>
      <c r="BN7" s="58" t="s">
        <v>481</v>
      </c>
      <c r="BO7" s="459" t="str" cm="1">
        <f t="array" ref="BO7">INDEX($C$1:$N$1,1,BO$3)</f>
        <v>MATGLS</v>
      </c>
      <c r="BP7" s="3">
        <v>3</v>
      </c>
      <c r="BQ7" s="3" cm="1">
        <f t="array" ref="BQ7">INDEX($C7:$N7,1,BO$3)</f>
        <v>0</v>
      </c>
      <c r="BU7" s="3" t="str">
        <f t="shared" ref="BU7:BU24" si="7">$A7</f>
        <v>EBiomass</v>
      </c>
      <c r="BV7" s="58" t="s">
        <v>481</v>
      </c>
      <c r="BW7" s="459" t="str" cm="1">
        <f t="array" ref="BW7">INDEX($C$1:$N$1,1,BW$3)</f>
        <v>MATPLT</v>
      </c>
      <c r="BX7" s="3">
        <v>3</v>
      </c>
      <c r="BY7" s="3" cm="1">
        <f t="array" ref="BY7">INDEX($C7:$N7,1,BW$3)</f>
        <v>0</v>
      </c>
      <c r="CC7" s="3" t="str">
        <f t="shared" ref="CC7:CC24" si="8">$A7</f>
        <v>EBiomass</v>
      </c>
      <c r="CD7" s="58" t="s">
        <v>481</v>
      </c>
      <c r="CE7" s="459" t="str" cm="1">
        <f t="array" ref="CE7">INDEX($C$1:$N$1,1,CE$3)</f>
        <v>MATCOP</v>
      </c>
      <c r="CF7" s="3">
        <v>3</v>
      </c>
      <c r="CG7" s="3" cm="1">
        <f t="array" ref="CG7">INDEX($C7:$N7,1,CE$3)</f>
        <v>0</v>
      </c>
      <c r="CK7" s="3" t="str">
        <f t="shared" ref="CK7:CK24" si="9">$A7</f>
        <v>EBiomass</v>
      </c>
      <c r="CL7" s="58" t="s">
        <v>481</v>
      </c>
      <c r="CM7" s="459" t="str" cm="1">
        <f t="array" ref="CM7">INDEX($C$1:$N$1,1,CM$3)</f>
        <v>MATNIC</v>
      </c>
      <c r="CN7" s="3">
        <v>3</v>
      </c>
      <c r="CO7" s="3"/>
      <c r="CT7" s="3" t="str">
        <f t="shared" ref="CT7:CT24" si="10">$A7</f>
        <v>EBiomass</v>
      </c>
      <c r="CU7" s="58" t="s">
        <v>481</v>
      </c>
      <c r="CV7" s="459" t="str" cm="1">
        <f t="array" ref="CV7">INDEX($C$1:$N$1,1,CV$3)</f>
        <v>MATMNG</v>
      </c>
      <c r="CW7" s="3">
        <v>3</v>
      </c>
      <c r="CX7" s="3"/>
      <c r="DB7" s="3" t="str">
        <f t="shared" ref="DB7:DB24" si="11">$A7</f>
        <v>EBiomass</v>
      </c>
      <c r="DC7" s="58" t="s">
        <v>481</v>
      </c>
      <c r="DD7" s="459" t="str" cm="1">
        <f t="array" ref="DD7">INDEX($C$1:$N$1,1,DD$3)</f>
        <v>MATCOB</v>
      </c>
      <c r="DE7" s="3">
        <v>3</v>
      </c>
      <c r="DF7" s="3"/>
      <c r="DK7" s="3" t="str">
        <f t="shared" ref="DK7:DK24" si="12">$A7</f>
        <v>EBiomass</v>
      </c>
      <c r="DL7" s="58" t="s">
        <v>481</v>
      </c>
      <c r="DM7" s="459" t="str" cm="1">
        <f t="array" ref="DM7">INDEX($C$1:$N$1,1,DM$3)</f>
        <v>MATLIT</v>
      </c>
      <c r="DN7" s="3">
        <v>3</v>
      </c>
      <c r="DO7" s="3"/>
    </row>
    <row r="8" spans="1:121" ht="15" x14ac:dyDescent="0.25">
      <c r="A8" t="s">
        <v>55</v>
      </c>
      <c r="AO8" s="3" t="str">
        <f t="shared" si="3"/>
        <v>EHydro</v>
      </c>
      <c r="AP8" s="58" t="s">
        <v>481</v>
      </c>
      <c r="AQ8" s="459" t="str" cm="1">
        <f t="array" ref="AQ8">INDEX($C$1:$N$1,1,AQ$3)</f>
        <v>MATSTL</v>
      </c>
      <c r="AR8" s="3">
        <v>3</v>
      </c>
      <c r="AS8" s="3" cm="1">
        <f t="array" ref="AS8">INDEX($C8:$N8,1,AQ$3)</f>
        <v>0</v>
      </c>
      <c r="AW8" s="3" t="str">
        <f t="shared" si="4"/>
        <v>EHydro</v>
      </c>
      <c r="AX8" s="58" t="s">
        <v>481</v>
      </c>
      <c r="AY8" s="459" t="str" cm="1">
        <f t="array" ref="AY8">INDEX($C$1:$N$1,1,AY$3)</f>
        <v>MATCEM</v>
      </c>
      <c r="AZ8" s="3">
        <v>3</v>
      </c>
      <c r="BA8" s="3" cm="1">
        <f t="array" ref="BA8">INDEX($C8:$N8,1,AY$3)</f>
        <v>0</v>
      </c>
      <c r="BE8" s="3" t="str">
        <f t="shared" si="5"/>
        <v>EHydro</v>
      </c>
      <c r="BF8" s="58" t="s">
        <v>481</v>
      </c>
      <c r="BG8" s="459" t="str" cm="1">
        <f t="array" ref="BG8">INDEX($C$1:$N$1,1,BG$3)</f>
        <v>MATALU</v>
      </c>
      <c r="BH8" s="3">
        <v>3</v>
      </c>
      <c r="BI8" s="3" cm="1">
        <f t="array" ref="BI8">INDEX($C8:$N8,1,BG$3)</f>
        <v>0</v>
      </c>
      <c r="BM8" s="3" t="str">
        <f t="shared" si="6"/>
        <v>EHydro</v>
      </c>
      <c r="BN8" s="58" t="s">
        <v>481</v>
      </c>
      <c r="BO8" s="459" t="str" cm="1">
        <f t="array" ref="BO8">INDEX($C$1:$N$1,1,BO$3)</f>
        <v>MATGLS</v>
      </c>
      <c r="BP8" s="3">
        <v>3</v>
      </c>
      <c r="BQ8" s="3" cm="1">
        <f t="array" ref="BQ8">INDEX($C8:$N8,1,BO$3)</f>
        <v>0</v>
      </c>
      <c r="BU8" s="3" t="str">
        <f t="shared" si="7"/>
        <v>EHydro</v>
      </c>
      <c r="BV8" s="58" t="s">
        <v>481</v>
      </c>
      <c r="BW8" s="459" t="str" cm="1">
        <f t="array" ref="BW8">INDEX($C$1:$N$1,1,BW$3)</f>
        <v>MATPLT</v>
      </c>
      <c r="BX8" s="3">
        <v>3</v>
      </c>
      <c r="BY8" s="3" cm="1">
        <f t="array" ref="BY8">INDEX($C8:$N8,1,BW$3)</f>
        <v>0</v>
      </c>
      <c r="CC8" s="3" t="str">
        <f t="shared" si="8"/>
        <v>EHydro</v>
      </c>
      <c r="CD8" s="58" t="s">
        <v>481</v>
      </c>
      <c r="CE8" s="459" t="str" cm="1">
        <f t="array" ref="CE8">INDEX($C$1:$N$1,1,CE$3)</f>
        <v>MATCOP</v>
      </c>
      <c r="CF8" s="3">
        <v>3</v>
      </c>
      <c r="CG8" s="3" cm="1">
        <f t="array" ref="CG8">INDEX($C8:$N8,1,CE$3)</f>
        <v>0</v>
      </c>
      <c r="CK8" s="3" t="str">
        <f t="shared" si="9"/>
        <v>EHydro</v>
      </c>
      <c r="CL8" s="58" t="s">
        <v>481</v>
      </c>
      <c r="CM8" s="459" t="str" cm="1">
        <f t="array" ref="CM8">INDEX($C$1:$N$1,1,CM$3)</f>
        <v>MATNIC</v>
      </c>
      <c r="CN8" s="3">
        <v>3</v>
      </c>
      <c r="CO8" s="3"/>
      <c r="CT8" s="3" t="str">
        <f t="shared" si="10"/>
        <v>EHydro</v>
      </c>
      <c r="CU8" s="58" t="s">
        <v>481</v>
      </c>
      <c r="CV8" s="459" t="str" cm="1">
        <f t="array" ref="CV8">INDEX($C$1:$N$1,1,CV$3)</f>
        <v>MATMNG</v>
      </c>
      <c r="CW8" s="3">
        <v>3</v>
      </c>
      <c r="CX8" s="3"/>
      <c r="DB8" s="3" t="str">
        <f t="shared" si="11"/>
        <v>EHydro</v>
      </c>
      <c r="DC8" s="58" t="s">
        <v>481</v>
      </c>
      <c r="DD8" s="459" t="str" cm="1">
        <f t="array" ref="DD8">INDEX($C$1:$N$1,1,DD$3)</f>
        <v>MATCOB</v>
      </c>
      <c r="DE8" s="3">
        <v>3</v>
      </c>
      <c r="DF8" s="3"/>
      <c r="DK8" s="3" t="str">
        <f t="shared" si="12"/>
        <v>EHydro</v>
      </c>
      <c r="DL8" s="58" t="s">
        <v>481</v>
      </c>
      <c r="DM8" s="459" t="str" cm="1">
        <f t="array" ref="DM8">INDEX($C$1:$N$1,1,DM$3)</f>
        <v>MATLIT</v>
      </c>
      <c r="DN8" s="3">
        <v>3</v>
      </c>
      <c r="DO8" s="3"/>
    </row>
    <row r="9" spans="1:121" ht="15" x14ac:dyDescent="0.25">
      <c r="A9" t="s">
        <v>56</v>
      </c>
      <c r="AO9" s="3" t="str">
        <f t="shared" si="3"/>
        <v>EImports</v>
      </c>
      <c r="AP9" s="58" t="s">
        <v>481</v>
      </c>
      <c r="AQ9" s="459" t="str" cm="1">
        <f t="array" ref="AQ9">INDEX($C$1:$N$1,1,AQ$3)</f>
        <v>MATSTL</v>
      </c>
      <c r="AR9" s="3">
        <v>3</v>
      </c>
      <c r="AS9" s="3" cm="1">
        <f t="array" ref="AS9">INDEX($C9:$N9,1,AQ$3)</f>
        <v>0</v>
      </c>
      <c r="AW9" s="3" t="str">
        <f t="shared" si="4"/>
        <v>EImports</v>
      </c>
      <c r="AX9" s="58" t="s">
        <v>481</v>
      </c>
      <c r="AY9" s="459" t="str" cm="1">
        <f t="array" ref="AY9">INDEX($C$1:$N$1,1,AY$3)</f>
        <v>MATCEM</v>
      </c>
      <c r="AZ9" s="3">
        <v>3</v>
      </c>
      <c r="BA9" s="3" cm="1">
        <f t="array" ref="BA9">INDEX($C9:$N9,1,AY$3)</f>
        <v>0</v>
      </c>
      <c r="BE9" s="3" t="str">
        <f t="shared" si="5"/>
        <v>EImports</v>
      </c>
      <c r="BF9" s="58" t="s">
        <v>481</v>
      </c>
      <c r="BG9" s="459" t="str" cm="1">
        <f t="array" ref="BG9">INDEX($C$1:$N$1,1,BG$3)</f>
        <v>MATALU</v>
      </c>
      <c r="BH9" s="3">
        <v>3</v>
      </c>
      <c r="BI9" s="3" cm="1">
        <f t="array" ref="BI9">INDEX($C9:$N9,1,BG$3)</f>
        <v>0</v>
      </c>
      <c r="BM9" s="3" t="str">
        <f t="shared" si="6"/>
        <v>EImports</v>
      </c>
      <c r="BN9" s="58" t="s">
        <v>481</v>
      </c>
      <c r="BO9" s="459" t="str" cm="1">
        <f t="array" ref="BO9">INDEX($C$1:$N$1,1,BO$3)</f>
        <v>MATGLS</v>
      </c>
      <c r="BP9" s="3">
        <v>3</v>
      </c>
      <c r="BQ9" s="3" cm="1">
        <f t="array" ref="BQ9">INDEX($C9:$N9,1,BO$3)</f>
        <v>0</v>
      </c>
      <c r="BU9" s="3" t="str">
        <f t="shared" si="7"/>
        <v>EImports</v>
      </c>
      <c r="BV9" s="58" t="s">
        <v>481</v>
      </c>
      <c r="BW9" s="459" t="str" cm="1">
        <f t="array" ref="BW9">INDEX($C$1:$N$1,1,BW$3)</f>
        <v>MATPLT</v>
      </c>
      <c r="BX9" s="3">
        <v>3</v>
      </c>
      <c r="BY9" s="3" cm="1">
        <f t="array" ref="BY9">INDEX($C9:$N9,1,BW$3)</f>
        <v>0</v>
      </c>
      <c r="CC9" s="3" t="str">
        <f t="shared" si="8"/>
        <v>EImports</v>
      </c>
      <c r="CD9" s="58" t="s">
        <v>481</v>
      </c>
      <c r="CE9" s="459" t="str" cm="1">
        <f t="array" ref="CE9">INDEX($C$1:$N$1,1,CE$3)</f>
        <v>MATCOP</v>
      </c>
      <c r="CF9" s="3">
        <v>3</v>
      </c>
      <c r="CG9" s="3" cm="1">
        <f t="array" ref="CG9">INDEX($C9:$N9,1,CE$3)</f>
        <v>0</v>
      </c>
      <c r="CK9" s="3" t="str">
        <f t="shared" si="9"/>
        <v>EImports</v>
      </c>
      <c r="CL9" s="58" t="s">
        <v>481</v>
      </c>
      <c r="CM9" s="459" t="str" cm="1">
        <f t="array" ref="CM9">INDEX($C$1:$N$1,1,CM$3)</f>
        <v>MATNIC</v>
      </c>
      <c r="CN9" s="3">
        <v>3</v>
      </c>
      <c r="CO9" s="3"/>
      <c r="CT9" s="3" t="str">
        <f t="shared" si="10"/>
        <v>EImports</v>
      </c>
      <c r="CU9" s="58" t="s">
        <v>481</v>
      </c>
      <c r="CV9" s="459" t="str" cm="1">
        <f t="array" ref="CV9">INDEX($C$1:$N$1,1,CV$3)</f>
        <v>MATMNG</v>
      </c>
      <c r="CW9" s="3">
        <v>3</v>
      </c>
      <c r="CX9" s="3"/>
      <c r="DB9" s="3" t="str">
        <f t="shared" si="11"/>
        <v>EImports</v>
      </c>
      <c r="DC9" s="58" t="s">
        <v>481</v>
      </c>
      <c r="DD9" s="459" t="str" cm="1">
        <f t="array" ref="DD9">INDEX($C$1:$N$1,1,DD$3)</f>
        <v>MATCOB</v>
      </c>
      <c r="DE9" s="3">
        <v>3</v>
      </c>
      <c r="DF9" s="3"/>
      <c r="DK9" s="3" t="str">
        <f t="shared" si="12"/>
        <v>EImports</v>
      </c>
      <c r="DL9" s="58" t="s">
        <v>481</v>
      </c>
      <c r="DM9" s="459" t="str" cm="1">
        <f t="array" ref="DM9">INDEX($C$1:$N$1,1,DM$3)</f>
        <v>MATLIT</v>
      </c>
      <c r="DN9" s="3">
        <v>3</v>
      </c>
      <c r="DO9" s="3"/>
    </row>
    <row r="10" spans="1:121" ht="15" x14ac:dyDescent="0.25">
      <c r="A10" t="s">
        <v>54</v>
      </c>
      <c r="C10">
        <f>68+3.7</f>
        <v>71.7</v>
      </c>
      <c r="D10">
        <v>10.199999999999999</v>
      </c>
      <c r="E10">
        <v>7.5</v>
      </c>
      <c r="F10">
        <v>46.4</v>
      </c>
      <c r="G10">
        <v>8.6</v>
      </c>
      <c r="H10">
        <v>4.5999999999999996</v>
      </c>
      <c r="M10">
        <v>3.4</v>
      </c>
      <c r="N10" s="68">
        <v>3.8</v>
      </c>
      <c r="O10" s="68"/>
      <c r="Q10">
        <f t="shared" ref="Q10:V13" si="13">Q$3*C10/1000</f>
        <v>1290.5999999999999</v>
      </c>
      <c r="R10">
        <f t="shared" si="13"/>
        <v>10.199999999999999</v>
      </c>
      <c r="S10">
        <f t="shared" si="13"/>
        <v>315</v>
      </c>
      <c r="T10">
        <f t="shared" si="13"/>
        <v>835.2</v>
      </c>
      <c r="U10">
        <f t="shared" si="13"/>
        <v>77.400000000000006</v>
      </c>
      <c r="V10">
        <f t="shared" si="13"/>
        <v>662.4</v>
      </c>
      <c r="W10">
        <f t="shared" ref="W10:X13" si="14">W$3*M10/1000</f>
        <v>190.4</v>
      </c>
      <c r="X10">
        <f t="shared" si="14"/>
        <v>2394</v>
      </c>
      <c r="AA10" s="64">
        <f t="shared" ref="AA10:AH11" si="15">Q10/$AI10</f>
        <v>0.22347278016345751</v>
      </c>
      <c r="AB10" s="64">
        <f t="shared" si="15"/>
        <v>1.7661726000831137E-3</v>
      </c>
      <c r="AC10" s="64">
        <f t="shared" si="15"/>
        <v>5.4543565590802041E-2</v>
      </c>
      <c r="AD10" s="64">
        <f t="shared" si="15"/>
        <v>0.14461836819504084</v>
      </c>
      <c r="AE10" s="64">
        <f t="shared" si="15"/>
        <v>1.3402133259454217E-2</v>
      </c>
      <c r="AF10" s="64">
        <f t="shared" si="15"/>
        <v>0.11469732649951515</v>
      </c>
      <c r="AG10" s="64">
        <f t="shared" si="15"/>
        <v>3.296855520155146E-2</v>
      </c>
      <c r="AH10" s="64">
        <f t="shared" si="15"/>
        <v>0.41453109849009551</v>
      </c>
      <c r="AI10">
        <f>SUM(Q10:X10)</f>
        <v>5775.2000000000007</v>
      </c>
      <c r="AJ10">
        <v>14722</v>
      </c>
      <c r="AK10">
        <f>AJ10-AI10</f>
        <v>8946.7999999999993</v>
      </c>
      <c r="AO10" s="3" t="str">
        <f t="shared" si="3"/>
        <v>EPV_Grid</v>
      </c>
      <c r="AP10" s="58" t="s">
        <v>481</v>
      </c>
      <c r="AQ10" s="459" t="str" cm="1">
        <f t="array" ref="AQ10">INDEX($C$1:$N$1,1,AQ$3)</f>
        <v>MATSTL</v>
      </c>
      <c r="AR10" s="3">
        <v>3</v>
      </c>
      <c r="AS10" s="3" cm="1">
        <f t="array" ref="AS10">INDEX($C10:$N10,1,AQ$3)</f>
        <v>71.7</v>
      </c>
      <c r="AT10" s="457">
        <f>AS10*(1/(1+$AQ$1))^(AT$5-AS$5)</f>
        <v>63.000108367833178</v>
      </c>
      <c r="AU10" s="457">
        <f>AT10*(1/(1+$AQ$1))^(AU$5-AT$5)</f>
        <v>51.631390443508039</v>
      </c>
      <c r="AW10" s="3" t="str">
        <f t="shared" si="4"/>
        <v>EPV_Grid</v>
      </c>
      <c r="AX10" s="58" t="s">
        <v>481</v>
      </c>
      <c r="AY10" s="459" t="str" cm="1">
        <f t="array" ref="AY10">INDEX($C$1:$N$1,1,AY$3)</f>
        <v>MATCEM</v>
      </c>
      <c r="AZ10" s="3">
        <v>3</v>
      </c>
      <c r="BA10" s="3" cm="1">
        <f t="array" ref="BA10">INDEX($C10:$N10,1,AY$3)</f>
        <v>10.199999999999999</v>
      </c>
      <c r="BB10" s="457">
        <f>BA10*(1/(1+$AQ$1))^(BB$5-BA$5)</f>
        <v>8.9623585125787777</v>
      </c>
      <c r="BC10" s="457">
        <f>BB10*(1/(1+$AQ$1))^(BC$5-BB$5)</f>
        <v>7.345051360164323</v>
      </c>
      <c r="BE10" s="3" t="str">
        <f t="shared" si="5"/>
        <v>EPV_Grid</v>
      </c>
      <c r="BF10" s="58" t="s">
        <v>481</v>
      </c>
      <c r="BG10" s="459" t="str" cm="1">
        <f t="array" ref="BG10">INDEX($C$1:$N$1,1,BG$3)</f>
        <v>MATALU</v>
      </c>
      <c r="BH10" s="3">
        <v>3</v>
      </c>
      <c r="BI10" s="3" cm="1">
        <f t="array" ref="BI10">INDEX($C10:$N10,1,BG$3)</f>
        <v>7.5</v>
      </c>
      <c r="BJ10" s="457">
        <f>BI10*(1/(1+$AQ$1))^(BJ$5-BI$5)</f>
        <v>6.5899694945432188</v>
      </c>
      <c r="BK10" s="457">
        <f>BJ10*(1/(1+$AQ$1))^(BK$5-BJ$5)</f>
        <v>5.4007730589443552</v>
      </c>
      <c r="BM10" s="3" t="str">
        <f t="shared" si="6"/>
        <v>EPV_Grid</v>
      </c>
      <c r="BN10" s="58" t="s">
        <v>481</v>
      </c>
      <c r="BO10" s="459" t="str" cm="1">
        <f t="array" ref="BO10">INDEX($C$1:$N$1,1,BO$3)</f>
        <v>MATGLS</v>
      </c>
      <c r="BP10" s="3">
        <v>3</v>
      </c>
      <c r="BQ10" s="3" cm="1">
        <f t="array" ref="BQ10">INDEX($C10:$N10,1,BO$3)</f>
        <v>46.4</v>
      </c>
      <c r="BR10" s="457">
        <f>BQ10*(1/(1+$AQ$1))^(BR$5-BQ$5)</f>
        <v>40.769944606240713</v>
      </c>
      <c r="BS10" s="457">
        <f>BR10*(1/(1+$AQ$1))^(BS$5-BR$5)</f>
        <v>33.412782658002406</v>
      </c>
      <c r="BU10" s="3" t="str">
        <f t="shared" si="7"/>
        <v>EPV_Grid</v>
      </c>
      <c r="BV10" s="58" t="s">
        <v>481</v>
      </c>
      <c r="BW10" s="459" t="str" cm="1">
        <f t="array" ref="BW10">INDEX($C$1:$N$1,1,BW$3)</f>
        <v>MATPLT</v>
      </c>
      <c r="BX10" s="3">
        <v>3</v>
      </c>
      <c r="BY10" s="3" cm="1">
        <f t="array" ref="BY10">INDEX($C10:$N10,1,BW$3)</f>
        <v>8.6</v>
      </c>
      <c r="BZ10" s="457">
        <f>BY10*(1/(1+$AQ$1))^(BZ$5-BY$5)</f>
        <v>7.5564983537428905</v>
      </c>
      <c r="CA10" s="457">
        <f>BZ10*(1/(1+$AQ$1))^(CA$5-BZ$5)</f>
        <v>6.1928864409228597</v>
      </c>
      <c r="CC10" s="3" t="str">
        <f t="shared" si="8"/>
        <v>EPV_Grid</v>
      </c>
      <c r="CD10" s="58" t="s">
        <v>481</v>
      </c>
      <c r="CE10" s="459" t="str" cm="1">
        <f t="array" ref="CE10">INDEX($C$1:$N$1,1,CE$3)</f>
        <v>MATCOP</v>
      </c>
      <c r="CF10" s="3">
        <v>3</v>
      </c>
      <c r="CG10" s="3" cm="1">
        <f t="array" ref="CG10">INDEX($C10:$N10,1,CE$3)</f>
        <v>4.5999999999999996</v>
      </c>
      <c r="CH10" s="457">
        <f>CG10*(1/(1+$AQ$1))^(CH$5-CG$5)</f>
        <v>4.0418479566531742</v>
      </c>
      <c r="CI10" s="457">
        <f>CH10*(1/(1+$AQ$1))^(CI$5-CH$5)</f>
        <v>3.3124741428192044</v>
      </c>
      <c r="CK10" s="3" t="str">
        <f t="shared" si="9"/>
        <v>EPV_Grid</v>
      </c>
      <c r="CL10" s="58" t="s">
        <v>481</v>
      </c>
      <c r="CM10" s="459" t="str" cm="1">
        <f t="array" ref="CM10">INDEX($C$1:$N$1,1,CM$3)</f>
        <v>MATNIC</v>
      </c>
      <c r="CN10" s="3">
        <v>3</v>
      </c>
      <c r="CO10" s="3"/>
      <c r="CP10" s="457"/>
      <c r="CQ10" s="457"/>
      <c r="CT10" s="3" t="str">
        <f t="shared" si="10"/>
        <v>EPV_Grid</v>
      </c>
      <c r="CU10" s="58" t="s">
        <v>481</v>
      </c>
      <c r="CV10" s="459" t="str" cm="1">
        <f t="array" ref="CV10">INDEX($C$1:$N$1,1,CV$3)</f>
        <v>MATMNG</v>
      </c>
      <c r="CW10" s="3">
        <v>3</v>
      </c>
      <c r="CX10" s="3"/>
      <c r="CY10" s="457"/>
      <c r="CZ10" s="457"/>
      <c r="DB10" s="3" t="str">
        <f t="shared" si="11"/>
        <v>EPV_Grid</v>
      </c>
      <c r="DC10" s="58" t="s">
        <v>481</v>
      </c>
      <c r="DD10" s="459" t="str" cm="1">
        <f t="array" ref="DD10">INDEX($C$1:$N$1,1,DD$3)</f>
        <v>MATCOB</v>
      </c>
      <c r="DE10" s="3">
        <v>3</v>
      </c>
      <c r="DF10" s="3"/>
      <c r="DG10" s="457"/>
      <c r="DH10" s="457"/>
      <c r="DK10" s="3" t="str">
        <f t="shared" si="12"/>
        <v>EPV_Grid</v>
      </c>
      <c r="DL10" s="58" t="s">
        <v>481</v>
      </c>
      <c r="DM10" s="459" t="str" cm="1">
        <f t="array" ref="DM10">INDEX($C$1:$N$1,1,DM$3)</f>
        <v>MATLIT</v>
      </c>
      <c r="DN10" s="3">
        <v>3</v>
      </c>
      <c r="DO10" s="3"/>
      <c r="DP10" s="457"/>
      <c r="DQ10" s="457"/>
    </row>
    <row r="11" spans="1:121" ht="15" x14ac:dyDescent="0.25">
      <c r="A11" t="s">
        <v>499</v>
      </c>
      <c r="C11">
        <f>34+1.8</f>
        <v>35.799999999999997</v>
      </c>
      <c r="D11">
        <v>5.0999999999999996</v>
      </c>
      <c r="E11">
        <v>11</v>
      </c>
      <c r="F11">
        <v>46.4</v>
      </c>
      <c r="G11">
        <v>8.6</v>
      </c>
      <c r="H11">
        <v>4.5999999999999996</v>
      </c>
      <c r="M11">
        <v>1.7</v>
      </c>
      <c r="N11" s="68">
        <v>3.8</v>
      </c>
      <c r="O11" s="68"/>
      <c r="Q11">
        <f t="shared" si="13"/>
        <v>644.4</v>
      </c>
      <c r="R11">
        <f t="shared" si="13"/>
        <v>5.0999999999999996</v>
      </c>
      <c r="S11">
        <f t="shared" si="13"/>
        <v>462</v>
      </c>
      <c r="T11">
        <f t="shared" si="13"/>
        <v>835.2</v>
      </c>
      <c r="U11">
        <f t="shared" si="13"/>
        <v>77.400000000000006</v>
      </c>
      <c r="V11">
        <f t="shared" si="13"/>
        <v>662.4</v>
      </c>
      <c r="W11">
        <f t="shared" si="14"/>
        <v>95.2</v>
      </c>
      <c r="X11">
        <f t="shared" si="14"/>
        <v>2394</v>
      </c>
      <c r="AA11" s="64">
        <f t="shared" si="15"/>
        <v>0.12450489788820836</v>
      </c>
      <c r="AB11" s="64">
        <f t="shared" si="15"/>
        <v>9.8537395907799898E-4</v>
      </c>
      <c r="AC11" s="64">
        <f t="shared" si="15"/>
        <v>8.9263288057654044E-2</v>
      </c>
      <c r="AD11" s="64">
        <f t="shared" si="15"/>
        <v>0.16136947659253822</v>
      </c>
      <c r="AE11" s="64">
        <f t="shared" si="15"/>
        <v>1.4954498908360224E-2</v>
      </c>
      <c r="AF11" s="64">
        <f t="shared" si="15"/>
        <v>0.12798268833201307</v>
      </c>
      <c r="AG11" s="64">
        <f t="shared" si="15"/>
        <v>1.8393647236122652E-2</v>
      </c>
      <c r="AH11" s="64">
        <f t="shared" si="15"/>
        <v>0.46254612902602549</v>
      </c>
      <c r="AI11">
        <f>SUM(Q11:X11)</f>
        <v>5175.7</v>
      </c>
      <c r="AJ11">
        <v>16022</v>
      </c>
      <c r="AK11">
        <f>AJ11-AI11</f>
        <v>10846.3</v>
      </c>
      <c r="AO11" s="3" t="str">
        <f t="shared" si="3"/>
        <v>EPV_RfTp</v>
      </c>
      <c r="AP11" s="58" t="s">
        <v>481</v>
      </c>
      <c r="AQ11" s="459" t="str" cm="1">
        <f t="array" ref="AQ11">INDEX($C$1:$N$1,1,AQ$3)</f>
        <v>MATSTL</v>
      </c>
      <c r="AR11" s="3">
        <v>3</v>
      </c>
      <c r="AS11" s="3" cm="1">
        <f t="array" ref="AS11">INDEX($C11:$N11,1,AQ$3)</f>
        <v>35.799999999999997</v>
      </c>
      <c r="AT11" s="457">
        <f>AS11*(1/(1+$AQ$1))^(AT$5-AS$5)</f>
        <v>31.456121053952963</v>
      </c>
      <c r="AU11" s="457">
        <f>AT11*(1/(1+$AQ$1))^(AU$5-AT$5)</f>
        <v>25.779690068027719</v>
      </c>
      <c r="AW11" s="3" t="str">
        <f t="shared" si="4"/>
        <v>EPV_RfTp</v>
      </c>
      <c r="AX11" s="58" t="s">
        <v>481</v>
      </c>
      <c r="AY11" s="459" t="str" cm="1">
        <f t="array" ref="AY11">INDEX($C$1:$N$1,1,AY$3)</f>
        <v>MATCEM</v>
      </c>
      <c r="AZ11" s="3">
        <v>3</v>
      </c>
      <c r="BA11" s="3" cm="1">
        <f t="array" ref="BA11">INDEX($C11:$N11,1,AY$3)</f>
        <v>5.0999999999999996</v>
      </c>
      <c r="BB11" s="457">
        <f>BA11*(1/(1+$AQ$1))^(BB$5-BA$5)</f>
        <v>4.4811792562893888</v>
      </c>
      <c r="BC11" s="457">
        <f>BB11*(1/(1+$AQ$1))^(BC$5-BB$5)</f>
        <v>3.6725256800821615</v>
      </c>
      <c r="BE11" s="3" t="str">
        <f t="shared" si="5"/>
        <v>EPV_RfTp</v>
      </c>
      <c r="BF11" s="58" t="s">
        <v>481</v>
      </c>
      <c r="BG11" s="459" t="str" cm="1">
        <f t="array" ref="BG11">INDEX($C$1:$N$1,1,BG$3)</f>
        <v>MATALU</v>
      </c>
      <c r="BH11" s="3">
        <v>3</v>
      </c>
      <c r="BI11" s="3" cm="1">
        <f t="array" ref="BI11">INDEX($C11:$N11,1,BG$3)</f>
        <v>11</v>
      </c>
      <c r="BJ11" s="457">
        <f>BI11*(1/(1+$AQ$1))^(BJ$5-BI$5)</f>
        <v>9.6652885919967204</v>
      </c>
      <c r="BK11" s="457">
        <f>BJ11*(1/(1+$AQ$1))^(BK$5-BJ$5)</f>
        <v>7.9211338197850534</v>
      </c>
      <c r="BM11" s="3" t="str">
        <f t="shared" si="6"/>
        <v>EPV_RfTp</v>
      </c>
      <c r="BN11" s="58" t="s">
        <v>481</v>
      </c>
      <c r="BO11" s="459" t="str" cm="1">
        <f t="array" ref="BO11">INDEX($C$1:$N$1,1,BO$3)</f>
        <v>MATGLS</v>
      </c>
      <c r="BP11" s="3">
        <v>3</v>
      </c>
      <c r="BQ11" s="3" cm="1">
        <f t="array" ref="BQ11">INDEX($C11:$N11,1,BO$3)</f>
        <v>46.4</v>
      </c>
      <c r="BR11" s="457">
        <f>BQ11*(1/(1+$AQ$1))^(BR$5-BQ$5)</f>
        <v>40.769944606240713</v>
      </c>
      <c r="BS11" s="457">
        <f>BR11*(1/(1+$AQ$1))^(BS$5-BR$5)</f>
        <v>33.412782658002406</v>
      </c>
      <c r="BU11" s="3" t="str">
        <f t="shared" si="7"/>
        <v>EPV_RfTp</v>
      </c>
      <c r="BV11" s="58" t="s">
        <v>481</v>
      </c>
      <c r="BW11" s="459" t="str" cm="1">
        <f t="array" ref="BW11">INDEX($C$1:$N$1,1,BW$3)</f>
        <v>MATPLT</v>
      </c>
      <c r="BX11" s="3">
        <v>3</v>
      </c>
      <c r="BY11" s="3" cm="1">
        <f t="array" ref="BY11">INDEX($C11:$N11,1,BW$3)</f>
        <v>8.6</v>
      </c>
      <c r="BZ11" s="457">
        <f>BY11*(1/(1+$AQ$1))^(BZ$5-BY$5)</f>
        <v>7.5564983537428905</v>
      </c>
      <c r="CA11" s="457">
        <f>BZ11*(1/(1+$AQ$1))^(CA$5-BZ$5)</f>
        <v>6.1928864409228597</v>
      </c>
      <c r="CC11" s="3" t="str">
        <f t="shared" si="8"/>
        <v>EPV_RfTp</v>
      </c>
      <c r="CD11" s="58" t="s">
        <v>481</v>
      </c>
      <c r="CE11" s="459" t="str" cm="1">
        <f t="array" ref="CE11">INDEX($C$1:$N$1,1,CE$3)</f>
        <v>MATCOP</v>
      </c>
      <c r="CF11" s="3">
        <v>3</v>
      </c>
      <c r="CG11" s="3" cm="1">
        <f t="array" ref="CG11">INDEX($C11:$N11,1,CE$3)</f>
        <v>4.5999999999999996</v>
      </c>
      <c r="CH11" s="457">
        <f>CG11*(1/(1+$AQ$1))^(CH$5-CG$5)</f>
        <v>4.0418479566531742</v>
      </c>
      <c r="CI11" s="457">
        <f>CH11*(1/(1+$AQ$1))^(CI$5-CH$5)</f>
        <v>3.3124741428192044</v>
      </c>
      <c r="CK11" s="3" t="str">
        <f t="shared" si="9"/>
        <v>EPV_RfTp</v>
      </c>
      <c r="CL11" s="58" t="s">
        <v>481</v>
      </c>
      <c r="CM11" s="459" t="str" cm="1">
        <f t="array" ref="CM11">INDEX($C$1:$N$1,1,CM$3)</f>
        <v>MATNIC</v>
      </c>
      <c r="CN11" s="3">
        <v>3</v>
      </c>
      <c r="CO11" s="3"/>
      <c r="CP11" s="457"/>
      <c r="CQ11" s="457"/>
      <c r="CT11" s="3" t="str">
        <f t="shared" si="10"/>
        <v>EPV_RfTp</v>
      </c>
      <c r="CU11" s="58" t="s">
        <v>481</v>
      </c>
      <c r="CV11" s="459" t="str" cm="1">
        <f t="array" ref="CV11">INDEX($C$1:$N$1,1,CV$3)</f>
        <v>MATMNG</v>
      </c>
      <c r="CW11" s="3">
        <v>3</v>
      </c>
      <c r="CX11" s="3"/>
      <c r="CY11" s="457"/>
      <c r="CZ11" s="457"/>
      <c r="DB11" s="3" t="str">
        <f t="shared" si="11"/>
        <v>EPV_RfTp</v>
      </c>
      <c r="DC11" s="58" t="s">
        <v>481</v>
      </c>
      <c r="DD11" s="459" t="str" cm="1">
        <f t="array" ref="DD11">INDEX($C$1:$N$1,1,DD$3)</f>
        <v>MATCOB</v>
      </c>
      <c r="DE11" s="3">
        <v>3</v>
      </c>
      <c r="DF11" s="3"/>
      <c r="DG11" s="457"/>
      <c r="DH11" s="457"/>
      <c r="DK11" s="3" t="str">
        <f t="shared" si="12"/>
        <v>EPV_RfTp</v>
      </c>
      <c r="DL11" s="58" t="s">
        <v>481</v>
      </c>
      <c r="DM11" s="459" t="str" cm="1">
        <f t="array" ref="DM11">INDEX($C$1:$N$1,1,DM$3)</f>
        <v>MATLIT</v>
      </c>
      <c r="DN11" s="3">
        <v>3</v>
      </c>
      <c r="DO11" s="3"/>
      <c r="DP11" s="457"/>
      <c r="DQ11" s="457"/>
    </row>
    <row r="12" spans="1:121" ht="15" x14ac:dyDescent="0.25">
      <c r="A12" t="s">
        <v>50</v>
      </c>
      <c r="Q12">
        <f t="shared" si="13"/>
        <v>0</v>
      </c>
      <c r="R12">
        <f t="shared" si="13"/>
        <v>0</v>
      </c>
      <c r="S12">
        <f t="shared" si="13"/>
        <v>0</v>
      </c>
      <c r="T12">
        <f t="shared" si="13"/>
        <v>0</v>
      </c>
      <c r="U12">
        <f t="shared" si="13"/>
        <v>0</v>
      </c>
      <c r="V12">
        <f t="shared" si="13"/>
        <v>0</v>
      </c>
      <c r="W12">
        <f t="shared" si="14"/>
        <v>0</v>
      </c>
      <c r="X12">
        <f t="shared" si="14"/>
        <v>0</v>
      </c>
      <c r="AK12">
        <f>AJ12-AI12</f>
        <v>0</v>
      </c>
      <c r="AO12" s="3" t="str">
        <f t="shared" si="3"/>
        <v>ECSP</v>
      </c>
      <c r="AP12" s="58" t="s">
        <v>481</v>
      </c>
      <c r="AQ12" s="459" t="str" cm="1">
        <f t="array" ref="AQ12">INDEX($C$1:$N$1,1,AQ$3)</f>
        <v>MATSTL</v>
      </c>
      <c r="AR12" s="3">
        <v>3</v>
      </c>
      <c r="AS12" s="3" cm="1">
        <f t="array" ref="AS12">INDEX($C12:$N12,1,AQ$3)</f>
        <v>0</v>
      </c>
      <c r="AW12" s="3" t="str">
        <f t="shared" si="4"/>
        <v>ECSP</v>
      </c>
      <c r="AX12" s="58" t="s">
        <v>481</v>
      </c>
      <c r="AY12" s="459" t="str" cm="1">
        <f t="array" ref="AY12">INDEX($C$1:$N$1,1,AY$3)</f>
        <v>MATCEM</v>
      </c>
      <c r="AZ12" s="3">
        <v>3</v>
      </c>
      <c r="BA12" s="3" cm="1">
        <f t="array" ref="BA12">INDEX($C12:$N12,1,AY$3)</f>
        <v>0</v>
      </c>
      <c r="BE12" s="3" t="str">
        <f t="shared" si="5"/>
        <v>ECSP</v>
      </c>
      <c r="BF12" s="58" t="s">
        <v>481</v>
      </c>
      <c r="BG12" s="459" t="str" cm="1">
        <f t="array" ref="BG12">INDEX($C$1:$N$1,1,BG$3)</f>
        <v>MATALU</v>
      </c>
      <c r="BH12" s="3">
        <v>3</v>
      </c>
      <c r="BI12" s="3" cm="1">
        <f t="array" ref="BI12">INDEX($C12:$N12,1,BG$3)</f>
        <v>0</v>
      </c>
      <c r="BM12" s="3" t="str">
        <f t="shared" si="6"/>
        <v>ECSP</v>
      </c>
      <c r="BN12" s="58" t="s">
        <v>481</v>
      </c>
      <c r="BO12" s="459" t="str" cm="1">
        <f t="array" ref="BO12">INDEX($C$1:$N$1,1,BO$3)</f>
        <v>MATGLS</v>
      </c>
      <c r="BP12" s="3">
        <v>3</v>
      </c>
      <c r="BQ12" s="3" cm="1">
        <f t="array" ref="BQ12">INDEX($C12:$N12,1,BO$3)</f>
        <v>0</v>
      </c>
      <c r="BU12" s="3" t="str">
        <f t="shared" si="7"/>
        <v>ECSP</v>
      </c>
      <c r="BV12" s="58" t="s">
        <v>481</v>
      </c>
      <c r="BW12" s="459" t="str" cm="1">
        <f t="array" ref="BW12">INDEX($C$1:$N$1,1,BW$3)</f>
        <v>MATPLT</v>
      </c>
      <c r="BX12" s="3">
        <v>3</v>
      </c>
      <c r="BY12" s="3" cm="1">
        <f t="array" ref="BY12">INDEX($C12:$N12,1,BW$3)</f>
        <v>0</v>
      </c>
      <c r="CC12" s="3" t="str">
        <f t="shared" si="8"/>
        <v>ECSP</v>
      </c>
      <c r="CD12" s="58" t="s">
        <v>481</v>
      </c>
      <c r="CE12" s="459" t="str" cm="1">
        <f t="array" ref="CE12">INDEX($C$1:$N$1,1,CE$3)</f>
        <v>MATCOP</v>
      </c>
      <c r="CF12" s="3">
        <v>3</v>
      </c>
      <c r="CG12" s="3" cm="1">
        <f t="array" ref="CG12">INDEX($C12:$N12,1,CE$3)</f>
        <v>0</v>
      </c>
      <c r="CK12" s="3" t="str">
        <f t="shared" si="9"/>
        <v>ECSP</v>
      </c>
      <c r="CL12" s="58" t="s">
        <v>481</v>
      </c>
      <c r="CM12" s="459" t="str" cm="1">
        <f t="array" ref="CM12">INDEX($C$1:$N$1,1,CM$3)</f>
        <v>MATNIC</v>
      </c>
      <c r="CN12" s="3">
        <v>3</v>
      </c>
      <c r="CO12" s="3"/>
      <c r="CT12" s="3" t="str">
        <f t="shared" si="10"/>
        <v>ECSP</v>
      </c>
      <c r="CU12" s="58" t="s">
        <v>481</v>
      </c>
      <c r="CV12" s="459" t="str" cm="1">
        <f t="array" ref="CV12">INDEX($C$1:$N$1,1,CV$3)</f>
        <v>MATMNG</v>
      </c>
      <c r="CW12" s="3">
        <v>3</v>
      </c>
      <c r="CX12" s="3"/>
      <c r="DB12" s="3" t="str">
        <f t="shared" si="11"/>
        <v>ECSP</v>
      </c>
      <c r="DC12" s="58" t="s">
        <v>481</v>
      </c>
      <c r="DD12" s="459" t="str" cm="1">
        <f t="array" ref="DD12">INDEX($C$1:$N$1,1,DD$3)</f>
        <v>MATCOB</v>
      </c>
      <c r="DE12" s="3">
        <v>3</v>
      </c>
      <c r="DF12" s="3"/>
      <c r="DK12" s="3" t="str">
        <f t="shared" si="12"/>
        <v>ECSP</v>
      </c>
      <c r="DL12" s="58" t="s">
        <v>481</v>
      </c>
      <c r="DM12" s="459" t="str" cm="1">
        <f t="array" ref="DM12">INDEX($C$1:$N$1,1,DM$3)</f>
        <v>MATLIT</v>
      </c>
      <c r="DN12" s="3">
        <v>3</v>
      </c>
      <c r="DO12" s="3"/>
    </row>
    <row r="13" spans="1:121" ht="15" x14ac:dyDescent="0.25">
      <c r="A13" t="s">
        <v>49</v>
      </c>
      <c r="C13">
        <f>9.6+110.4+38+20</f>
        <v>178</v>
      </c>
      <c r="D13">
        <v>71.400000000000006</v>
      </c>
      <c r="E13">
        <v>1.4</v>
      </c>
      <c r="F13">
        <v>8.1999999999999993</v>
      </c>
      <c r="G13">
        <v>2.9</v>
      </c>
      <c r="H13">
        <v>2</v>
      </c>
      <c r="M13">
        <v>5.5</v>
      </c>
      <c r="Q13">
        <f t="shared" si="13"/>
        <v>3204</v>
      </c>
      <c r="R13">
        <f t="shared" si="13"/>
        <v>71.400000000000006</v>
      </c>
      <c r="S13">
        <f t="shared" si="13"/>
        <v>58.79999999999999</v>
      </c>
      <c r="T13">
        <f t="shared" si="13"/>
        <v>147.6</v>
      </c>
      <c r="U13">
        <f t="shared" si="13"/>
        <v>26.1</v>
      </c>
      <c r="V13">
        <f t="shared" si="13"/>
        <v>288</v>
      </c>
      <c r="W13">
        <f t="shared" si="14"/>
        <v>308</v>
      </c>
      <c r="X13">
        <f t="shared" si="14"/>
        <v>0</v>
      </c>
      <c r="AA13" s="64">
        <f t="shared" ref="AA13:AH13" si="16">Q13/$AI13</f>
        <v>0.78072077779672999</v>
      </c>
      <c r="AB13" s="64">
        <f t="shared" si="16"/>
        <v>1.7398084748653724E-2</v>
      </c>
      <c r="AC13" s="64">
        <f t="shared" si="16"/>
        <v>1.4327834498891297E-2</v>
      </c>
      <c r="AD13" s="64">
        <f t="shared" si="16"/>
        <v>3.5965788640074076E-2</v>
      </c>
      <c r="AE13" s="64">
        <f t="shared" si="16"/>
        <v>6.3598040887935872E-3</v>
      </c>
      <c r="AF13" s="64">
        <f t="shared" si="16"/>
        <v>7.0177148565998201E-2</v>
      </c>
      <c r="AG13" s="64">
        <f t="shared" si="16"/>
        <v>7.5050561660859189E-2</v>
      </c>
      <c r="AH13" s="64">
        <f t="shared" si="16"/>
        <v>0</v>
      </c>
      <c r="AI13">
        <f>SUM(Q13:X13)</f>
        <v>4103.8999999999996</v>
      </c>
      <c r="AJ13">
        <v>17575</v>
      </c>
      <c r="AK13">
        <f>AJ13-AI13</f>
        <v>13471.1</v>
      </c>
      <c r="AO13" s="3" t="str">
        <f t="shared" si="3"/>
        <v>EWind</v>
      </c>
      <c r="AP13" s="58" t="s">
        <v>481</v>
      </c>
      <c r="AQ13" s="459" t="str" cm="1">
        <f t="array" ref="AQ13">INDEX($C$1:$N$1,1,AQ$3)</f>
        <v>MATSTL</v>
      </c>
      <c r="AR13" s="3">
        <v>3</v>
      </c>
      <c r="AS13" s="3" cm="1">
        <f t="array" ref="AS13">INDEX($C13:$N13,1,AQ$3)</f>
        <v>178</v>
      </c>
      <c r="AT13" s="457">
        <f>AS13*(1/(1+$AQ$1))^(AT$5-AS$5)</f>
        <v>156.40194267049239</v>
      </c>
      <c r="AU13" s="457">
        <f>AT13*(1/(1+$AQ$1))^(AU$5-AT$5)</f>
        <v>128.1783472656127</v>
      </c>
      <c r="AW13" s="3" t="str">
        <f t="shared" si="4"/>
        <v>EWind</v>
      </c>
      <c r="AX13" s="58" t="s">
        <v>481</v>
      </c>
      <c r="AY13" s="459" t="str" cm="1">
        <f t="array" ref="AY13">INDEX($C$1:$N$1,1,AY$3)</f>
        <v>MATCEM</v>
      </c>
      <c r="AZ13" s="3">
        <v>3</v>
      </c>
      <c r="BA13" s="3" cm="1">
        <f t="array" ref="BA13">INDEX($C13:$N13,1,AY$3)</f>
        <v>71.400000000000006</v>
      </c>
      <c r="BB13" s="457">
        <f>BA13*(1/(1+$AQ$1))^(BB$5-BA$5)</f>
        <v>62.736509588051447</v>
      </c>
      <c r="BC13" s="457">
        <f>BB13*(1/(1+$AQ$1))^(BC$5-BB$5)</f>
        <v>51.415359521150265</v>
      </c>
      <c r="BE13" s="3" t="str">
        <f t="shared" si="5"/>
        <v>EWind</v>
      </c>
      <c r="BF13" s="58" t="s">
        <v>481</v>
      </c>
      <c r="BG13" s="459" t="str" cm="1">
        <f t="array" ref="BG13">INDEX($C$1:$N$1,1,BG$3)</f>
        <v>MATALU</v>
      </c>
      <c r="BH13" s="3">
        <v>3</v>
      </c>
      <c r="BI13" s="3" cm="1">
        <f t="array" ref="BI13">INDEX($C13:$N13,1,BG$3)</f>
        <v>1.4</v>
      </c>
      <c r="BJ13" s="457">
        <f>BI13*(1/(1+$AQ$1))^(BJ$5-BI$5)</f>
        <v>1.2301276389814009</v>
      </c>
      <c r="BK13" s="457">
        <f>BJ13*(1/(1+$AQ$1))^(BK$5-BJ$5)</f>
        <v>1.0081443043362797</v>
      </c>
      <c r="BM13" s="3" t="str">
        <f t="shared" si="6"/>
        <v>EWind</v>
      </c>
      <c r="BN13" s="58" t="s">
        <v>481</v>
      </c>
      <c r="BO13" s="459" t="str" cm="1">
        <f t="array" ref="BO13">INDEX($C$1:$N$1,1,BO$3)</f>
        <v>MATGLS</v>
      </c>
      <c r="BP13" s="3">
        <v>3</v>
      </c>
      <c r="BQ13" s="3" cm="1">
        <f t="array" ref="BQ13">INDEX($C13:$N13,1,BO$3)</f>
        <v>8.1999999999999993</v>
      </c>
      <c r="BR13" s="457">
        <f>BQ13*(1/(1+$AQ$1))^(BR$5-BQ$5)</f>
        <v>7.2050333140339182</v>
      </c>
      <c r="BS13" s="457">
        <f>BR13*(1/(1+$AQ$1))^(BS$5-BR$5)</f>
        <v>5.9048452111124936</v>
      </c>
      <c r="BU13" s="3" t="str">
        <f t="shared" si="7"/>
        <v>EWind</v>
      </c>
      <c r="BV13" s="58" t="s">
        <v>481</v>
      </c>
      <c r="BW13" s="459" t="str" cm="1">
        <f t="array" ref="BW13">INDEX($C$1:$N$1,1,BW$3)</f>
        <v>MATPLT</v>
      </c>
      <c r="BX13" s="3">
        <v>3</v>
      </c>
      <c r="BY13" s="3" cm="1">
        <f t="array" ref="BY13">INDEX($C13:$N13,1,BW$3)</f>
        <v>2.9</v>
      </c>
      <c r="BZ13" s="457">
        <f>BY13*(1/(1+$AQ$1))^(BZ$5-BY$5)</f>
        <v>2.5481215378900446</v>
      </c>
      <c r="CA13" s="457">
        <f>BZ13*(1/(1+$AQ$1))^(CA$5-BZ$5)</f>
        <v>2.0882989161251504</v>
      </c>
      <c r="CC13" s="3" t="str">
        <f t="shared" si="8"/>
        <v>EWind</v>
      </c>
      <c r="CD13" s="58" t="s">
        <v>481</v>
      </c>
      <c r="CE13" s="459" t="str" cm="1">
        <f t="array" ref="CE13">INDEX($C$1:$N$1,1,CE$3)</f>
        <v>MATCOP</v>
      </c>
      <c r="CF13" s="3">
        <v>3</v>
      </c>
      <c r="CG13" s="3" cm="1">
        <f t="array" ref="CG13">INDEX($C13:$N13,1,CE$3)</f>
        <v>2</v>
      </c>
      <c r="CH13" s="457">
        <f>CG13*(1/(1+$AQ$1))^(CH$5-CG$5)</f>
        <v>1.7573251985448584</v>
      </c>
      <c r="CI13" s="457">
        <f>CH13*(1/(1+$AQ$1))^(CI$5-CH$5)</f>
        <v>1.4402061490518281</v>
      </c>
      <c r="CK13" s="3" t="str">
        <f t="shared" si="9"/>
        <v>EWind</v>
      </c>
      <c r="CL13" s="58" t="s">
        <v>481</v>
      </c>
      <c r="CM13" s="459" t="str" cm="1">
        <f t="array" ref="CM13">INDEX($C$1:$N$1,1,CM$3)</f>
        <v>MATNIC</v>
      </c>
      <c r="CN13" s="3">
        <v>3</v>
      </c>
      <c r="CO13" s="3"/>
      <c r="CP13" s="457"/>
      <c r="CQ13" s="457"/>
      <c r="CT13" s="3" t="str">
        <f t="shared" si="10"/>
        <v>EWind</v>
      </c>
      <c r="CU13" s="58" t="s">
        <v>481</v>
      </c>
      <c r="CV13" s="459" t="str" cm="1">
        <f t="array" ref="CV13">INDEX($C$1:$N$1,1,CV$3)</f>
        <v>MATMNG</v>
      </c>
      <c r="CW13" s="3">
        <v>3</v>
      </c>
      <c r="CX13" s="3"/>
      <c r="CY13" s="457"/>
      <c r="CZ13" s="457"/>
      <c r="DB13" s="3" t="str">
        <f t="shared" si="11"/>
        <v>EWind</v>
      </c>
      <c r="DC13" s="58" t="s">
        <v>481</v>
      </c>
      <c r="DD13" s="459" t="str" cm="1">
        <f t="array" ref="DD13">INDEX($C$1:$N$1,1,DD$3)</f>
        <v>MATCOB</v>
      </c>
      <c r="DE13" s="3">
        <v>3</v>
      </c>
      <c r="DF13" s="3"/>
      <c r="DG13" s="457"/>
      <c r="DH13" s="457"/>
      <c r="DK13" s="3" t="str">
        <f t="shared" si="12"/>
        <v>EWind</v>
      </c>
      <c r="DL13" s="58" t="s">
        <v>481</v>
      </c>
      <c r="DM13" s="459" t="str" cm="1">
        <f t="array" ref="DM13">INDEX($C$1:$N$1,1,DM$3)</f>
        <v>MATLIT</v>
      </c>
      <c r="DN13" s="3">
        <v>3</v>
      </c>
      <c r="DO13" s="3"/>
      <c r="DP13" s="457"/>
      <c r="DQ13" s="457"/>
    </row>
    <row r="14" spans="1:121" ht="15" x14ac:dyDescent="0.25">
      <c r="A14" t="s">
        <v>1334</v>
      </c>
      <c r="C14">
        <f t="shared" ref="C14:L14" si="17">SUMIFS($AF$70:$AF$83,$V$70:$V$83,C$5)</f>
        <v>1.3846153846153848</v>
      </c>
      <c r="D14">
        <f t="shared" si="17"/>
        <v>0</v>
      </c>
      <c r="E14">
        <f t="shared" si="17"/>
        <v>5.3076923076923075</v>
      </c>
      <c r="F14">
        <f t="shared" si="17"/>
        <v>0</v>
      </c>
      <c r="G14">
        <f t="shared" si="17"/>
        <v>1.6923076923076923</v>
      </c>
      <c r="H14">
        <f t="shared" si="17"/>
        <v>2.1846153846153848</v>
      </c>
      <c r="I14">
        <f t="shared" si="17"/>
        <v>0.47692307692307695</v>
      </c>
      <c r="J14">
        <f t="shared" si="17"/>
        <v>0.43076923076923079</v>
      </c>
      <c r="K14">
        <f t="shared" si="17"/>
        <v>0.47692307692307695</v>
      </c>
      <c r="L14">
        <f t="shared" si="17"/>
        <v>0.15384615384615385</v>
      </c>
      <c r="AO14" s="3" t="str">
        <f t="shared" si="3"/>
        <v>Ebattery_Utility</v>
      </c>
      <c r="AP14" s="58" t="s">
        <v>481</v>
      </c>
      <c r="AQ14" s="459" t="str" cm="1">
        <f t="array" ref="AQ14">INDEX($C$1:$N$1,1,AQ$3)</f>
        <v>MATSTL</v>
      </c>
      <c r="AR14" s="3">
        <v>3</v>
      </c>
      <c r="AS14" s="3" cm="1">
        <f t="array" ref="AS14">INDEX($C14:$N14,1,AQ$3)</f>
        <v>1.3846153846153848</v>
      </c>
      <c r="AT14" s="457">
        <f t="shared" ref="AT14:AU14" si="18">AS14*(1/(1+$AQ$1))^(AT$5-AS$5)</f>
        <v>1.2166097528387483</v>
      </c>
      <c r="AU14" s="457">
        <f t="shared" si="18"/>
        <v>0.99706579549741958</v>
      </c>
      <c r="AW14" s="3" t="str">
        <f t="shared" si="4"/>
        <v>Ebattery_Utility</v>
      </c>
      <c r="AX14" s="58" t="s">
        <v>481</v>
      </c>
      <c r="AY14" s="459" t="str" cm="1">
        <f t="array" ref="AY14">INDEX($C$1:$N$1,1,AY$3)</f>
        <v>MATCEM</v>
      </c>
      <c r="AZ14" s="3">
        <v>3</v>
      </c>
      <c r="BA14" s="3" cm="1">
        <f t="array" ref="BA14">INDEX($C14:$N14,1,AY$3)</f>
        <v>0</v>
      </c>
      <c r="BB14" s="457">
        <f t="shared" ref="BB14:BC14" si="19">BA14*(1/(1+$AQ$1))^(BB$5-BA$5)</f>
        <v>0</v>
      </c>
      <c r="BC14" s="457">
        <f t="shared" si="19"/>
        <v>0</v>
      </c>
      <c r="BE14" s="3" t="str">
        <f t="shared" si="5"/>
        <v>Ebattery_Utility</v>
      </c>
      <c r="BF14" s="58" t="s">
        <v>481</v>
      </c>
      <c r="BG14" s="459" t="str" cm="1">
        <f t="array" ref="BG14">INDEX($C$1:$N$1,1,BG$3)</f>
        <v>MATALU</v>
      </c>
      <c r="BH14" s="3">
        <v>3</v>
      </c>
      <c r="BI14" s="3" cm="1">
        <f t="array" ref="BI14">INDEX($C14:$N14,1,BG$3)</f>
        <v>5.3076923076923075</v>
      </c>
      <c r="BJ14" s="457">
        <f t="shared" ref="BJ14:BK14" si="20">BI14*(1/(1+$AQ$1))^(BJ$5-BI$5)</f>
        <v>4.6636707192152009</v>
      </c>
      <c r="BK14" s="457">
        <f t="shared" si="20"/>
        <v>3.8220855494067743</v>
      </c>
      <c r="BM14" s="3" t="str">
        <f t="shared" si="6"/>
        <v>Ebattery_Utility</v>
      </c>
      <c r="BN14" s="58" t="s">
        <v>481</v>
      </c>
      <c r="BO14" s="459" t="str" cm="1">
        <f t="array" ref="BO14">INDEX($C$1:$N$1,1,BO$3)</f>
        <v>MATGLS</v>
      </c>
      <c r="BP14" s="3">
        <v>3</v>
      </c>
      <c r="BQ14" s="3" cm="1">
        <f t="array" ref="BQ14">INDEX($C14:$N14,1,BO$3)</f>
        <v>0</v>
      </c>
      <c r="BR14" s="457">
        <f t="shared" ref="BR14:BS14" si="21">BQ14*(1/(1+$AQ$1))^(BR$5-BQ$5)</f>
        <v>0</v>
      </c>
      <c r="BS14" s="457">
        <f t="shared" si="21"/>
        <v>0</v>
      </c>
      <c r="BU14" s="3" t="str">
        <f t="shared" si="7"/>
        <v>Ebattery_Utility</v>
      </c>
      <c r="BV14" s="58" t="s">
        <v>481</v>
      </c>
      <c r="BW14" s="459" t="str" cm="1">
        <f t="array" ref="BW14">INDEX($C$1:$N$1,1,BW$3)</f>
        <v>MATPLT</v>
      </c>
      <c r="BX14" s="3">
        <v>3</v>
      </c>
      <c r="BY14" s="3" cm="1">
        <f t="array" ref="BY14">INDEX($C14:$N14,1,BW$3)</f>
        <v>1.6923076923076923</v>
      </c>
      <c r="BZ14" s="457">
        <f t="shared" ref="BZ14:CA14" si="22">BY14*(1/(1+$AQ$1))^(BZ$5-BY$5)</f>
        <v>1.4869674756918032</v>
      </c>
      <c r="CA14" s="457">
        <f t="shared" si="22"/>
        <v>1.2186359722746236</v>
      </c>
      <c r="CC14" s="3" t="str">
        <f t="shared" si="8"/>
        <v>Ebattery_Utility</v>
      </c>
      <c r="CD14" s="58" t="s">
        <v>481</v>
      </c>
      <c r="CE14" s="459" t="str" cm="1">
        <f t="array" ref="CE14">INDEX($C$1:$N$1,1,CE$3)</f>
        <v>MATCOP</v>
      </c>
      <c r="CF14" s="3">
        <v>3</v>
      </c>
      <c r="CG14" s="3" cm="1">
        <f t="array" ref="CG14">INDEX($C14:$N14,1,CE$3)</f>
        <v>2.1846153846153848</v>
      </c>
      <c r="CH14" s="457">
        <f t="shared" ref="CH14:CI14" si="23">CG14*(1/(1+$AQ$1))^(CH$5-CG$5)</f>
        <v>1.9195398322566917</v>
      </c>
      <c r="CI14" s="457">
        <f t="shared" si="23"/>
        <v>1.5731482551181508</v>
      </c>
      <c r="CK14" s="3" t="str">
        <f t="shared" si="9"/>
        <v>Ebattery_Utility</v>
      </c>
      <c r="CL14" s="58" t="s">
        <v>481</v>
      </c>
      <c r="CM14" s="459" t="str" cm="1">
        <f t="array" ref="CM14">INDEX($C$1:$N$1,1,CM$3)</f>
        <v>MATNIC</v>
      </c>
      <c r="CN14" s="3">
        <v>3</v>
      </c>
      <c r="CO14" s="3" cm="1">
        <f t="array" ref="CO14">INDEX($C14:$N14,1,CM$3)</f>
        <v>0.47692307692307695</v>
      </c>
      <c r="CP14" s="457">
        <f t="shared" ref="CP14" si="24">CO14*(1/(1+$AQ$1))^(CP$5-CO$5)</f>
        <v>0.41905447042223548</v>
      </c>
      <c r="CQ14" s="457">
        <f t="shared" ref="CQ14" si="25">CP14*(1/(1+$AQ$1))^(CQ$5-CP$5)</f>
        <v>0.34343377400466668</v>
      </c>
      <c r="CT14" s="3" t="str">
        <f t="shared" si="10"/>
        <v>Ebattery_Utility</v>
      </c>
      <c r="CU14" s="58" t="s">
        <v>481</v>
      </c>
      <c r="CV14" s="459" t="str" cm="1">
        <f t="array" ref="CV14">INDEX($C$1:$N$1,1,CV$3)</f>
        <v>MATMNG</v>
      </c>
      <c r="CW14" s="3">
        <v>3</v>
      </c>
      <c r="CX14" s="3" cm="1">
        <f t="array" ref="CX14">INDEX($C14:$N14,1,CV$3)</f>
        <v>0.43076923076923079</v>
      </c>
      <c r="CY14" s="457">
        <f t="shared" ref="CY14" si="26">CX14*(1/(1+$AQ$1))^(CY$5-CX$5)</f>
        <v>0.37850081199427721</v>
      </c>
      <c r="CZ14" s="457">
        <f t="shared" ref="CZ14" si="27">CY14*(1/(1+$AQ$1))^(CZ$5-CY$5)</f>
        <v>0.31019824748808605</v>
      </c>
      <c r="DB14" s="3" t="str">
        <f t="shared" si="11"/>
        <v>Ebattery_Utility</v>
      </c>
      <c r="DC14" s="58" t="s">
        <v>481</v>
      </c>
      <c r="DD14" s="459" t="str" cm="1">
        <f t="array" ref="DD14">INDEX($C$1:$N$1,1,DD$3)</f>
        <v>MATCOB</v>
      </c>
      <c r="DE14" s="3">
        <v>3</v>
      </c>
      <c r="DF14" s="3" cm="1">
        <f t="array" ref="DF14">INDEX($C14:$N14,1,DD$3)</f>
        <v>0.47692307692307695</v>
      </c>
      <c r="DG14" s="457">
        <f t="shared" ref="DG14" si="28">DF14*(1/(1+$AQ$1))^(DG$5-DF$5)</f>
        <v>0.41905447042223548</v>
      </c>
      <c r="DH14" s="457">
        <f t="shared" ref="DH14" si="29">DG14*(1/(1+$AQ$1))^(DH$5-DG$5)</f>
        <v>0.34343377400466668</v>
      </c>
      <c r="DK14" s="3" t="str">
        <f t="shared" si="12"/>
        <v>Ebattery_Utility</v>
      </c>
      <c r="DL14" s="58" t="s">
        <v>481</v>
      </c>
      <c r="DM14" s="459" t="str" cm="1">
        <f t="array" ref="DM14">INDEX($C$1:$N$1,1,DM$3)</f>
        <v>MATLIT</v>
      </c>
      <c r="DN14" s="3">
        <v>3</v>
      </c>
      <c r="DO14" s="3" cm="1">
        <f t="array" ref="DO14">INDEX($C14:$N14,1,DM$3)</f>
        <v>0.15384615384615385</v>
      </c>
      <c r="DP14" s="457">
        <f t="shared" ref="DP14" si="30">DO14*(1/(1+$AQ$1))^(DP$5-DO$5)</f>
        <v>0.13517886142652757</v>
      </c>
      <c r="DQ14" s="457">
        <f t="shared" ref="DQ14" si="31">DP14*(1/(1+$AQ$1))^(DQ$5-DP$5)</f>
        <v>0.11078508838860215</v>
      </c>
    </row>
    <row r="15" spans="1:121" ht="15" x14ac:dyDescent="0.25">
      <c r="A15" t="s">
        <v>483</v>
      </c>
      <c r="C15">
        <v>68</v>
      </c>
      <c r="D15">
        <v>35.5</v>
      </c>
      <c r="E15">
        <v>0.8</v>
      </c>
      <c r="F15">
        <v>0</v>
      </c>
      <c r="G15">
        <v>0</v>
      </c>
      <c r="H15">
        <v>1.18</v>
      </c>
      <c r="Q15">
        <f t="shared" ref="Q15:V17" si="32">Q$3*C15/1000</f>
        <v>1224</v>
      </c>
      <c r="R15">
        <f t="shared" si="32"/>
        <v>35.5</v>
      </c>
      <c r="S15">
        <f t="shared" si="32"/>
        <v>33.6</v>
      </c>
      <c r="T15">
        <f t="shared" si="32"/>
        <v>0</v>
      </c>
      <c r="U15">
        <f t="shared" si="32"/>
        <v>0</v>
      </c>
      <c r="V15">
        <f t="shared" si="32"/>
        <v>169.92</v>
      </c>
      <c r="W15">
        <f t="shared" ref="W15:X17" si="33">W$3*M15/1000</f>
        <v>0</v>
      </c>
      <c r="X15">
        <f t="shared" si="33"/>
        <v>0</v>
      </c>
      <c r="AA15" s="64">
        <f t="shared" ref="AA15:AH17" si="34">Q15/$AI15</f>
        <v>0.83662561003950731</v>
      </c>
      <c r="AB15" s="64">
        <f t="shared" si="34"/>
        <v>2.4264876761766755E-2</v>
      </c>
      <c r="AC15" s="64">
        <f t="shared" si="34"/>
        <v>2.2966193216770792E-2</v>
      </c>
      <c r="AD15" s="64">
        <f t="shared" si="34"/>
        <v>0</v>
      </c>
      <c r="AE15" s="64">
        <f t="shared" si="34"/>
        <v>0</v>
      </c>
      <c r="AF15" s="64">
        <f t="shared" si="34"/>
        <v>0.11614331998195512</v>
      </c>
      <c r="AG15" s="64">
        <f t="shared" si="34"/>
        <v>0</v>
      </c>
      <c r="AH15" s="64">
        <f t="shared" si="34"/>
        <v>0</v>
      </c>
      <c r="AI15">
        <f>SUM(Q15:X15)</f>
        <v>1463.02</v>
      </c>
      <c r="AO15" s="3" t="str">
        <f t="shared" si="3"/>
        <v>Ecoal</v>
      </c>
      <c r="AP15" s="58" t="s">
        <v>481</v>
      </c>
      <c r="AQ15" s="459" t="str" cm="1">
        <f t="array" ref="AQ15">INDEX($C$1:$N$1,1,AQ$3)</f>
        <v>MATSTL</v>
      </c>
      <c r="AR15" s="3">
        <v>3</v>
      </c>
      <c r="AS15" s="3" cm="1">
        <f t="array" ref="AS15">INDEX($C15:$N15,1,AQ$3)</f>
        <v>68</v>
      </c>
      <c r="AW15" s="3" t="str">
        <f t="shared" si="4"/>
        <v>Ecoal</v>
      </c>
      <c r="AX15" s="58" t="s">
        <v>481</v>
      </c>
      <c r="AY15" s="459" t="str" cm="1">
        <f t="array" ref="AY15">INDEX($C$1:$N$1,1,AY$3)</f>
        <v>MATCEM</v>
      </c>
      <c r="AZ15" s="3">
        <v>3</v>
      </c>
      <c r="BA15" s="3" cm="1">
        <f t="array" ref="BA15">INDEX($C15:$N15,1,AY$3)</f>
        <v>35.5</v>
      </c>
      <c r="BE15" s="3" t="str">
        <f t="shared" si="5"/>
        <v>Ecoal</v>
      </c>
      <c r="BF15" s="58" t="s">
        <v>481</v>
      </c>
      <c r="BG15" s="459" t="str" cm="1">
        <f t="array" ref="BG15">INDEX($C$1:$N$1,1,BG$3)</f>
        <v>MATALU</v>
      </c>
      <c r="BH15" s="3">
        <v>3</v>
      </c>
      <c r="BI15" s="3" cm="1">
        <f t="array" ref="BI15">INDEX($C15:$N15,1,BG$3)</f>
        <v>0.8</v>
      </c>
      <c r="BM15" s="3" t="str">
        <f t="shared" si="6"/>
        <v>Ecoal</v>
      </c>
      <c r="BN15" s="58" t="s">
        <v>481</v>
      </c>
      <c r="BO15" s="459" t="str" cm="1">
        <f t="array" ref="BO15">INDEX($C$1:$N$1,1,BO$3)</f>
        <v>MATGLS</v>
      </c>
      <c r="BP15" s="3">
        <v>3</v>
      </c>
      <c r="BQ15" s="3" cm="1">
        <f t="array" ref="BQ15">INDEX($C15:$N15,1,BO$3)</f>
        <v>0</v>
      </c>
      <c r="BU15" s="3" t="str">
        <f t="shared" si="7"/>
        <v>Ecoal</v>
      </c>
      <c r="BV15" s="58" t="s">
        <v>481</v>
      </c>
      <c r="BW15" s="459" t="str" cm="1">
        <f t="array" ref="BW15">INDEX($C$1:$N$1,1,BW$3)</f>
        <v>MATPLT</v>
      </c>
      <c r="BX15" s="3">
        <v>3</v>
      </c>
      <c r="BY15" s="3" cm="1">
        <f t="array" ref="BY15">INDEX($C15:$N15,1,BW$3)</f>
        <v>0</v>
      </c>
      <c r="CC15" s="3" t="str">
        <f t="shared" si="8"/>
        <v>Ecoal</v>
      </c>
      <c r="CD15" s="58" t="s">
        <v>481</v>
      </c>
      <c r="CE15" s="459" t="str" cm="1">
        <f t="array" ref="CE15">INDEX($C$1:$N$1,1,CE$3)</f>
        <v>MATCOP</v>
      </c>
      <c r="CF15" s="3">
        <v>3</v>
      </c>
      <c r="CG15" s="3" cm="1">
        <f t="array" ref="CG15">INDEX($C15:$N15,1,CE$3)</f>
        <v>1.18</v>
      </c>
      <c r="CK15" s="3" t="str">
        <f t="shared" si="9"/>
        <v>Ecoal</v>
      </c>
      <c r="CL15" s="58" t="s">
        <v>481</v>
      </c>
      <c r="CM15" s="459" t="str" cm="1">
        <f t="array" ref="CM15">INDEX($C$1:$N$1,1,CM$3)</f>
        <v>MATNIC</v>
      </c>
      <c r="CN15" s="3">
        <v>3</v>
      </c>
      <c r="CO15" s="3"/>
      <c r="CT15" s="3" t="str">
        <f t="shared" si="10"/>
        <v>Ecoal</v>
      </c>
      <c r="CU15" s="58" t="s">
        <v>481</v>
      </c>
      <c r="CV15" s="459" t="str" cm="1">
        <f t="array" ref="CV15">INDEX($C$1:$N$1,1,CV$3)</f>
        <v>MATMNG</v>
      </c>
      <c r="CW15" s="3">
        <v>3</v>
      </c>
      <c r="CX15" s="3"/>
      <c r="DB15" s="3" t="str">
        <f t="shared" si="11"/>
        <v>Ecoal</v>
      </c>
      <c r="DC15" s="58" t="s">
        <v>481</v>
      </c>
      <c r="DD15" s="459" t="str" cm="1">
        <f t="array" ref="DD15">INDEX($C$1:$N$1,1,DD$3)</f>
        <v>MATCOB</v>
      </c>
      <c r="DE15" s="3">
        <v>3</v>
      </c>
      <c r="DF15" s="3"/>
      <c r="DK15" s="3" t="str">
        <f t="shared" si="12"/>
        <v>Ecoal</v>
      </c>
      <c r="DL15" s="58" t="s">
        <v>481</v>
      </c>
      <c r="DM15" s="459" t="str" cm="1">
        <f t="array" ref="DM15">INDEX($C$1:$N$1,1,DM$3)</f>
        <v>MATLIT</v>
      </c>
      <c r="DN15" s="3">
        <v>3</v>
      </c>
      <c r="DO15" s="3"/>
    </row>
    <row r="16" spans="1:121" ht="15" x14ac:dyDescent="0.25">
      <c r="A16" t="s">
        <v>30</v>
      </c>
      <c r="C16">
        <v>26.5</v>
      </c>
      <c r="D16">
        <v>6.4</v>
      </c>
      <c r="E16">
        <v>1</v>
      </c>
      <c r="F16">
        <v>0</v>
      </c>
      <c r="G16">
        <v>3.4</v>
      </c>
      <c r="H16">
        <v>1.1499999999999999</v>
      </c>
      <c r="Q16">
        <f t="shared" si="32"/>
        <v>477</v>
      </c>
      <c r="R16">
        <f t="shared" si="32"/>
        <v>6.4</v>
      </c>
      <c r="S16">
        <f t="shared" si="32"/>
        <v>42</v>
      </c>
      <c r="T16">
        <f t="shared" si="32"/>
        <v>0</v>
      </c>
      <c r="U16">
        <f t="shared" si="32"/>
        <v>30.6</v>
      </c>
      <c r="V16">
        <f t="shared" si="32"/>
        <v>165.6</v>
      </c>
      <c r="W16">
        <f t="shared" si="33"/>
        <v>0</v>
      </c>
      <c r="X16">
        <f t="shared" si="33"/>
        <v>0</v>
      </c>
      <c r="AA16" s="64">
        <f t="shared" si="34"/>
        <v>0.66103104212860309</v>
      </c>
      <c r="AB16" s="64">
        <f t="shared" si="34"/>
        <v>8.869179600886918E-3</v>
      </c>
      <c r="AC16" s="64">
        <f t="shared" si="34"/>
        <v>5.82039911308204E-2</v>
      </c>
      <c r="AD16" s="64">
        <f t="shared" si="34"/>
        <v>0</v>
      </c>
      <c r="AE16" s="64">
        <f t="shared" si="34"/>
        <v>4.2405764966740575E-2</v>
      </c>
      <c r="AF16" s="64">
        <f t="shared" si="34"/>
        <v>0.22949002217294898</v>
      </c>
      <c r="AG16" s="64">
        <f t="shared" si="34"/>
        <v>0</v>
      </c>
      <c r="AH16" s="64">
        <f t="shared" si="34"/>
        <v>0</v>
      </c>
      <c r="AI16">
        <f>SUM(Q16:X16)</f>
        <v>721.6</v>
      </c>
      <c r="AO16" s="3" t="str">
        <f t="shared" si="3"/>
        <v>EGas</v>
      </c>
      <c r="AP16" s="58" t="s">
        <v>481</v>
      </c>
      <c r="AQ16" s="459" t="str" cm="1">
        <f t="array" ref="AQ16">INDEX($C$1:$N$1,1,AQ$3)</f>
        <v>MATSTL</v>
      </c>
      <c r="AR16" s="3">
        <v>3</v>
      </c>
      <c r="AS16" s="3" cm="1">
        <f t="array" ref="AS16">INDEX($C16:$N16,1,AQ$3)</f>
        <v>26.5</v>
      </c>
      <c r="AW16" s="3" t="str">
        <f t="shared" si="4"/>
        <v>EGas</v>
      </c>
      <c r="AX16" s="58" t="s">
        <v>481</v>
      </c>
      <c r="AY16" s="459" t="str" cm="1">
        <f t="array" ref="AY16">INDEX($C$1:$N$1,1,AY$3)</f>
        <v>MATCEM</v>
      </c>
      <c r="AZ16" s="3">
        <v>3</v>
      </c>
      <c r="BA16" s="3" cm="1">
        <f t="array" ref="BA16">INDEX($C16:$N16,1,AY$3)</f>
        <v>6.4</v>
      </c>
      <c r="BE16" s="3" t="str">
        <f t="shared" si="5"/>
        <v>EGas</v>
      </c>
      <c r="BF16" s="58" t="s">
        <v>481</v>
      </c>
      <c r="BG16" s="459" t="str" cm="1">
        <f t="array" ref="BG16">INDEX($C$1:$N$1,1,BG$3)</f>
        <v>MATALU</v>
      </c>
      <c r="BH16" s="3">
        <v>3</v>
      </c>
      <c r="BI16" s="3" cm="1">
        <f t="array" ref="BI16">INDEX($C16:$N16,1,BG$3)</f>
        <v>1</v>
      </c>
      <c r="BM16" s="3" t="str">
        <f t="shared" si="6"/>
        <v>EGas</v>
      </c>
      <c r="BN16" s="58" t="s">
        <v>481</v>
      </c>
      <c r="BO16" s="459" t="str" cm="1">
        <f t="array" ref="BO16">INDEX($C$1:$N$1,1,BO$3)</f>
        <v>MATGLS</v>
      </c>
      <c r="BP16" s="3">
        <v>3</v>
      </c>
      <c r="BQ16" s="3" cm="1">
        <f t="array" ref="BQ16">INDEX($C16:$N16,1,BO$3)</f>
        <v>0</v>
      </c>
      <c r="BU16" s="3" t="str">
        <f t="shared" si="7"/>
        <v>EGas</v>
      </c>
      <c r="BV16" s="58" t="s">
        <v>481</v>
      </c>
      <c r="BW16" s="459" t="str" cm="1">
        <f t="array" ref="BW16">INDEX($C$1:$N$1,1,BW$3)</f>
        <v>MATPLT</v>
      </c>
      <c r="BX16" s="3">
        <v>3</v>
      </c>
      <c r="BY16" s="3" cm="1">
        <f t="array" ref="BY16">INDEX($C16:$N16,1,BW$3)</f>
        <v>3.4</v>
      </c>
      <c r="CC16" s="3" t="str">
        <f t="shared" si="8"/>
        <v>EGas</v>
      </c>
      <c r="CD16" s="58" t="s">
        <v>481</v>
      </c>
      <c r="CE16" s="459" t="str" cm="1">
        <f t="array" ref="CE16">INDEX($C$1:$N$1,1,CE$3)</f>
        <v>MATCOP</v>
      </c>
      <c r="CF16" s="3">
        <v>3</v>
      </c>
      <c r="CG16" s="3" cm="1">
        <f t="array" ref="CG16">INDEX($C16:$N16,1,CE$3)</f>
        <v>1.1499999999999999</v>
      </c>
      <c r="CK16" s="3" t="str">
        <f t="shared" si="9"/>
        <v>EGas</v>
      </c>
      <c r="CL16" s="58" t="s">
        <v>481</v>
      </c>
      <c r="CM16" s="459" t="str" cm="1">
        <f t="array" ref="CM16">INDEX($C$1:$N$1,1,CM$3)</f>
        <v>MATNIC</v>
      </c>
      <c r="CN16" s="3">
        <v>3</v>
      </c>
      <c r="CO16" s="3"/>
      <c r="CT16" s="3" t="str">
        <f t="shared" si="10"/>
        <v>EGas</v>
      </c>
      <c r="CU16" s="58" t="s">
        <v>481</v>
      </c>
      <c r="CV16" s="459" t="str" cm="1">
        <f t="array" ref="CV16">INDEX($C$1:$N$1,1,CV$3)</f>
        <v>MATMNG</v>
      </c>
      <c r="CW16" s="3">
        <v>3</v>
      </c>
      <c r="CX16" s="3"/>
      <c r="DB16" s="3" t="str">
        <f t="shared" si="11"/>
        <v>EGas</v>
      </c>
      <c r="DC16" s="58" t="s">
        <v>481</v>
      </c>
      <c r="DD16" s="459" t="str" cm="1">
        <f t="array" ref="DD16">INDEX($C$1:$N$1,1,DD$3)</f>
        <v>MATCOB</v>
      </c>
      <c r="DE16" s="3">
        <v>3</v>
      </c>
      <c r="DF16" s="3"/>
      <c r="DK16" s="3" t="str">
        <f t="shared" si="12"/>
        <v>EGas</v>
      </c>
      <c r="DL16" s="58" t="s">
        <v>481</v>
      </c>
      <c r="DM16" s="459" t="str" cm="1">
        <f t="array" ref="DM16">INDEX($C$1:$N$1,1,DM$3)</f>
        <v>MATLIT</v>
      </c>
      <c r="DN16" s="3">
        <v>3</v>
      </c>
      <c r="DO16" s="3"/>
    </row>
    <row r="17" spans="1:119" ht="15" x14ac:dyDescent="0.25">
      <c r="A17" t="s">
        <v>28</v>
      </c>
      <c r="C17">
        <v>61</v>
      </c>
      <c r="D17">
        <v>74.5</v>
      </c>
      <c r="E17">
        <v>0</v>
      </c>
      <c r="F17">
        <v>0</v>
      </c>
      <c r="G17">
        <v>0</v>
      </c>
      <c r="H17">
        <v>1.5</v>
      </c>
      <c r="Q17">
        <f t="shared" si="32"/>
        <v>1098</v>
      </c>
      <c r="R17">
        <f t="shared" si="32"/>
        <v>74.5</v>
      </c>
      <c r="S17">
        <f t="shared" si="32"/>
        <v>0</v>
      </c>
      <c r="T17">
        <f t="shared" si="32"/>
        <v>0</v>
      </c>
      <c r="U17">
        <f t="shared" si="32"/>
        <v>0</v>
      </c>
      <c r="V17">
        <f t="shared" si="32"/>
        <v>216</v>
      </c>
      <c r="W17">
        <f t="shared" si="33"/>
        <v>0</v>
      </c>
      <c r="X17">
        <f t="shared" si="33"/>
        <v>0</v>
      </c>
      <c r="AA17" s="64">
        <f t="shared" si="34"/>
        <v>0.79078141879726327</v>
      </c>
      <c r="AB17" s="64">
        <f t="shared" si="34"/>
        <v>5.3655023406553835E-2</v>
      </c>
      <c r="AC17" s="64">
        <f t="shared" si="34"/>
        <v>0</v>
      </c>
      <c r="AD17" s="64">
        <f t="shared" si="34"/>
        <v>0</v>
      </c>
      <c r="AE17" s="64">
        <f t="shared" si="34"/>
        <v>0</v>
      </c>
      <c r="AF17" s="64">
        <f t="shared" si="34"/>
        <v>0.15556355779618294</v>
      </c>
      <c r="AG17" s="64">
        <f t="shared" si="34"/>
        <v>0</v>
      </c>
      <c r="AH17" s="64">
        <f t="shared" si="34"/>
        <v>0</v>
      </c>
      <c r="AI17">
        <f>SUM(Q17:X17)</f>
        <v>1388.5</v>
      </c>
      <c r="AO17" s="3" t="str">
        <f t="shared" si="3"/>
        <v>ENuclear</v>
      </c>
      <c r="AP17" s="58" t="s">
        <v>481</v>
      </c>
      <c r="AQ17" s="459" t="str" cm="1">
        <f t="array" ref="AQ17">INDEX($C$1:$N$1,1,AQ$3)</f>
        <v>MATSTL</v>
      </c>
      <c r="AR17" s="3">
        <v>3</v>
      </c>
      <c r="AS17" s="3" cm="1">
        <f t="array" ref="AS17">INDEX($C17:$N17,1,AQ$3)</f>
        <v>61</v>
      </c>
      <c r="AW17" s="3" t="str">
        <f t="shared" si="4"/>
        <v>ENuclear</v>
      </c>
      <c r="AX17" s="58" t="s">
        <v>481</v>
      </c>
      <c r="AY17" s="459" t="str" cm="1">
        <f t="array" ref="AY17">INDEX($C$1:$N$1,1,AY$3)</f>
        <v>MATCEM</v>
      </c>
      <c r="AZ17" s="3">
        <v>3</v>
      </c>
      <c r="BA17" s="3" cm="1">
        <f t="array" ref="BA17">INDEX($C17:$N17,1,AY$3)</f>
        <v>74.5</v>
      </c>
      <c r="BE17" s="3" t="str">
        <f t="shared" si="5"/>
        <v>ENuclear</v>
      </c>
      <c r="BF17" s="58" t="s">
        <v>481</v>
      </c>
      <c r="BG17" s="459" t="str" cm="1">
        <f t="array" ref="BG17">INDEX($C$1:$N$1,1,BG$3)</f>
        <v>MATALU</v>
      </c>
      <c r="BH17" s="3">
        <v>3</v>
      </c>
      <c r="BI17" s="3" cm="1">
        <f t="array" ref="BI17">INDEX($C17:$N17,1,BG$3)</f>
        <v>0</v>
      </c>
      <c r="BM17" s="3" t="str">
        <f t="shared" si="6"/>
        <v>ENuclear</v>
      </c>
      <c r="BN17" s="58" t="s">
        <v>481</v>
      </c>
      <c r="BO17" s="459" t="str" cm="1">
        <f t="array" ref="BO17">INDEX($C$1:$N$1,1,BO$3)</f>
        <v>MATGLS</v>
      </c>
      <c r="BP17" s="3">
        <v>3</v>
      </c>
      <c r="BQ17" s="3" cm="1">
        <f t="array" ref="BQ17">INDEX($C17:$N17,1,BO$3)</f>
        <v>0</v>
      </c>
      <c r="BU17" s="3" t="str">
        <f t="shared" si="7"/>
        <v>ENuclear</v>
      </c>
      <c r="BV17" s="58" t="s">
        <v>481</v>
      </c>
      <c r="BW17" s="459" t="str" cm="1">
        <f t="array" ref="BW17">INDEX($C$1:$N$1,1,BW$3)</f>
        <v>MATPLT</v>
      </c>
      <c r="BX17" s="3">
        <v>3</v>
      </c>
      <c r="BY17" s="3" cm="1">
        <f t="array" ref="BY17">INDEX($C17:$N17,1,BW$3)</f>
        <v>0</v>
      </c>
      <c r="CC17" s="3" t="str">
        <f t="shared" si="8"/>
        <v>ENuclear</v>
      </c>
      <c r="CD17" s="58" t="s">
        <v>481</v>
      </c>
      <c r="CE17" s="459" t="str" cm="1">
        <f t="array" ref="CE17">INDEX($C$1:$N$1,1,CE$3)</f>
        <v>MATCOP</v>
      </c>
      <c r="CF17" s="3">
        <v>3</v>
      </c>
      <c r="CG17" s="3" cm="1">
        <f t="array" ref="CG17">INDEX($C17:$N17,1,CE$3)</f>
        <v>1.5</v>
      </c>
      <c r="CK17" s="3" t="str">
        <f t="shared" si="9"/>
        <v>ENuclear</v>
      </c>
      <c r="CL17" s="58" t="s">
        <v>481</v>
      </c>
      <c r="CM17" s="459" t="str" cm="1">
        <f t="array" ref="CM17">INDEX($C$1:$N$1,1,CM$3)</f>
        <v>MATNIC</v>
      </c>
      <c r="CN17" s="3">
        <v>3</v>
      </c>
      <c r="CO17" s="3"/>
      <c r="CT17" s="3" t="str">
        <f t="shared" si="10"/>
        <v>ENuclear</v>
      </c>
      <c r="CU17" s="58" t="s">
        <v>481</v>
      </c>
      <c r="CV17" s="459" t="str" cm="1">
        <f t="array" ref="CV17">INDEX($C$1:$N$1,1,CV$3)</f>
        <v>MATMNG</v>
      </c>
      <c r="CW17" s="3">
        <v>3</v>
      </c>
      <c r="CX17" s="3"/>
      <c r="DB17" s="3" t="str">
        <f t="shared" si="11"/>
        <v>ENuclear</v>
      </c>
      <c r="DC17" s="58" t="s">
        <v>481</v>
      </c>
      <c r="DD17" s="459" t="str" cm="1">
        <f t="array" ref="DD17">INDEX($C$1:$N$1,1,DD$3)</f>
        <v>MATCOB</v>
      </c>
      <c r="DE17" s="3">
        <v>3</v>
      </c>
      <c r="DF17" s="3"/>
      <c r="DK17" s="3" t="str">
        <f t="shared" si="12"/>
        <v>ENuclear</v>
      </c>
      <c r="DL17" s="58" t="s">
        <v>481</v>
      </c>
      <c r="DM17" s="459" t="str" cm="1">
        <f t="array" ref="DM17">INDEX($C$1:$N$1,1,DM$3)</f>
        <v>MATLIT</v>
      </c>
      <c r="DN17" s="3">
        <v>3</v>
      </c>
      <c r="DO17" s="3"/>
    </row>
    <row r="18" spans="1:119" ht="15" x14ac:dyDescent="0.25">
      <c r="A18" t="s">
        <v>26</v>
      </c>
      <c r="C18">
        <f>C16</f>
        <v>26.5</v>
      </c>
      <c r="D18">
        <f t="shared" ref="D18:H18" si="35">D16</f>
        <v>6.4</v>
      </c>
      <c r="E18">
        <f t="shared" si="35"/>
        <v>1</v>
      </c>
      <c r="F18">
        <f t="shared" si="35"/>
        <v>0</v>
      </c>
      <c r="G18">
        <f t="shared" si="35"/>
        <v>3.4</v>
      </c>
      <c r="H18">
        <f t="shared" si="35"/>
        <v>1.1499999999999999</v>
      </c>
      <c r="AO18" s="3" t="str">
        <f t="shared" si="3"/>
        <v>EOil</v>
      </c>
      <c r="AP18" s="58" t="s">
        <v>481</v>
      </c>
      <c r="AQ18" s="459" t="str" cm="1">
        <f t="array" ref="AQ18">INDEX($C$1:$N$1,1,AQ$3)</f>
        <v>MATSTL</v>
      </c>
      <c r="AR18" s="3">
        <v>3</v>
      </c>
      <c r="AS18" s="3" cm="1">
        <f t="array" ref="AS18">INDEX($C18:$N18,1,AQ$3)</f>
        <v>26.5</v>
      </c>
      <c r="AW18" s="3" t="str">
        <f t="shared" si="4"/>
        <v>EOil</v>
      </c>
      <c r="AX18" s="58" t="s">
        <v>481</v>
      </c>
      <c r="AY18" s="459" t="str" cm="1">
        <f t="array" ref="AY18">INDEX($C$1:$N$1,1,AY$3)</f>
        <v>MATCEM</v>
      </c>
      <c r="AZ18" s="3">
        <v>3</v>
      </c>
      <c r="BA18" s="3" cm="1">
        <f t="array" ref="BA18">INDEX($C18:$N18,1,AY$3)</f>
        <v>6.4</v>
      </c>
      <c r="BE18" s="3" t="str">
        <f t="shared" si="5"/>
        <v>EOil</v>
      </c>
      <c r="BF18" s="58" t="s">
        <v>481</v>
      </c>
      <c r="BG18" s="459" t="str" cm="1">
        <f t="array" ref="BG18">INDEX($C$1:$N$1,1,BG$3)</f>
        <v>MATALU</v>
      </c>
      <c r="BH18" s="3">
        <v>3</v>
      </c>
      <c r="BI18" s="3" cm="1">
        <f t="array" ref="BI18">INDEX($C18:$N18,1,BG$3)</f>
        <v>1</v>
      </c>
      <c r="BM18" s="3" t="str">
        <f t="shared" si="6"/>
        <v>EOil</v>
      </c>
      <c r="BN18" s="58" t="s">
        <v>481</v>
      </c>
      <c r="BO18" s="459" t="str" cm="1">
        <f t="array" ref="BO18">INDEX($C$1:$N$1,1,BO$3)</f>
        <v>MATGLS</v>
      </c>
      <c r="BP18" s="3">
        <v>3</v>
      </c>
      <c r="BQ18" s="3" cm="1">
        <f t="array" ref="BQ18">INDEX($C18:$N18,1,BO$3)</f>
        <v>0</v>
      </c>
      <c r="BU18" s="3" t="str">
        <f t="shared" si="7"/>
        <v>EOil</v>
      </c>
      <c r="BV18" s="58" t="s">
        <v>481</v>
      </c>
      <c r="BW18" s="459" t="str" cm="1">
        <f t="array" ref="BW18">INDEX($C$1:$N$1,1,BW$3)</f>
        <v>MATPLT</v>
      </c>
      <c r="BX18" s="3">
        <v>3</v>
      </c>
      <c r="BY18" s="3" cm="1">
        <f t="array" ref="BY18">INDEX($C18:$N18,1,BW$3)</f>
        <v>3.4</v>
      </c>
      <c r="CC18" s="3" t="str">
        <f t="shared" si="8"/>
        <v>EOil</v>
      </c>
      <c r="CD18" s="58" t="s">
        <v>481</v>
      </c>
      <c r="CE18" s="459" t="str" cm="1">
        <f t="array" ref="CE18">INDEX($C$1:$N$1,1,CE$3)</f>
        <v>MATCOP</v>
      </c>
      <c r="CF18" s="3">
        <v>3</v>
      </c>
      <c r="CG18" s="3" cm="1">
        <f t="array" ref="CG18">INDEX($C18:$N18,1,CE$3)</f>
        <v>1.1499999999999999</v>
      </c>
      <c r="CK18" s="3" t="str">
        <f t="shared" si="9"/>
        <v>EOil</v>
      </c>
      <c r="CL18" s="58" t="s">
        <v>481</v>
      </c>
      <c r="CM18" s="459" t="str" cm="1">
        <f t="array" ref="CM18">INDEX($C$1:$N$1,1,CM$3)</f>
        <v>MATNIC</v>
      </c>
      <c r="CN18" s="3">
        <v>3</v>
      </c>
      <c r="CO18" s="3"/>
      <c r="CT18" s="3" t="str">
        <f t="shared" si="10"/>
        <v>EOil</v>
      </c>
      <c r="CU18" s="58" t="s">
        <v>481</v>
      </c>
      <c r="CV18" s="459" t="str" cm="1">
        <f t="array" ref="CV18">INDEX($C$1:$N$1,1,CV$3)</f>
        <v>MATMNG</v>
      </c>
      <c r="CW18" s="3">
        <v>3</v>
      </c>
      <c r="CX18" s="3"/>
      <c r="DB18" s="3" t="str">
        <f t="shared" si="11"/>
        <v>EOil</v>
      </c>
      <c r="DC18" s="58" t="s">
        <v>481</v>
      </c>
      <c r="DD18" s="459" t="str" cm="1">
        <f t="array" ref="DD18">INDEX($C$1:$N$1,1,DD$3)</f>
        <v>MATCOB</v>
      </c>
      <c r="DE18" s="3">
        <v>3</v>
      </c>
      <c r="DF18" s="3"/>
      <c r="DK18" s="3" t="str">
        <f t="shared" si="12"/>
        <v>EOil</v>
      </c>
      <c r="DL18" s="58" t="s">
        <v>481</v>
      </c>
      <c r="DM18" s="459" t="str" cm="1">
        <f t="array" ref="DM18">INDEX($C$1:$N$1,1,DM$3)</f>
        <v>MATLIT</v>
      </c>
      <c r="DN18" s="3">
        <v>3</v>
      </c>
      <c r="DO18" s="3"/>
    </row>
    <row r="19" spans="1:119" ht="15" x14ac:dyDescent="0.25">
      <c r="A19" t="s">
        <v>211</v>
      </c>
      <c r="C19" s="458">
        <f>'IEA ETP23 materials'!S99*D27/D26</f>
        <v>25.446837209302323</v>
      </c>
      <c r="E19" s="458">
        <f>'IEA ETP23 materials'!T99*D27/D26</f>
        <v>4.2411395348837209</v>
      </c>
      <c r="H19">
        <f>'IEA ETP23 materials'!S84*D27/D26</f>
        <v>11.566744186046511</v>
      </c>
      <c r="AO19" s="3" t="str">
        <f t="shared" si="3"/>
        <v>Etrans</v>
      </c>
      <c r="AP19" s="58" t="s">
        <v>481</v>
      </c>
      <c r="AQ19" s="459" t="str" cm="1">
        <f t="array" ref="AQ19">INDEX($C$1:$N$1,1,AQ$3)</f>
        <v>MATSTL</v>
      </c>
      <c r="AR19" s="3">
        <v>3</v>
      </c>
      <c r="AS19" s="3" cm="1">
        <f t="array" ref="AS19">INDEX($C19:$N19,1,AQ$3)</f>
        <v>25.446837209302323</v>
      </c>
      <c r="AW19" s="3" t="str">
        <f t="shared" si="4"/>
        <v>Etrans</v>
      </c>
      <c r="AX19" s="58" t="s">
        <v>481</v>
      </c>
      <c r="AY19" s="459" t="str" cm="1">
        <f t="array" ref="AY19">INDEX($C$1:$N$1,1,AY$3)</f>
        <v>MATCEM</v>
      </c>
      <c r="AZ19" s="3">
        <v>3</v>
      </c>
      <c r="BA19" s="3" cm="1">
        <f t="array" ref="BA19">INDEX($C19:$N19,1,AY$3)</f>
        <v>0</v>
      </c>
      <c r="BE19" s="3" t="str">
        <f t="shared" si="5"/>
        <v>Etrans</v>
      </c>
      <c r="BF19" s="58" t="s">
        <v>481</v>
      </c>
      <c r="BG19" s="459" t="str" cm="1">
        <f t="array" ref="BG19">INDEX($C$1:$N$1,1,BG$3)</f>
        <v>MATALU</v>
      </c>
      <c r="BH19" s="3">
        <v>3</v>
      </c>
      <c r="BI19" s="3" cm="1">
        <f t="array" ref="BI19">INDEX($C19:$N19,1,BG$3)</f>
        <v>4.2411395348837209</v>
      </c>
      <c r="BM19" s="3" t="str">
        <f t="shared" si="6"/>
        <v>Etrans</v>
      </c>
      <c r="BN19" s="58" t="s">
        <v>481</v>
      </c>
      <c r="BO19" s="459" t="str" cm="1">
        <f t="array" ref="BO19">INDEX($C$1:$N$1,1,BO$3)</f>
        <v>MATGLS</v>
      </c>
      <c r="BP19" s="3">
        <v>3</v>
      </c>
      <c r="BQ19" s="3" cm="1">
        <f t="array" ref="BQ19">INDEX($C19:$N19,1,BO$3)</f>
        <v>0</v>
      </c>
      <c r="BU19" s="3" t="str">
        <f t="shared" si="7"/>
        <v>Etrans</v>
      </c>
      <c r="BV19" s="58" t="s">
        <v>481</v>
      </c>
      <c r="BW19" s="459" t="str" cm="1">
        <f t="array" ref="BW19">INDEX($C$1:$N$1,1,BW$3)</f>
        <v>MATPLT</v>
      </c>
      <c r="BX19" s="3">
        <v>3</v>
      </c>
      <c r="BY19" s="3" cm="1">
        <f t="array" ref="BY19">INDEX($C19:$N19,1,BW$3)</f>
        <v>0</v>
      </c>
      <c r="CC19" s="3" t="str">
        <f t="shared" si="8"/>
        <v>Etrans</v>
      </c>
      <c r="CD19" s="58" t="s">
        <v>481</v>
      </c>
      <c r="CE19" s="459" t="str" cm="1">
        <f t="array" ref="CE19">INDEX($C$1:$N$1,1,CE$3)</f>
        <v>MATCOP</v>
      </c>
      <c r="CF19" s="3">
        <v>3</v>
      </c>
      <c r="CG19" s="3" cm="1">
        <f t="array" ref="CG19">INDEX($C19:$N19,1,CE$3)</f>
        <v>11.566744186046511</v>
      </c>
      <c r="CK19" s="3" t="str">
        <f t="shared" si="9"/>
        <v>Etrans</v>
      </c>
      <c r="CL19" s="58" t="s">
        <v>481</v>
      </c>
      <c r="CM19" s="459" t="str" cm="1">
        <f t="array" ref="CM19">INDEX($C$1:$N$1,1,CM$3)</f>
        <v>MATNIC</v>
      </c>
      <c r="CN19" s="3">
        <v>3</v>
      </c>
      <c r="CO19" s="3"/>
      <c r="CT19" s="3" t="str">
        <f t="shared" si="10"/>
        <v>Etrans</v>
      </c>
      <c r="CU19" s="58" t="s">
        <v>481</v>
      </c>
      <c r="CV19" s="459" t="str" cm="1">
        <f t="array" ref="CV19">INDEX($C$1:$N$1,1,CV$3)</f>
        <v>MATMNG</v>
      </c>
      <c r="CW19" s="3">
        <v>3</v>
      </c>
      <c r="CX19" s="3"/>
      <c r="DB19" s="3" t="str">
        <f t="shared" si="11"/>
        <v>Etrans</v>
      </c>
      <c r="DC19" s="58" t="s">
        <v>481</v>
      </c>
      <c r="DD19" s="459" t="str" cm="1">
        <f t="array" ref="DD19">INDEX($C$1:$N$1,1,DD$3)</f>
        <v>MATCOB</v>
      </c>
      <c r="DE19" s="3">
        <v>3</v>
      </c>
      <c r="DF19" s="3"/>
      <c r="DK19" s="3" t="str">
        <f t="shared" si="12"/>
        <v>Etrans</v>
      </c>
      <c r="DL19" s="58" t="s">
        <v>481</v>
      </c>
      <c r="DM19" s="459" t="str" cm="1">
        <f t="array" ref="DM19">INDEX($C$1:$N$1,1,DM$3)</f>
        <v>MATLIT</v>
      </c>
      <c r="DN19" s="3">
        <v>3</v>
      </c>
      <c r="DO19" s="3"/>
    </row>
    <row r="20" spans="1:119" ht="15" x14ac:dyDescent="0.25">
      <c r="A20" t="s">
        <v>473</v>
      </c>
      <c r="H20" s="457">
        <f>'IEA ETP23 materials'!S85*E26/E27</f>
        <v>29.289301310043673</v>
      </c>
      <c r="AO20" s="3" t="str">
        <f t="shared" si="3"/>
        <v>Edist_Residential</v>
      </c>
      <c r="AP20" s="58" t="s">
        <v>481</v>
      </c>
      <c r="AQ20" s="459" t="str" cm="1">
        <f t="array" ref="AQ20">INDEX($C$1:$N$1,1,AQ$3)</f>
        <v>MATSTL</v>
      </c>
      <c r="AR20" s="3">
        <v>3</v>
      </c>
      <c r="AS20" s="3" cm="1">
        <f t="array" ref="AS20">INDEX($C20:$N20,1,AQ$3)</f>
        <v>0</v>
      </c>
      <c r="AW20" s="3" t="str">
        <f t="shared" si="4"/>
        <v>Edist_Residential</v>
      </c>
      <c r="AX20" s="58" t="s">
        <v>481</v>
      </c>
      <c r="AY20" s="459" t="str" cm="1">
        <f t="array" ref="AY20">INDEX($C$1:$N$1,1,AY$3)</f>
        <v>MATCEM</v>
      </c>
      <c r="AZ20" s="3">
        <v>3</v>
      </c>
      <c r="BA20" s="3" cm="1">
        <f t="array" ref="BA20">INDEX($C20:$N20,1,AY$3)</f>
        <v>0</v>
      </c>
      <c r="BE20" s="3" t="str">
        <f t="shared" si="5"/>
        <v>Edist_Residential</v>
      </c>
      <c r="BF20" s="58" t="s">
        <v>481</v>
      </c>
      <c r="BG20" s="459" t="str" cm="1">
        <f t="array" ref="BG20">INDEX($C$1:$N$1,1,BG$3)</f>
        <v>MATALU</v>
      </c>
      <c r="BH20" s="3">
        <v>3</v>
      </c>
      <c r="BI20" s="3" cm="1">
        <f t="array" ref="BI20">INDEX($C20:$N20,1,BG$3)</f>
        <v>0</v>
      </c>
      <c r="BM20" s="3" t="str">
        <f t="shared" si="6"/>
        <v>Edist_Residential</v>
      </c>
      <c r="BN20" s="58" t="s">
        <v>481</v>
      </c>
      <c r="BO20" s="459" t="str" cm="1">
        <f t="array" ref="BO20">INDEX($C$1:$N$1,1,BO$3)</f>
        <v>MATGLS</v>
      </c>
      <c r="BP20" s="3">
        <v>3</v>
      </c>
      <c r="BQ20" s="3" cm="1">
        <f t="array" ref="BQ20">INDEX($C20:$N20,1,BO$3)</f>
        <v>0</v>
      </c>
      <c r="BU20" s="3" t="str">
        <f t="shared" si="7"/>
        <v>Edist_Residential</v>
      </c>
      <c r="BV20" s="58" t="s">
        <v>481</v>
      </c>
      <c r="BW20" s="459" t="str" cm="1">
        <f t="array" ref="BW20">INDEX($C$1:$N$1,1,BW$3)</f>
        <v>MATPLT</v>
      </c>
      <c r="BX20" s="3">
        <v>3</v>
      </c>
      <c r="BY20" s="3" cm="1">
        <f t="array" ref="BY20">INDEX($C20:$N20,1,BW$3)</f>
        <v>0</v>
      </c>
      <c r="CC20" s="3" t="str">
        <f t="shared" si="8"/>
        <v>Edist_Residential</v>
      </c>
      <c r="CD20" s="58" t="s">
        <v>481</v>
      </c>
      <c r="CE20" s="459" t="str" cm="1">
        <f t="array" ref="CE20">INDEX($C$1:$N$1,1,CE$3)</f>
        <v>MATCOP</v>
      </c>
      <c r="CF20" s="3">
        <v>3</v>
      </c>
      <c r="CG20" s="3" cm="1">
        <f t="array" ref="CG20">INDEX($C20:$N20,1,CE$3)</f>
        <v>29.289301310043673</v>
      </c>
      <c r="CK20" s="3" t="str">
        <f t="shared" si="9"/>
        <v>Edist_Residential</v>
      </c>
      <c r="CL20" s="58" t="s">
        <v>481</v>
      </c>
      <c r="CM20" s="459" t="str" cm="1">
        <f t="array" ref="CM20">INDEX($C$1:$N$1,1,CM$3)</f>
        <v>MATNIC</v>
      </c>
      <c r="CN20" s="3">
        <v>3</v>
      </c>
      <c r="CO20" s="3"/>
      <c r="CT20" s="3" t="str">
        <f t="shared" si="10"/>
        <v>Edist_Residential</v>
      </c>
      <c r="CU20" s="58" t="s">
        <v>481</v>
      </c>
      <c r="CV20" s="459" t="str" cm="1">
        <f t="array" ref="CV20">INDEX($C$1:$N$1,1,CV$3)</f>
        <v>MATMNG</v>
      </c>
      <c r="CW20" s="3">
        <v>3</v>
      </c>
      <c r="CX20" s="3"/>
      <c r="DB20" s="3" t="str">
        <f t="shared" si="11"/>
        <v>Edist_Residential</v>
      </c>
      <c r="DC20" s="58" t="s">
        <v>481</v>
      </c>
      <c r="DD20" s="459" t="str" cm="1">
        <f t="array" ref="DD20">INDEX($C$1:$N$1,1,DD$3)</f>
        <v>MATCOB</v>
      </c>
      <c r="DE20" s="3">
        <v>3</v>
      </c>
      <c r="DF20" s="3"/>
      <c r="DK20" s="3" t="str">
        <f t="shared" si="12"/>
        <v>Edist_Residential</v>
      </c>
      <c r="DL20" s="58" t="s">
        <v>481</v>
      </c>
      <c r="DM20" s="459" t="str" cm="1">
        <f t="array" ref="DM20">INDEX($C$1:$N$1,1,DM$3)</f>
        <v>MATLIT</v>
      </c>
      <c r="DN20" s="3">
        <v>3</v>
      </c>
      <c r="DO20" s="3"/>
    </row>
    <row r="21" spans="1:119" ht="15" x14ac:dyDescent="0.25">
      <c r="A21" t="s">
        <v>474</v>
      </c>
      <c r="H21" s="457">
        <f>H20</f>
        <v>29.289301310043673</v>
      </c>
      <c r="AO21" s="3" t="str">
        <f t="shared" si="3"/>
        <v>Edist_Agriculture</v>
      </c>
      <c r="AP21" s="58" t="s">
        <v>481</v>
      </c>
      <c r="AQ21" s="459" t="str" cm="1">
        <f t="array" ref="AQ21">INDEX($C$1:$N$1,1,AQ$3)</f>
        <v>MATSTL</v>
      </c>
      <c r="AR21" s="3">
        <v>3</v>
      </c>
      <c r="AS21" s="3" cm="1">
        <f t="array" ref="AS21">INDEX($C21:$N21,1,AQ$3)</f>
        <v>0</v>
      </c>
      <c r="AW21" s="3" t="str">
        <f t="shared" si="4"/>
        <v>Edist_Agriculture</v>
      </c>
      <c r="AX21" s="58" t="s">
        <v>481</v>
      </c>
      <c r="AY21" s="459" t="str" cm="1">
        <f t="array" ref="AY21">INDEX($C$1:$N$1,1,AY$3)</f>
        <v>MATCEM</v>
      </c>
      <c r="AZ21" s="3">
        <v>3</v>
      </c>
      <c r="BA21" s="3" cm="1">
        <f t="array" ref="BA21">INDEX($C21:$N21,1,AY$3)</f>
        <v>0</v>
      </c>
      <c r="BE21" s="3" t="str">
        <f t="shared" si="5"/>
        <v>Edist_Agriculture</v>
      </c>
      <c r="BF21" s="58" t="s">
        <v>481</v>
      </c>
      <c r="BG21" s="459" t="str" cm="1">
        <f t="array" ref="BG21">INDEX($C$1:$N$1,1,BG$3)</f>
        <v>MATALU</v>
      </c>
      <c r="BH21" s="3">
        <v>3</v>
      </c>
      <c r="BI21" s="3" cm="1">
        <f t="array" ref="BI21">INDEX($C21:$N21,1,BG$3)</f>
        <v>0</v>
      </c>
      <c r="BM21" s="3" t="str">
        <f t="shared" si="6"/>
        <v>Edist_Agriculture</v>
      </c>
      <c r="BN21" s="58" t="s">
        <v>481</v>
      </c>
      <c r="BO21" s="459" t="str" cm="1">
        <f t="array" ref="BO21">INDEX($C$1:$N$1,1,BO$3)</f>
        <v>MATGLS</v>
      </c>
      <c r="BP21" s="3">
        <v>3</v>
      </c>
      <c r="BQ21" s="3" cm="1">
        <f t="array" ref="BQ21">INDEX($C21:$N21,1,BO$3)</f>
        <v>0</v>
      </c>
      <c r="BU21" s="3" t="str">
        <f t="shared" si="7"/>
        <v>Edist_Agriculture</v>
      </c>
      <c r="BV21" s="58" t="s">
        <v>481</v>
      </c>
      <c r="BW21" s="459" t="str" cm="1">
        <f t="array" ref="BW21">INDEX($C$1:$N$1,1,BW$3)</f>
        <v>MATPLT</v>
      </c>
      <c r="BX21" s="3">
        <v>3</v>
      </c>
      <c r="BY21" s="3" cm="1">
        <f t="array" ref="BY21">INDEX($C21:$N21,1,BW$3)</f>
        <v>0</v>
      </c>
      <c r="CC21" s="3" t="str">
        <f t="shared" si="8"/>
        <v>Edist_Agriculture</v>
      </c>
      <c r="CD21" s="58" t="s">
        <v>481</v>
      </c>
      <c r="CE21" s="459" t="str" cm="1">
        <f t="array" ref="CE21">INDEX($C$1:$N$1,1,CE$3)</f>
        <v>MATCOP</v>
      </c>
      <c r="CF21" s="3">
        <v>3</v>
      </c>
      <c r="CG21" s="3" cm="1">
        <f t="array" ref="CG21">INDEX($C21:$N21,1,CE$3)</f>
        <v>29.289301310043673</v>
      </c>
      <c r="CK21" s="3" t="str">
        <f t="shared" si="9"/>
        <v>Edist_Agriculture</v>
      </c>
      <c r="CL21" s="58" t="s">
        <v>481</v>
      </c>
      <c r="CM21" s="459" t="str" cm="1">
        <f t="array" ref="CM21">INDEX($C$1:$N$1,1,CM$3)</f>
        <v>MATNIC</v>
      </c>
      <c r="CN21" s="3">
        <v>3</v>
      </c>
      <c r="CO21" s="3"/>
      <c r="CT21" s="3" t="str">
        <f t="shared" si="10"/>
        <v>Edist_Agriculture</v>
      </c>
      <c r="CU21" s="58" t="s">
        <v>481</v>
      </c>
      <c r="CV21" s="459" t="str" cm="1">
        <f t="array" ref="CV21">INDEX($C$1:$N$1,1,CV$3)</f>
        <v>MATMNG</v>
      </c>
      <c r="CW21" s="3">
        <v>3</v>
      </c>
      <c r="CX21" s="3"/>
      <c r="DB21" s="3" t="str">
        <f t="shared" si="11"/>
        <v>Edist_Agriculture</v>
      </c>
      <c r="DC21" s="58" t="s">
        <v>481</v>
      </c>
      <c r="DD21" s="459" t="str" cm="1">
        <f t="array" ref="DD21">INDEX($C$1:$N$1,1,DD$3)</f>
        <v>MATCOB</v>
      </c>
      <c r="DE21" s="3">
        <v>3</v>
      </c>
      <c r="DF21" s="3"/>
      <c r="DK21" s="3" t="str">
        <f t="shared" si="12"/>
        <v>Edist_Agriculture</v>
      </c>
      <c r="DL21" s="58" t="s">
        <v>481</v>
      </c>
      <c r="DM21" s="459" t="str" cm="1">
        <f t="array" ref="DM21">INDEX($C$1:$N$1,1,DM$3)</f>
        <v>MATLIT</v>
      </c>
      <c r="DN21" s="3">
        <v>3</v>
      </c>
      <c r="DO21" s="3"/>
    </row>
    <row r="22" spans="1:119" ht="15" x14ac:dyDescent="0.25">
      <c r="A22" t="s">
        <v>475</v>
      </c>
      <c r="H22" s="457">
        <f t="shared" ref="H22:H24" si="36">H21</f>
        <v>29.289301310043673</v>
      </c>
      <c r="AO22" s="3" t="str">
        <f t="shared" si="3"/>
        <v>Edist_Industry</v>
      </c>
      <c r="AP22" s="58" t="s">
        <v>481</v>
      </c>
      <c r="AQ22" s="459" t="str" cm="1">
        <f t="array" ref="AQ22">INDEX($C$1:$N$1,1,AQ$3)</f>
        <v>MATSTL</v>
      </c>
      <c r="AR22" s="3">
        <v>3</v>
      </c>
      <c r="AS22" s="3" cm="1">
        <f t="array" ref="AS22">INDEX($C22:$N22,1,AQ$3)</f>
        <v>0</v>
      </c>
      <c r="AW22" s="3" t="str">
        <f t="shared" si="4"/>
        <v>Edist_Industry</v>
      </c>
      <c r="AX22" s="58" t="s">
        <v>481</v>
      </c>
      <c r="AY22" s="459" t="str" cm="1">
        <f t="array" ref="AY22">INDEX($C$1:$N$1,1,AY$3)</f>
        <v>MATCEM</v>
      </c>
      <c r="AZ22" s="3">
        <v>3</v>
      </c>
      <c r="BA22" s="3" cm="1">
        <f t="array" ref="BA22">INDEX($C22:$N22,1,AY$3)</f>
        <v>0</v>
      </c>
      <c r="BE22" s="3" t="str">
        <f t="shared" si="5"/>
        <v>Edist_Industry</v>
      </c>
      <c r="BF22" s="58" t="s">
        <v>481</v>
      </c>
      <c r="BG22" s="459" t="str" cm="1">
        <f t="array" ref="BG22">INDEX($C$1:$N$1,1,BG$3)</f>
        <v>MATALU</v>
      </c>
      <c r="BH22" s="3">
        <v>3</v>
      </c>
      <c r="BI22" s="3" cm="1">
        <f t="array" ref="BI22">INDEX($C22:$N22,1,BG$3)</f>
        <v>0</v>
      </c>
      <c r="BM22" s="3" t="str">
        <f t="shared" si="6"/>
        <v>Edist_Industry</v>
      </c>
      <c r="BN22" s="58" t="s">
        <v>481</v>
      </c>
      <c r="BO22" s="459" t="str" cm="1">
        <f t="array" ref="BO22">INDEX($C$1:$N$1,1,BO$3)</f>
        <v>MATGLS</v>
      </c>
      <c r="BP22" s="3">
        <v>3</v>
      </c>
      <c r="BQ22" s="3" cm="1">
        <f t="array" ref="BQ22">INDEX($C22:$N22,1,BO$3)</f>
        <v>0</v>
      </c>
      <c r="BU22" s="3" t="str">
        <f t="shared" si="7"/>
        <v>Edist_Industry</v>
      </c>
      <c r="BV22" s="58" t="s">
        <v>481</v>
      </c>
      <c r="BW22" s="459" t="str" cm="1">
        <f t="array" ref="BW22">INDEX($C$1:$N$1,1,BW$3)</f>
        <v>MATPLT</v>
      </c>
      <c r="BX22" s="3">
        <v>3</v>
      </c>
      <c r="BY22" s="3" cm="1">
        <f t="array" ref="BY22">INDEX($C22:$N22,1,BW$3)</f>
        <v>0</v>
      </c>
      <c r="CC22" s="3" t="str">
        <f t="shared" si="8"/>
        <v>Edist_Industry</v>
      </c>
      <c r="CD22" s="58" t="s">
        <v>481</v>
      </c>
      <c r="CE22" s="459" t="str" cm="1">
        <f t="array" ref="CE22">INDEX($C$1:$N$1,1,CE$3)</f>
        <v>MATCOP</v>
      </c>
      <c r="CF22" s="3">
        <v>3</v>
      </c>
      <c r="CG22" s="3" cm="1">
        <f t="array" ref="CG22">INDEX($C22:$N22,1,CE$3)</f>
        <v>29.289301310043673</v>
      </c>
      <c r="CK22" s="3" t="str">
        <f t="shared" si="9"/>
        <v>Edist_Industry</v>
      </c>
      <c r="CL22" s="58" t="s">
        <v>481</v>
      </c>
      <c r="CM22" s="459" t="str" cm="1">
        <f t="array" ref="CM22">INDEX($C$1:$N$1,1,CM$3)</f>
        <v>MATNIC</v>
      </c>
      <c r="CN22" s="3">
        <v>3</v>
      </c>
      <c r="CO22" s="3"/>
      <c r="CT22" s="3" t="str">
        <f t="shared" si="10"/>
        <v>Edist_Industry</v>
      </c>
      <c r="CU22" s="58" t="s">
        <v>481</v>
      </c>
      <c r="CV22" s="459" t="str" cm="1">
        <f t="array" ref="CV22">INDEX($C$1:$N$1,1,CV$3)</f>
        <v>MATMNG</v>
      </c>
      <c r="CW22" s="3">
        <v>3</v>
      </c>
      <c r="CX22" s="3"/>
      <c r="DB22" s="3" t="str">
        <f t="shared" si="11"/>
        <v>Edist_Industry</v>
      </c>
      <c r="DC22" s="58" t="s">
        <v>481</v>
      </c>
      <c r="DD22" s="459" t="str" cm="1">
        <f t="array" ref="DD22">INDEX($C$1:$N$1,1,DD$3)</f>
        <v>MATCOB</v>
      </c>
      <c r="DE22" s="3">
        <v>3</v>
      </c>
      <c r="DF22" s="3"/>
      <c r="DK22" s="3" t="str">
        <f t="shared" si="12"/>
        <v>Edist_Industry</v>
      </c>
      <c r="DL22" s="58" t="s">
        <v>481</v>
      </c>
      <c r="DM22" s="459" t="str" cm="1">
        <f t="array" ref="DM22">INDEX($C$1:$N$1,1,DM$3)</f>
        <v>MATLIT</v>
      </c>
      <c r="DN22" s="3">
        <v>3</v>
      </c>
      <c r="DO22" s="3"/>
    </row>
    <row r="23" spans="1:119" ht="15" x14ac:dyDescent="0.25">
      <c r="A23" t="s">
        <v>476</v>
      </c>
      <c r="H23" s="457">
        <f t="shared" si="36"/>
        <v>29.289301310043673</v>
      </c>
      <c r="AO23" s="3" t="str">
        <f t="shared" si="3"/>
        <v>Edist_Commercial</v>
      </c>
      <c r="AP23" s="58" t="s">
        <v>481</v>
      </c>
      <c r="AQ23" s="459" t="str" cm="1">
        <f t="array" ref="AQ23">INDEX($C$1:$N$1,1,AQ$3)</f>
        <v>MATSTL</v>
      </c>
      <c r="AR23" s="3">
        <v>3</v>
      </c>
      <c r="AS23" s="3" cm="1">
        <f t="array" ref="AS23">INDEX($C23:$N23,1,AQ$3)</f>
        <v>0</v>
      </c>
      <c r="AW23" s="3" t="str">
        <f t="shared" si="4"/>
        <v>Edist_Commercial</v>
      </c>
      <c r="AX23" s="58" t="s">
        <v>481</v>
      </c>
      <c r="AY23" s="459" t="str" cm="1">
        <f t="array" ref="AY23">INDEX($C$1:$N$1,1,AY$3)</f>
        <v>MATCEM</v>
      </c>
      <c r="AZ23" s="3">
        <v>3</v>
      </c>
      <c r="BA23" s="3" cm="1">
        <f t="array" ref="BA23">INDEX($C23:$N23,1,AY$3)</f>
        <v>0</v>
      </c>
      <c r="BE23" s="3" t="str">
        <f t="shared" si="5"/>
        <v>Edist_Commercial</v>
      </c>
      <c r="BF23" s="58" t="s">
        <v>481</v>
      </c>
      <c r="BG23" s="459" t="str" cm="1">
        <f t="array" ref="BG23">INDEX($C$1:$N$1,1,BG$3)</f>
        <v>MATALU</v>
      </c>
      <c r="BH23" s="3">
        <v>3</v>
      </c>
      <c r="BI23" s="3" cm="1">
        <f t="array" ref="BI23">INDEX($C23:$N23,1,BG$3)</f>
        <v>0</v>
      </c>
      <c r="BM23" s="3" t="str">
        <f t="shared" si="6"/>
        <v>Edist_Commercial</v>
      </c>
      <c r="BN23" s="58" t="s">
        <v>481</v>
      </c>
      <c r="BO23" s="459" t="str" cm="1">
        <f t="array" ref="BO23">INDEX($C$1:$N$1,1,BO$3)</f>
        <v>MATGLS</v>
      </c>
      <c r="BP23" s="3">
        <v>3</v>
      </c>
      <c r="BQ23" s="3" cm="1">
        <f t="array" ref="BQ23">INDEX($C23:$N23,1,BO$3)</f>
        <v>0</v>
      </c>
      <c r="BU23" s="3" t="str">
        <f t="shared" si="7"/>
        <v>Edist_Commercial</v>
      </c>
      <c r="BV23" s="58" t="s">
        <v>481</v>
      </c>
      <c r="BW23" s="459" t="str" cm="1">
        <f t="array" ref="BW23">INDEX($C$1:$N$1,1,BW$3)</f>
        <v>MATPLT</v>
      </c>
      <c r="BX23" s="3">
        <v>3</v>
      </c>
      <c r="BY23" s="3" cm="1">
        <f t="array" ref="BY23">INDEX($C23:$N23,1,BW$3)</f>
        <v>0</v>
      </c>
      <c r="CC23" s="3" t="str">
        <f t="shared" si="8"/>
        <v>Edist_Commercial</v>
      </c>
      <c r="CD23" s="58" t="s">
        <v>481</v>
      </c>
      <c r="CE23" s="459" t="str" cm="1">
        <f t="array" ref="CE23">INDEX($C$1:$N$1,1,CE$3)</f>
        <v>MATCOP</v>
      </c>
      <c r="CF23" s="3">
        <v>3</v>
      </c>
      <c r="CG23" s="3" cm="1">
        <f t="array" ref="CG23">INDEX($C23:$N23,1,CE$3)</f>
        <v>29.289301310043673</v>
      </c>
      <c r="CK23" s="3" t="str">
        <f t="shared" si="9"/>
        <v>Edist_Commercial</v>
      </c>
      <c r="CL23" s="58" t="s">
        <v>481</v>
      </c>
      <c r="CM23" s="459" t="str" cm="1">
        <f t="array" ref="CM23">INDEX($C$1:$N$1,1,CM$3)</f>
        <v>MATNIC</v>
      </c>
      <c r="CN23" s="3">
        <v>3</v>
      </c>
      <c r="CO23" s="3"/>
      <c r="CT23" s="3" t="str">
        <f t="shared" si="10"/>
        <v>Edist_Commercial</v>
      </c>
      <c r="CU23" s="58" t="s">
        <v>481</v>
      </c>
      <c r="CV23" s="459" t="str" cm="1">
        <f t="array" ref="CV23">INDEX($C$1:$N$1,1,CV$3)</f>
        <v>MATMNG</v>
      </c>
      <c r="CW23" s="3">
        <v>3</v>
      </c>
      <c r="CX23" s="3"/>
      <c r="DB23" s="3" t="str">
        <f t="shared" si="11"/>
        <v>Edist_Commercial</v>
      </c>
      <c r="DC23" s="58" t="s">
        <v>481</v>
      </c>
      <c r="DD23" s="459" t="str" cm="1">
        <f t="array" ref="DD23">INDEX($C$1:$N$1,1,DD$3)</f>
        <v>MATCOB</v>
      </c>
      <c r="DE23" s="3">
        <v>3</v>
      </c>
      <c r="DF23" s="3"/>
      <c r="DK23" s="3" t="str">
        <f t="shared" si="12"/>
        <v>Edist_Commercial</v>
      </c>
      <c r="DL23" s="58" t="s">
        <v>481</v>
      </c>
      <c r="DM23" s="459" t="str" cm="1">
        <f t="array" ref="DM23">INDEX($C$1:$N$1,1,DM$3)</f>
        <v>MATLIT</v>
      </c>
      <c r="DN23" s="3">
        <v>3</v>
      </c>
      <c r="DO23" s="3"/>
    </row>
    <row r="24" spans="1:119" ht="15" x14ac:dyDescent="0.25">
      <c r="A24" t="s">
        <v>477</v>
      </c>
      <c r="H24" s="457">
        <f t="shared" si="36"/>
        <v>29.289301310043673</v>
      </c>
      <c r="AO24" s="3" t="str">
        <f t="shared" si="3"/>
        <v>Edist_Transport</v>
      </c>
      <c r="AP24" s="58" t="s">
        <v>481</v>
      </c>
      <c r="AQ24" s="459" t="str" cm="1">
        <f t="array" ref="AQ24">INDEX($C$1:$N$1,1,AQ$3)</f>
        <v>MATSTL</v>
      </c>
      <c r="AR24" s="3">
        <v>3</v>
      </c>
      <c r="AS24" s="3" cm="1">
        <f t="array" ref="AS24">INDEX($C24:$N24,1,AQ$3)</f>
        <v>0</v>
      </c>
      <c r="AW24" s="3" t="str">
        <f t="shared" si="4"/>
        <v>Edist_Transport</v>
      </c>
      <c r="AX24" s="58" t="s">
        <v>481</v>
      </c>
      <c r="AY24" s="459" t="str" cm="1">
        <f t="array" ref="AY24">INDEX($C$1:$N$1,1,AY$3)</f>
        <v>MATCEM</v>
      </c>
      <c r="AZ24" s="3">
        <v>3</v>
      </c>
      <c r="BA24" s="3" cm="1">
        <f t="array" ref="BA24">INDEX($C24:$N24,1,AY$3)</f>
        <v>0</v>
      </c>
      <c r="BE24" s="3" t="str">
        <f t="shared" si="5"/>
        <v>Edist_Transport</v>
      </c>
      <c r="BF24" s="58" t="s">
        <v>481</v>
      </c>
      <c r="BG24" s="459" t="str" cm="1">
        <f t="array" ref="BG24">INDEX($C$1:$N$1,1,BG$3)</f>
        <v>MATALU</v>
      </c>
      <c r="BH24" s="3">
        <v>3</v>
      </c>
      <c r="BI24" s="3" cm="1">
        <f t="array" ref="BI24">INDEX($C24:$N24,1,BG$3)</f>
        <v>0</v>
      </c>
      <c r="BM24" s="3" t="str">
        <f t="shared" si="6"/>
        <v>Edist_Transport</v>
      </c>
      <c r="BN24" s="58" t="s">
        <v>481</v>
      </c>
      <c r="BO24" s="459" t="str" cm="1">
        <f t="array" ref="BO24">INDEX($C$1:$N$1,1,BO$3)</f>
        <v>MATGLS</v>
      </c>
      <c r="BP24" s="3">
        <v>3</v>
      </c>
      <c r="BQ24" s="3" cm="1">
        <f t="array" ref="BQ24">INDEX($C24:$N24,1,BO$3)</f>
        <v>0</v>
      </c>
      <c r="BU24" s="3" t="str">
        <f t="shared" si="7"/>
        <v>Edist_Transport</v>
      </c>
      <c r="BV24" s="58" t="s">
        <v>481</v>
      </c>
      <c r="BW24" s="459" t="str" cm="1">
        <f t="array" ref="BW24">INDEX($C$1:$N$1,1,BW$3)</f>
        <v>MATPLT</v>
      </c>
      <c r="BX24" s="3">
        <v>3</v>
      </c>
      <c r="BY24" s="3" cm="1">
        <f t="array" ref="BY24">INDEX($C24:$N24,1,BW$3)</f>
        <v>0</v>
      </c>
      <c r="CC24" s="3" t="str">
        <f t="shared" si="8"/>
        <v>Edist_Transport</v>
      </c>
      <c r="CD24" s="58" t="s">
        <v>481</v>
      </c>
      <c r="CE24" s="459" t="str" cm="1">
        <f t="array" ref="CE24">INDEX($C$1:$N$1,1,CE$3)</f>
        <v>MATCOP</v>
      </c>
      <c r="CF24" s="3">
        <v>3</v>
      </c>
      <c r="CG24" s="3" cm="1">
        <f t="array" ref="CG24">INDEX($C24:$N24,1,CE$3)</f>
        <v>29.289301310043673</v>
      </c>
      <c r="CK24" s="3" t="str">
        <f t="shared" si="9"/>
        <v>Edist_Transport</v>
      </c>
      <c r="CL24" s="58" t="s">
        <v>481</v>
      </c>
      <c r="CM24" s="459" t="str" cm="1">
        <f t="array" ref="CM24">INDEX($C$1:$N$1,1,CM$3)</f>
        <v>MATNIC</v>
      </c>
      <c r="CN24" s="3">
        <v>3</v>
      </c>
      <c r="CO24" s="3"/>
      <c r="CT24" s="3" t="str">
        <f t="shared" si="10"/>
        <v>Edist_Transport</v>
      </c>
      <c r="CU24" s="58" t="s">
        <v>481</v>
      </c>
      <c r="CV24" s="459" t="str" cm="1">
        <f t="array" ref="CV24">INDEX($C$1:$N$1,1,CV$3)</f>
        <v>MATMNG</v>
      </c>
      <c r="CW24" s="3">
        <v>3</v>
      </c>
      <c r="CX24" s="3"/>
      <c r="DB24" s="3" t="str">
        <f t="shared" si="11"/>
        <v>Edist_Transport</v>
      </c>
      <c r="DC24" s="58" t="s">
        <v>481</v>
      </c>
      <c r="DD24" s="459" t="str" cm="1">
        <f t="array" ref="DD24">INDEX($C$1:$N$1,1,DD$3)</f>
        <v>MATCOB</v>
      </c>
      <c r="DE24" s="3">
        <v>3</v>
      </c>
      <c r="DF24" s="3"/>
      <c r="DK24" s="3" t="str">
        <f t="shared" si="12"/>
        <v>Edist_Transport</v>
      </c>
      <c r="DL24" s="58" t="s">
        <v>481</v>
      </c>
      <c r="DM24" s="459" t="str" cm="1">
        <f t="array" ref="DM24">INDEX($C$1:$N$1,1,DM$3)</f>
        <v>MATLIT</v>
      </c>
      <c r="DN24" s="3">
        <v>3</v>
      </c>
      <c r="DO24" s="3"/>
    </row>
    <row r="25" spans="1:119" x14ac:dyDescent="0.2">
      <c r="D25" s="1" t="s">
        <v>437</v>
      </c>
      <c r="E25" s="1" t="s">
        <v>467</v>
      </c>
      <c r="F25" s="1" t="s">
        <v>1319</v>
      </c>
    </row>
    <row r="26" spans="1:119" x14ac:dyDescent="0.2">
      <c r="C26" s="1" t="s">
        <v>218</v>
      </c>
      <c r="D26">
        <f>33+53</f>
        <v>86</v>
      </c>
      <c r="E26">
        <v>24.39</v>
      </c>
    </row>
    <row r="27" spans="1:119" x14ac:dyDescent="0.2">
      <c r="C27" s="1" t="s">
        <v>1318</v>
      </c>
      <c r="D27">
        <v>33.158000000000001</v>
      </c>
      <c r="E27">
        <v>366.4</v>
      </c>
      <c r="Y27" s="66" t="s">
        <v>511</v>
      </c>
      <c r="Z27" s="66"/>
    </row>
    <row r="28" spans="1:119" x14ac:dyDescent="0.2">
      <c r="F28" t="s">
        <v>160</v>
      </c>
      <c r="G28" s="1" t="s">
        <v>1333</v>
      </c>
      <c r="Y28" s="1" t="s">
        <v>525</v>
      </c>
      <c r="Z28" s="64" t="s">
        <v>513</v>
      </c>
    </row>
    <row r="29" spans="1:119" x14ac:dyDescent="0.2">
      <c r="Y29" s="1" t="s">
        <v>526</v>
      </c>
      <c r="Z29" s="64" t="s">
        <v>514</v>
      </c>
    </row>
    <row r="30" spans="1:119" x14ac:dyDescent="0.2">
      <c r="Z30" s="64" t="s">
        <v>515</v>
      </c>
    </row>
    <row r="31" spans="1:119" x14ac:dyDescent="0.2">
      <c r="R31" t="str">
        <f>A13</f>
        <v>EWind</v>
      </c>
      <c r="S31" t="str">
        <f>A10</f>
        <v>EPV_Grid</v>
      </c>
      <c r="T31" t="str">
        <f>A11</f>
        <v>EPV_RfTp</v>
      </c>
      <c r="Z31" s="71" t="s">
        <v>276</v>
      </c>
    </row>
    <row r="32" spans="1:119" x14ac:dyDescent="0.2">
      <c r="P32" s="497" t="s">
        <v>500</v>
      </c>
      <c r="Q32" t="s">
        <v>495</v>
      </c>
      <c r="R32">
        <f>9.6+110.4+38+20</f>
        <v>178</v>
      </c>
      <c r="S32">
        <f>68+3.7</f>
        <v>71.7</v>
      </c>
      <c r="T32">
        <f>34+1.8</f>
        <v>35.799999999999997</v>
      </c>
    </row>
    <row r="33" spans="6:34" x14ac:dyDescent="0.2">
      <c r="P33" s="497"/>
      <c r="Q33" t="s">
        <v>490</v>
      </c>
      <c r="R33">
        <v>71.400000000000006</v>
      </c>
      <c r="S33">
        <v>10.199999999999999</v>
      </c>
      <c r="T33">
        <v>5.0999999999999996</v>
      </c>
      <c r="Y33" s="66" t="s">
        <v>512</v>
      </c>
    </row>
    <row r="34" spans="6:34" x14ac:dyDescent="0.2">
      <c r="P34" s="497"/>
      <c r="Q34" t="s">
        <v>491</v>
      </c>
      <c r="R34">
        <v>1.4</v>
      </c>
      <c r="S34">
        <v>7.5</v>
      </c>
      <c r="T34">
        <v>11</v>
      </c>
      <c r="Y34" s="1" t="s">
        <v>504</v>
      </c>
      <c r="Z34" t="s">
        <v>276</v>
      </c>
      <c r="AA34">
        <v>0.5</v>
      </c>
    </row>
    <row r="35" spans="6:34" x14ac:dyDescent="0.2">
      <c r="P35" s="497"/>
      <c r="Q35" t="s">
        <v>496</v>
      </c>
      <c r="R35">
        <v>8.1999999999999993</v>
      </c>
      <c r="S35">
        <v>46.4</v>
      </c>
      <c r="T35">
        <v>46.4</v>
      </c>
      <c r="Y35" s="1" t="s">
        <v>520</v>
      </c>
      <c r="Z35" t="s">
        <v>519</v>
      </c>
      <c r="AB35">
        <v>1</v>
      </c>
    </row>
    <row r="36" spans="6:34" x14ac:dyDescent="0.2">
      <c r="P36" s="497"/>
      <c r="Q36" t="s">
        <v>491</v>
      </c>
      <c r="R36">
        <v>1.4</v>
      </c>
      <c r="S36">
        <v>7.5</v>
      </c>
      <c r="T36">
        <v>11</v>
      </c>
      <c r="Y36" s="1" t="s">
        <v>510</v>
      </c>
      <c r="Z36" t="s">
        <v>279</v>
      </c>
      <c r="AD36">
        <v>1</v>
      </c>
    </row>
    <row r="37" spans="6:34" x14ac:dyDescent="0.2">
      <c r="P37" s="497"/>
      <c r="Q37" t="s">
        <v>494</v>
      </c>
      <c r="R37">
        <v>2.9</v>
      </c>
      <c r="S37">
        <v>8.6</v>
      </c>
      <c r="T37">
        <v>8.6</v>
      </c>
      <c r="Y37" s="1" t="s">
        <v>505</v>
      </c>
      <c r="Z37" t="s">
        <v>277</v>
      </c>
      <c r="AC37">
        <v>0.9</v>
      </c>
      <c r="AF37">
        <v>0.9</v>
      </c>
      <c r="AG37">
        <v>0.9</v>
      </c>
    </row>
    <row r="38" spans="6:34" x14ac:dyDescent="0.2">
      <c r="Q38" t="s">
        <v>492</v>
      </c>
      <c r="R38">
        <v>2</v>
      </c>
      <c r="S38">
        <v>4.5999999999999996</v>
      </c>
      <c r="T38">
        <v>4.5999999999999996</v>
      </c>
      <c r="Y38" s="1" t="s">
        <v>506</v>
      </c>
      <c r="Z38" t="s">
        <v>281</v>
      </c>
      <c r="AE38">
        <v>1</v>
      </c>
    </row>
    <row r="39" spans="6:34" x14ac:dyDescent="0.2">
      <c r="Q39" t="s">
        <v>493</v>
      </c>
      <c r="R39">
        <v>5.5</v>
      </c>
      <c r="S39">
        <v>3.4</v>
      </c>
      <c r="T39">
        <v>1.7</v>
      </c>
      <c r="Y39" s="1" t="s">
        <v>507</v>
      </c>
      <c r="Z39" t="s">
        <v>275</v>
      </c>
      <c r="AC39">
        <v>0.1</v>
      </c>
    </row>
    <row r="40" spans="6:34" ht="15" x14ac:dyDescent="0.25">
      <c r="Q40" t="s">
        <v>497</v>
      </c>
      <c r="S40" s="67">
        <v>0.04</v>
      </c>
      <c r="T40" s="67">
        <v>0.04</v>
      </c>
      <c r="Y40" s="1" t="s">
        <v>508</v>
      </c>
      <c r="Z40" t="s">
        <v>273</v>
      </c>
      <c r="AH40">
        <v>1</v>
      </c>
    </row>
    <row r="41" spans="6:34" x14ac:dyDescent="0.2">
      <c r="Y41" s="1" t="s">
        <v>509</v>
      </c>
      <c r="Z41" t="s">
        <v>274</v>
      </c>
    </row>
    <row r="42" spans="6:34" x14ac:dyDescent="0.2">
      <c r="F42" t="s">
        <v>161</v>
      </c>
    </row>
    <row r="43" spans="6:34" x14ac:dyDescent="0.2">
      <c r="Y43" s="66" t="s">
        <v>521</v>
      </c>
    </row>
    <row r="44" spans="6:34" x14ac:dyDescent="0.2">
      <c r="Y44" s="1" t="s">
        <v>503</v>
      </c>
      <c r="Z44" t="s">
        <v>278</v>
      </c>
      <c r="AA44">
        <v>0.5</v>
      </c>
    </row>
    <row r="50" spans="1:25" x14ac:dyDescent="0.2">
      <c r="Y50" s="1" t="s">
        <v>1111</v>
      </c>
    </row>
    <row r="51" spans="1:25" x14ac:dyDescent="0.2">
      <c r="Y51" s="1" t="s">
        <v>1113</v>
      </c>
    </row>
    <row r="52" spans="1:25" x14ac:dyDescent="0.2">
      <c r="Y52" s="1" t="s">
        <v>1112</v>
      </c>
    </row>
    <row r="53" spans="1:25" x14ac:dyDescent="0.2">
      <c r="Y53" s="1" t="s">
        <v>1114</v>
      </c>
    </row>
    <row r="54" spans="1:25" x14ac:dyDescent="0.2">
      <c r="Q54" s="1" t="s">
        <v>528</v>
      </c>
      <c r="Y54" s="1" t="s">
        <v>1115</v>
      </c>
    </row>
    <row r="55" spans="1:25" x14ac:dyDescent="0.2">
      <c r="Y55" s="1" t="s">
        <v>1116</v>
      </c>
    </row>
    <row r="56" spans="1:25" x14ac:dyDescent="0.2">
      <c r="Y56" s="1" t="s">
        <v>1315</v>
      </c>
    </row>
    <row r="59" spans="1:25" ht="18" x14ac:dyDescent="0.25">
      <c r="A59" s="462" t="s">
        <v>1335</v>
      </c>
    </row>
    <row r="61" spans="1:25" ht="16.5" x14ac:dyDescent="0.3">
      <c r="A61" s="467" t="s">
        <v>1336</v>
      </c>
      <c r="B61" s="468"/>
      <c r="C61" s="468"/>
      <c r="D61" s="468"/>
      <c r="E61" s="468"/>
      <c r="F61" s="468"/>
      <c r="G61" s="468"/>
      <c r="H61" s="468"/>
      <c r="I61" s="468"/>
      <c r="J61" s="468"/>
      <c r="K61" s="468"/>
      <c r="L61" s="468"/>
      <c r="M61" s="469"/>
    </row>
    <row r="62" spans="1:25" ht="16.5" x14ac:dyDescent="0.3">
      <c r="A62" s="470" t="s">
        <v>1337</v>
      </c>
      <c r="M62" s="465"/>
    </row>
    <row r="63" spans="1:25" x14ac:dyDescent="0.2">
      <c r="A63" s="471"/>
      <c r="M63" s="465"/>
    </row>
    <row r="64" spans="1:25" x14ac:dyDescent="0.2">
      <c r="A64" s="471"/>
      <c r="M64" s="465"/>
    </row>
    <row r="65" spans="1:32" x14ac:dyDescent="0.2">
      <c r="A65" s="471"/>
      <c r="M65" s="465"/>
    </row>
    <row r="66" spans="1:32" x14ac:dyDescent="0.2">
      <c r="A66" s="471"/>
      <c r="M66" s="465"/>
      <c r="P66" s="66" t="s">
        <v>1352</v>
      </c>
    </row>
    <row r="67" spans="1:32" x14ac:dyDescent="0.2">
      <c r="A67" s="471"/>
      <c r="M67" s="465"/>
      <c r="P67" s="1"/>
      <c r="AF67" s="474" t="s">
        <v>1366</v>
      </c>
    </row>
    <row r="68" spans="1:32" x14ac:dyDescent="0.2">
      <c r="A68" s="471"/>
      <c r="M68" s="465"/>
      <c r="AA68" s="66" t="s">
        <v>1357</v>
      </c>
      <c r="AD68" s="1" t="s">
        <v>1357</v>
      </c>
      <c r="AF68" s="475"/>
    </row>
    <row r="69" spans="1:32" x14ac:dyDescent="0.2">
      <c r="A69" s="471"/>
      <c r="M69" s="465"/>
      <c r="S69" s="464" t="s">
        <v>1351</v>
      </c>
      <c r="T69" s="66" t="s">
        <v>1350</v>
      </c>
      <c r="V69" s="66" t="s">
        <v>1354</v>
      </c>
      <c r="Y69" s="1" t="s">
        <v>1356</v>
      </c>
      <c r="AA69" s="66" t="s">
        <v>1358</v>
      </c>
      <c r="AD69" s="66" t="s">
        <v>1363</v>
      </c>
      <c r="AF69" s="475" t="s">
        <v>1367</v>
      </c>
    </row>
    <row r="70" spans="1:32" x14ac:dyDescent="0.2">
      <c r="A70" s="471"/>
      <c r="M70" s="465"/>
      <c r="P70" s="1" t="s">
        <v>1339</v>
      </c>
      <c r="R70" s="1" t="s">
        <v>495</v>
      </c>
      <c r="S70" s="465">
        <v>5.7</v>
      </c>
      <c r="T70" s="1" t="s">
        <v>495</v>
      </c>
      <c r="V70" s="1" t="s">
        <v>495</v>
      </c>
      <c r="W70" s="64">
        <f>SUMIFS($S$70:$S$88,$T$70:$T$88,V70)/100</f>
        <v>0.09</v>
      </c>
      <c r="AA70">
        <f>W70*$Y$88</f>
        <v>31.59</v>
      </c>
      <c r="AD70" s="1">
        <f>AA70*0.001/$AA$89</f>
        <v>0.3461538461538462</v>
      </c>
      <c r="AE70" s="1"/>
      <c r="AF70" s="475">
        <f>AD70*4</f>
        <v>1.3846153846153848</v>
      </c>
    </row>
    <row r="71" spans="1:32" x14ac:dyDescent="0.2">
      <c r="A71" s="471"/>
      <c r="M71" s="465"/>
      <c r="R71" s="1" t="s">
        <v>1338</v>
      </c>
      <c r="S71" s="465">
        <v>2.7</v>
      </c>
      <c r="T71" s="1" t="s">
        <v>492</v>
      </c>
      <c r="V71" s="1" t="s">
        <v>492</v>
      </c>
      <c r="W71" s="64">
        <f t="shared" ref="W71:W73" si="37">SUMIFS($S$70:$S$88,$T$70:$T$88,V71)/100</f>
        <v>0.14199999999999999</v>
      </c>
      <c r="AA71">
        <f>W71*$Y$88</f>
        <v>49.841999999999999</v>
      </c>
      <c r="AD71" s="1">
        <f>AA71*0.001/$AA$89</f>
        <v>0.54615384615384621</v>
      </c>
      <c r="AF71" s="475">
        <f t="shared" ref="AF71:AF73" si="38">AD71*4</f>
        <v>2.1846153846153848</v>
      </c>
    </row>
    <row r="72" spans="1:32" x14ac:dyDescent="0.2">
      <c r="A72" s="471"/>
      <c r="M72" s="465"/>
      <c r="R72" s="1" t="s">
        <v>491</v>
      </c>
      <c r="S72" s="465">
        <v>18</v>
      </c>
      <c r="T72" s="1" t="s">
        <v>491</v>
      </c>
      <c r="V72" s="1" t="s">
        <v>491</v>
      </c>
      <c r="W72" s="64">
        <f t="shared" si="37"/>
        <v>0.34499999999999997</v>
      </c>
      <c r="AA72">
        <f>W72*$Y$88</f>
        <v>121.09499999999998</v>
      </c>
      <c r="AD72" s="1">
        <f>AA72*0.001/$AA$89</f>
        <v>1.3269230769230769</v>
      </c>
      <c r="AF72" s="475">
        <f t="shared" si="38"/>
        <v>5.3076923076923075</v>
      </c>
    </row>
    <row r="73" spans="1:32" x14ac:dyDescent="0.2">
      <c r="A73" s="471"/>
      <c r="M73" s="465"/>
      <c r="R73" s="1" t="s">
        <v>1340</v>
      </c>
      <c r="S73" s="465">
        <v>5.7</v>
      </c>
      <c r="T73" s="1" t="s">
        <v>494</v>
      </c>
      <c r="V73" s="1" t="s">
        <v>494</v>
      </c>
      <c r="W73" s="64">
        <f t="shared" si="37"/>
        <v>0.11</v>
      </c>
      <c r="AA73">
        <f>W73*$Y$88</f>
        <v>38.61</v>
      </c>
      <c r="AD73" s="1">
        <f>AA73*0.001/$AA$89</f>
        <v>0.42307692307692307</v>
      </c>
      <c r="AF73" s="475">
        <f t="shared" si="38"/>
        <v>1.6923076923076923</v>
      </c>
    </row>
    <row r="74" spans="1:32" x14ac:dyDescent="0.2">
      <c r="A74" s="471"/>
      <c r="M74" s="465"/>
      <c r="R74" s="1" t="s">
        <v>1341</v>
      </c>
      <c r="S74" s="465">
        <v>2.2999999999999998</v>
      </c>
      <c r="T74" s="1" t="s">
        <v>1249</v>
      </c>
      <c r="AF74" s="475"/>
    </row>
    <row r="75" spans="1:32" x14ac:dyDescent="0.2">
      <c r="A75" s="471"/>
      <c r="M75" s="465"/>
      <c r="P75" s="1" t="s">
        <v>1342</v>
      </c>
      <c r="R75" s="1" t="s">
        <v>491</v>
      </c>
      <c r="S75" s="465">
        <v>5.2</v>
      </c>
      <c r="T75" s="1" t="s">
        <v>491</v>
      </c>
      <c r="AF75" s="475"/>
    </row>
    <row r="76" spans="1:32" x14ac:dyDescent="0.2">
      <c r="A76" s="471"/>
      <c r="M76" s="465"/>
      <c r="R76" s="1" t="s">
        <v>1340</v>
      </c>
      <c r="S76" s="465">
        <v>1.5</v>
      </c>
      <c r="T76" s="1" t="s">
        <v>494</v>
      </c>
      <c r="AF76" s="475"/>
    </row>
    <row r="77" spans="1:32" x14ac:dyDescent="0.2">
      <c r="A77" s="471"/>
      <c r="M77" s="465"/>
      <c r="R77" s="1" t="s">
        <v>495</v>
      </c>
      <c r="S77" s="465">
        <v>3.3</v>
      </c>
      <c r="T77" s="1" t="s">
        <v>495</v>
      </c>
      <c r="AF77" s="475"/>
    </row>
    <row r="78" spans="1:32" x14ac:dyDescent="0.2">
      <c r="A78" s="471"/>
      <c r="M78" s="465"/>
      <c r="P78" s="1" t="s">
        <v>1343</v>
      </c>
      <c r="R78" s="1" t="s">
        <v>491</v>
      </c>
      <c r="S78" s="465">
        <v>5.5</v>
      </c>
      <c r="T78" s="1" t="s">
        <v>491</v>
      </c>
      <c r="AF78" s="475"/>
    </row>
    <row r="79" spans="1:32" x14ac:dyDescent="0.2">
      <c r="A79" s="471"/>
      <c r="M79" s="465"/>
      <c r="R79" s="1" t="s">
        <v>1344</v>
      </c>
      <c r="S79" s="465">
        <v>1</v>
      </c>
      <c r="T79" s="1" t="s">
        <v>1344</v>
      </c>
      <c r="V79" s="1" t="s">
        <v>1344</v>
      </c>
      <c r="W79" s="64">
        <f>SUMIFS($S$70:$S$88,$T$70:$T$88,V79)/100</f>
        <v>0.01</v>
      </c>
      <c r="Y79">
        <f>E99</f>
        <v>3.5</v>
      </c>
      <c r="AA79">
        <f>W79*$Y$88</f>
        <v>3.5100000000000002</v>
      </c>
      <c r="AD79" s="1">
        <f>AA79*0.001/$AA$89</f>
        <v>3.8461538461538464E-2</v>
      </c>
      <c r="AF79" s="475">
        <f t="shared" ref="AF79:AF83" si="39">AD79*4</f>
        <v>0.15384615384615385</v>
      </c>
    </row>
    <row r="80" spans="1:32" x14ac:dyDescent="0.2">
      <c r="A80" s="471"/>
      <c r="M80" s="465"/>
      <c r="R80" s="1" t="s">
        <v>1229</v>
      </c>
      <c r="S80" s="465">
        <v>3.1</v>
      </c>
      <c r="T80" s="1" t="s">
        <v>1229</v>
      </c>
      <c r="V80" s="1" t="s">
        <v>1229</v>
      </c>
      <c r="W80" s="64">
        <f>SUMIFS($S$70:$S$88,$T$70:$T$88,V80)/100</f>
        <v>3.1E-2</v>
      </c>
      <c r="Y80">
        <f>E100</f>
        <v>10.9</v>
      </c>
      <c r="AA80">
        <f>W80*$Y$88</f>
        <v>10.881</v>
      </c>
      <c r="AD80" s="1">
        <f>AA80*0.001/$AA$89</f>
        <v>0.11923076923076924</v>
      </c>
      <c r="AF80" s="475">
        <f t="shared" si="39"/>
        <v>0.47692307692307695</v>
      </c>
    </row>
    <row r="81" spans="1:32" x14ac:dyDescent="0.2">
      <c r="A81" s="471"/>
      <c r="M81" s="465"/>
      <c r="R81" s="1" t="s">
        <v>1231</v>
      </c>
      <c r="S81" s="465">
        <v>3.1</v>
      </c>
      <c r="T81" s="1" t="s">
        <v>1231</v>
      </c>
      <c r="V81" s="1" t="s">
        <v>1231</v>
      </c>
      <c r="W81" s="64">
        <f>SUMIFS($S$70:$S$88,$T$70:$T$88,V81)/100</f>
        <v>3.1E-2</v>
      </c>
      <c r="Y81">
        <f>E101</f>
        <v>10.9</v>
      </c>
      <c r="AA81">
        <f>W81*$Y$88</f>
        <v>10.881</v>
      </c>
      <c r="AD81" s="1">
        <f>AA81*0.001/$AA$89</f>
        <v>0.11923076923076924</v>
      </c>
      <c r="AF81" s="475">
        <f t="shared" si="39"/>
        <v>0.47692307692307695</v>
      </c>
    </row>
    <row r="82" spans="1:32" x14ac:dyDescent="0.2">
      <c r="A82" s="471"/>
      <c r="M82" s="465"/>
      <c r="R82" s="1" t="s">
        <v>1230</v>
      </c>
      <c r="S82" s="465">
        <v>2.8</v>
      </c>
      <c r="T82" s="1" t="s">
        <v>1230</v>
      </c>
      <c r="V82" s="1" t="s">
        <v>1230</v>
      </c>
      <c r="W82" s="64">
        <f>SUMIFS($S$70:$S$88,$T$70:$T$88,V82)/100</f>
        <v>2.7999999999999997E-2</v>
      </c>
      <c r="Y82">
        <f>E102</f>
        <v>9.8000000000000007</v>
      </c>
      <c r="AA82">
        <f>W82*$Y$88</f>
        <v>9.8279999999999994</v>
      </c>
      <c r="AD82" s="1">
        <f>AA82*0.001/$AA$89</f>
        <v>0.1076923076923077</v>
      </c>
      <c r="AF82" s="475">
        <f t="shared" si="39"/>
        <v>0.43076923076923079</v>
      </c>
    </row>
    <row r="83" spans="1:32" x14ac:dyDescent="0.2">
      <c r="A83" s="471"/>
      <c r="M83" s="465"/>
      <c r="R83" s="1" t="s">
        <v>1345</v>
      </c>
      <c r="S83" s="465">
        <v>4.8</v>
      </c>
      <c r="T83" s="1" t="s">
        <v>1353</v>
      </c>
      <c r="V83" s="1" t="s">
        <v>1353</v>
      </c>
      <c r="W83" s="64">
        <f>SUMIFS($S$70:$S$88,$T$70:$T$88,V83)/100</f>
        <v>0.2132</v>
      </c>
      <c r="AA83">
        <f>W83*$Y$88</f>
        <v>74.833200000000005</v>
      </c>
      <c r="AD83" s="1">
        <f>AA83*0.001/$AA$89</f>
        <v>0.82000000000000006</v>
      </c>
      <c r="AF83" s="476">
        <f t="shared" si="39"/>
        <v>3.2800000000000002</v>
      </c>
    </row>
    <row r="84" spans="1:32" x14ac:dyDescent="0.2">
      <c r="A84" s="471"/>
      <c r="M84" s="465"/>
      <c r="P84" s="1" t="s">
        <v>1346</v>
      </c>
      <c r="R84" s="1" t="s">
        <v>492</v>
      </c>
      <c r="S84" s="465">
        <v>9.1999999999999993</v>
      </c>
      <c r="T84" s="1" t="s">
        <v>492</v>
      </c>
      <c r="W84" s="64"/>
    </row>
    <row r="85" spans="1:32" x14ac:dyDescent="0.2">
      <c r="A85" s="471"/>
      <c r="M85" s="465"/>
      <c r="R85" s="1" t="s">
        <v>1232</v>
      </c>
      <c r="S85" s="465">
        <v>8.1999999999999993</v>
      </c>
      <c r="T85" s="1" t="s">
        <v>1353</v>
      </c>
      <c r="Y85">
        <f>SUM(Y79:Y82)</f>
        <v>35.1</v>
      </c>
      <c r="Z85" s="1" t="s">
        <v>1359</v>
      </c>
    </row>
    <row r="86" spans="1:32" x14ac:dyDescent="0.2">
      <c r="A86" s="471"/>
      <c r="M86" s="465"/>
      <c r="P86" s="1" t="s">
        <v>1347</v>
      </c>
      <c r="R86" s="1" t="s">
        <v>491</v>
      </c>
      <c r="S86" s="465">
        <v>5.8</v>
      </c>
      <c r="T86" s="1" t="s">
        <v>491</v>
      </c>
      <c r="Y86" s="76">
        <f>SUM(W79:W82)</f>
        <v>0.1</v>
      </c>
      <c r="Z86" s="1" t="s">
        <v>1360</v>
      </c>
    </row>
    <row r="87" spans="1:32" x14ac:dyDescent="0.2">
      <c r="A87" s="471"/>
      <c r="M87" s="465"/>
      <c r="P87" s="1" t="s">
        <v>1348</v>
      </c>
      <c r="R87" s="1" t="s">
        <v>1349</v>
      </c>
      <c r="S87" s="465">
        <v>8.32</v>
      </c>
      <c r="T87" s="1" t="s">
        <v>1353</v>
      </c>
      <c r="AA87" s="66">
        <v>260</v>
      </c>
      <c r="AB87" s="66" t="s">
        <v>1362</v>
      </c>
    </row>
    <row r="88" spans="1:32" x14ac:dyDescent="0.2">
      <c r="A88" s="471"/>
      <c r="M88" s="465"/>
      <c r="R88" s="1" t="s">
        <v>1340</v>
      </c>
      <c r="S88" s="466">
        <v>3.8</v>
      </c>
      <c r="T88" s="1" t="s">
        <v>494</v>
      </c>
      <c r="Y88">
        <f>Y85/Y86</f>
        <v>351</v>
      </c>
      <c r="Z88" s="1" t="s">
        <v>1361</v>
      </c>
      <c r="AA88">
        <f>Y88*AA87</f>
        <v>91260</v>
      </c>
      <c r="AB88" s="1" t="s">
        <v>1364</v>
      </c>
    </row>
    <row r="89" spans="1:32" x14ac:dyDescent="0.2">
      <c r="A89" s="471"/>
      <c r="M89" s="465"/>
      <c r="AA89" s="473">
        <f>AA88/1000000</f>
        <v>9.1259999999999994E-2</v>
      </c>
      <c r="AB89" s="1" t="s">
        <v>1365</v>
      </c>
    </row>
    <row r="90" spans="1:32" x14ac:dyDescent="0.2">
      <c r="A90" s="471"/>
      <c r="M90" s="465"/>
    </row>
    <row r="91" spans="1:32" x14ac:dyDescent="0.2">
      <c r="A91" s="471"/>
      <c r="M91" s="465"/>
    </row>
    <row r="92" spans="1:32" x14ac:dyDescent="0.2">
      <c r="A92" s="471"/>
      <c r="M92" s="465"/>
    </row>
    <row r="93" spans="1:32" x14ac:dyDescent="0.2">
      <c r="A93" s="471"/>
      <c r="M93" s="465"/>
    </row>
    <row r="94" spans="1:32" x14ac:dyDescent="0.2">
      <c r="A94" s="471"/>
      <c r="M94" s="465"/>
    </row>
    <row r="95" spans="1:32" x14ac:dyDescent="0.2">
      <c r="A95" s="471"/>
      <c r="M95" s="465"/>
    </row>
    <row r="96" spans="1:32" x14ac:dyDescent="0.2">
      <c r="A96" s="471"/>
      <c r="M96" s="465"/>
    </row>
    <row r="97" spans="1:13" x14ac:dyDescent="0.2">
      <c r="A97" s="471"/>
      <c r="M97" s="465"/>
    </row>
    <row r="98" spans="1:13" x14ac:dyDescent="0.2">
      <c r="A98" s="471"/>
      <c r="E98" s="1" t="s">
        <v>1355</v>
      </c>
      <c r="M98" s="465"/>
    </row>
    <row r="99" spans="1:13" x14ac:dyDescent="0.2">
      <c r="A99" s="471"/>
      <c r="D99" s="1" t="s">
        <v>1344</v>
      </c>
      <c r="E99">
        <v>3.5</v>
      </c>
      <c r="M99" s="465"/>
    </row>
    <row r="100" spans="1:13" x14ac:dyDescent="0.2">
      <c r="A100" s="471"/>
      <c r="D100" s="1" t="s">
        <v>1229</v>
      </c>
      <c r="E100">
        <v>10.9</v>
      </c>
      <c r="M100" s="465"/>
    </row>
    <row r="101" spans="1:13" x14ac:dyDescent="0.2">
      <c r="A101" s="471"/>
      <c r="D101" s="1" t="s">
        <v>1252</v>
      </c>
      <c r="E101">
        <v>10.9</v>
      </c>
      <c r="M101" s="465"/>
    </row>
    <row r="102" spans="1:13" x14ac:dyDescent="0.2">
      <c r="A102" s="471"/>
      <c r="D102" s="1" t="s">
        <v>1230</v>
      </c>
      <c r="E102">
        <v>9.8000000000000007</v>
      </c>
      <c r="M102" s="465"/>
    </row>
    <row r="103" spans="1:13" x14ac:dyDescent="0.2">
      <c r="A103" s="471"/>
      <c r="M103" s="465"/>
    </row>
    <row r="104" spans="1:13" x14ac:dyDescent="0.2">
      <c r="A104" s="472"/>
      <c r="B104" s="463"/>
      <c r="C104" s="463"/>
      <c r="D104" s="463"/>
      <c r="E104" s="463"/>
      <c r="F104" s="463"/>
      <c r="G104" s="463"/>
      <c r="H104" s="463"/>
      <c r="I104" s="463"/>
      <c r="J104" s="463"/>
      <c r="K104" s="463"/>
      <c r="L104" s="463"/>
      <c r="M104" s="466"/>
    </row>
  </sheetData>
  <mergeCells count="2">
    <mergeCell ref="P32:P37"/>
    <mergeCell ref="H4:N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x14ac:dyDescent="0.2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303</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301</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298</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296</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294</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273</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269</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263</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261</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259</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258</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227</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357</v>
      </c>
      <c r="B155" s="2">
        <f t="shared" ref="B155:B186" si="0">MATCH(A155,$A$8:$A$148,0)</f>
        <v>1</v>
      </c>
    </row>
    <row r="156" spans="1:142" x14ac:dyDescent="0.25">
      <c r="A156" s="33" t="s">
        <v>356</v>
      </c>
      <c r="B156" s="2">
        <f t="shared" si="0"/>
        <v>2</v>
      </c>
    </row>
    <row r="157" spans="1:142" x14ac:dyDescent="0.25">
      <c r="A157" s="33" t="s">
        <v>355</v>
      </c>
      <c r="B157" s="2">
        <f t="shared" si="0"/>
        <v>3</v>
      </c>
    </row>
    <row r="158" spans="1:142" x14ac:dyDescent="0.25">
      <c r="A158" s="33" t="s">
        <v>354</v>
      </c>
      <c r="B158" s="2">
        <f t="shared" si="0"/>
        <v>4</v>
      </c>
    </row>
    <row r="159" spans="1:142" x14ac:dyDescent="0.25">
      <c r="A159" s="33" t="s">
        <v>353</v>
      </c>
      <c r="B159" s="2">
        <f t="shared" si="0"/>
        <v>5</v>
      </c>
    </row>
    <row r="160" spans="1:142" x14ac:dyDescent="0.25">
      <c r="A160" s="33" t="s">
        <v>352</v>
      </c>
      <c r="B160" s="2">
        <f t="shared" si="0"/>
        <v>6</v>
      </c>
    </row>
    <row r="161" spans="1:2" x14ac:dyDescent="0.25">
      <c r="A161" s="33" t="s">
        <v>351</v>
      </c>
      <c r="B161" s="2">
        <f t="shared" si="0"/>
        <v>7</v>
      </c>
    </row>
    <row r="162" spans="1:2" x14ac:dyDescent="0.25">
      <c r="A162" s="33" t="s">
        <v>350</v>
      </c>
      <c r="B162" s="2">
        <f t="shared" si="0"/>
        <v>8</v>
      </c>
    </row>
    <row r="163" spans="1:2" x14ac:dyDescent="0.25">
      <c r="A163" s="33" t="s">
        <v>349</v>
      </c>
      <c r="B163" s="2">
        <f t="shared" si="0"/>
        <v>9</v>
      </c>
    </row>
    <row r="164" spans="1:2" x14ac:dyDescent="0.25">
      <c r="A164" s="33" t="s">
        <v>348</v>
      </c>
      <c r="B164" s="2">
        <f t="shared" si="0"/>
        <v>10</v>
      </c>
    </row>
    <row r="165" spans="1:2" x14ac:dyDescent="0.25">
      <c r="A165" s="33" t="s">
        <v>347</v>
      </c>
      <c r="B165" s="2">
        <f t="shared" si="0"/>
        <v>11</v>
      </c>
    </row>
    <row r="166" spans="1:2" x14ac:dyDescent="0.25">
      <c r="A166" s="33" t="s">
        <v>346</v>
      </c>
      <c r="B166" s="2">
        <f t="shared" si="0"/>
        <v>12</v>
      </c>
    </row>
    <row r="167" spans="1:2" x14ac:dyDescent="0.25">
      <c r="A167" s="33" t="s">
        <v>345</v>
      </c>
      <c r="B167" s="2">
        <f t="shared" si="0"/>
        <v>13</v>
      </c>
    </row>
    <row r="168" spans="1:2" x14ac:dyDescent="0.25">
      <c r="A168" s="33" t="s">
        <v>344</v>
      </c>
      <c r="B168" s="2">
        <f t="shared" si="0"/>
        <v>14</v>
      </c>
    </row>
    <row r="169" spans="1:2" x14ac:dyDescent="0.25">
      <c r="A169" s="33" t="s">
        <v>343</v>
      </c>
      <c r="B169" s="2">
        <f t="shared" si="0"/>
        <v>15</v>
      </c>
    </row>
    <row r="170" spans="1:2" x14ac:dyDescent="0.25">
      <c r="A170" s="33" t="s">
        <v>342</v>
      </c>
      <c r="B170" s="2">
        <f t="shared" si="0"/>
        <v>16</v>
      </c>
    </row>
    <row r="171" spans="1:2" x14ac:dyDescent="0.25">
      <c r="A171" s="33" t="s">
        <v>341</v>
      </c>
      <c r="B171" s="2">
        <f t="shared" si="0"/>
        <v>17</v>
      </c>
    </row>
    <row r="172" spans="1:2" x14ac:dyDescent="0.25">
      <c r="A172" s="33" t="s">
        <v>340</v>
      </c>
      <c r="B172" s="2">
        <f t="shared" si="0"/>
        <v>18</v>
      </c>
    </row>
    <row r="173" spans="1:2" x14ac:dyDescent="0.25">
      <c r="A173" s="33" t="s">
        <v>339</v>
      </c>
      <c r="B173" s="2">
        <f t="shared" si="0"/>
        <v>19</v>
      </c>
    </row>
    <row r="174" spans="1:2" x14ac:dyDescent="0.25">
      <c r="A174" s="33" t="s">
        <v>338</v>
      </c>
      <c r="B174" s="2">
        <f t="shared" si="0"/>
        <v>20</v>
      </c>
    </row>
    <row r="175" spans="1:2" x14ac:dyDescent="0.25">
      <c r="A175" s="33" t="s">
        <v>337</v>
      </c>
      <c r="B175" s="2">
        <f t="shared" si="0"/>
        <v>21</v>
      </c>
    </row>
    <row r="176" spans="1:2" x14ac:dyDescent="0.25">
      <c r="A176" s="33" t="s">
        <v>336</v>
      </c>
      <c r="B176" s="2">
        <f t="shared" si="0"/>
        <v>22</v>
      </c>
    </row>
    <row r="177" spans="1:2" x14ac:dyDescent="0.25">
      <c r="A177" s="33" t="s">
        <v>335</v>
      </c>
      <c r="B177" s="2">
        <f t="shared" si="0"/>
        <v>23</v>
      </c>
    </row>
    <row r="178" spans="1:2" x14ac:dyDescent="0.25">
      <c r="A178" s="33" t="s">
        <v>334</v>
      </c>
      <c r="B178" s="2">
        <f t="shared" si="0"/>
        <v>24</v>
      </c>
    </row>
    <row r="179" spans="1:2" x14ac:dyDescent="0.25">
      <c r="A179" s="33" t="s">
        <v>333</v>
      </c>
      <c r="B179" s="2">
        <f t="shared" si="0"/>
        <v>25</v>
      </c>
    </row>
    <row r="180" spans="1:2" x14ac:dyDescent="0.25">
      <c r="A180" s="33" t="s">
        <v>332</v>
      </c>
      <c r="B180" s="2">
        <f t="shared" si="0"/>
        <v>26</v>
      </c>
    </row>
    <row r="181" spans="1:2" x14ac:dyDescent="0.25">
      <c r="A181" s="33" t="s">
        <v>331</v>
      </c>
      <c r="B181" s="2">
        <f t="shared" si="0"/>
        <v>27</v>
      </c>
    </row>
    <row r="182" spans="1:2" x14ac:dyDescent="0.25">
      <c r="A182" s="33" t="s">
        <v>330</v>
      </c>
      <c r="B182" s="2">
        <f t="shared" si="0"/>
        <v>28</v>
      </c>
    </row>
    <row r="183" spans="1:2" x14ac:dyDescent="0.25">
      <c r="A183" s="33" t="s">
        <v>329</v>
      </c>
      <c r="B183" s="2">
        <f t="shared" si="0"/>
        <v>29</v>
      </c>
    </row>
    <row r="184" spans="1:2" x14ac:dyDescent="0.25">
      <c r="A184" s="33" t="s">
        <v>328</v>
      </c>
      <c r="B184" s="2">
        <f t="shared" si="0"/>
        <v>30</v>
      </c>
    </row>
    <row r="185" spans="1:2" x14ac:dyDescent="0.25">
      <c r="A185" s="33" t="s">
        <v>327</v>
      </c>
      <c r="B185" s="2">
        <f t="shared" si="0"/>
        <v>31</v>
      </c>
    </row>
    <row r="186" spans="1:2" x14ac:dyDescent="0.25">
      <c r="A186" s="33" t="s">
        <v>326</v>
      </c>
      <c r="B186" s="2">
        <f t="shared" si="0"/>
        <v>32</v>
      </c>
    </row>
    <row r="187" spans="1:2" x14ac:dyDescent="0.25">
      <c r="A187" s="33" t="s">
        <v>325</v>
      </c>
      <c r="B187" s="2">
        <f t="shared" ref="B187:B218" si="1">MATCH(A187,$A$8:$A$148,0)</f>
        <v>33</v>
      </c>
    </row>
    <row r="188" spans="1:2" x14ac:dyDescent="0.25">
      <c r="A188" s="33" t="s">
        <v>324</v>
      </c>
      <c r="B188" s="2">
        <f t="shared" si="1"/>
        <v>34</v>
      </c>
    </row>
    <row r="189" spans="1:2" x14ac:dyDescent="0.25">
      <c r="A189" s="33" t="s">
        <v>323</v>
      </c>
      <c r="B189" s="2">
        <f t="shared" si="1"/>
        <v>35</v>
      </c>
    </row>
    <row r="190" spans="1:2" x14ac:dyDescent="0.25">
      <c r="A190" s="33" t="s">
        <v>322</v>
      </c>
      <c r="B190" s="2">
        <f t="shared" si="1"/>
        <v>36</v>
      </c>
    </row>
    <row r="191" spans="1:2" x14ac:dyDescent="0.25">
      <c r="A191" s="33" t="s">
        <v>321</v>
      </c>
      <c r="B191" s="2">
        <f t="shared" si="1"/>
        <v>37</v>
      </c>
    </row>
    <row r="192" spans="1:2" x14ac:dyDescent="0.25">
      <c r="A192" s="33" t="s">
        <v>320</v>
      </c>
      <c r="B192" s="2">
        <f t="shared" si="1"/>
        <v>38</v>
      </c>
    </row>
    <row r="193" spans="1:2" x14ac:dyDescent="0.25">
      <c r="A193" s="33" t="s">
        <v>319</v>
      </c>
      <c r="B193" s="2">
        <f t="shared" si="1"/>
        <v>39</v>
      </c>
    </row>
    <row r="194" spans="1:2" x14ac:dyDescent="0.25">
      <c r="A194" s="33" t="s">
        <v>318</v>
      </c>
      <c r="B194" s="2">
        <f t="shared" si="1"/>
        <v>40</v>
      </c>
    </row>
    <row r="195" spans="1:2" x14ac:dyDescent="0.25">
      <c r="A195" s="33" t="s">
        <v>317</v>
      </c>
      <c r="B195" s="2">
        <f t="shared" si="1"/>
        <v>41</v>
      </c>
    </row>
    <row r="196" spans="1:2" x14ac:dyDescent="0.25">
      <c r="A196" s="33" t="s">
        <v>316</v>
      </c>
      <c r="B196" s="2">
        <f t="shared" si="1"/>
        <v>42</v>
      </c>
    </row>
    <row r="197" spans="1:2" x14ac:dyDescent="0.25">
      <c r="A197" s="33" t="s">
        <v>315</v>
      </c>
      <c r="B197" s="2">
        <f t="shared" si="1"/>
        <v>43</v>
      </c>
    </row>
    <row r="198" spans="1:2" x14ac:dyDescent="0.25">
      <c r="A198" s="33" t="s">
        <v>314</v>
      </c>
      <c r="B198" s="2">
        <f t="shared" si="1"/>
        <v>44</v>
      </c>
    </row>
    <row r="199" spans="1:2" x14ac:dyDescent="0.25">
      <c r="A199" s="33" t="s">
        <v>313</v>
      </c>
      <c r="B199" s="2">
        <f t="shared" si="1"/>
        <v>45</v>
      </c>
    </row>
    <row r="200" spans="1:2" x14ac:dyDescent="0.25">
      <c r="A200" s="33" t="s">
        <v>312</v>
      </c>
      <c r="B200" s="2">
        <f t="shared" si="1"/>
        <v>46</v>
      </c>
    </row>
    <row r="201" spans="1:2" x14ac:dyDescent="0.25">
      <c r="A201" s="33" t="s">
        <v>311</v>
      </c>
      <c r="B201" s="2">
        <f t="shared" si="1"/>
        <v>47</v>
      </c>
    </row>
    <row r="202" spans="1:2" x14ac:dyDescent="0.25">
      <c r="A202" s="33" t="s">
        <v>310</v>
      </c>
      <c r="B202" s="2">
        <f t="shared" si="1"/>
        <v>48</v>
      </c>
    </row>
    <row r="203" spans="1:2" x14ac:dyDescent="0.25">
      <c r="A203" s="33" t="s">
        <v>309</v>
      </c>
      <c r="B203" s="2">
        <f t="shared" si="1"/>
        <v>49</v>
      </c>
    </row>
    <row r="204" spans="1:2" x14ac:dyDescent="0.25">
      <c r="A204" s="33" t="s">
        <v>308</v>
      </c>
      <c r="B204" s="2">
        <f t="shared" si="1"/>
        <v>50</v>
      </c>
    </row>
    <row r="205" spans="1:2" x14ac:dyDescent="0.25">
      <c r="A205" s="33" t="s">
        <v>307</v>
      </c>
      <c r="B205" s="2">
        <f t="shared" si="1"/>
        <v>51</v>
      </c>
    </row>
    <row r="206" spans="1:2" x14ac:dyDescent="0.25">
      <c r="A206" s="33" t="s">
        <v>306</v>
      </c>
      <c r="B206" s="2">
        <f t="shared" si="1"/>
        <v>52</v>
      </c>
    </row>
    <row r="207" spans="1:2" x14ac:dyDescent="0.25">
      <c r="A207" s="33" t="s">
        <v>305</v>
      </c>
      <c r="B207" s="2">
        <f t="shared" si="1"/>
        <v>53</v>
      </c>
    </row>
    <row r="208" spans="1:2" x14ac:dyDescent="0.25">
      <c r="A208" s="33" t="s">
        <v>304</v>
      </c>
      <c r="B208" s="2">
        <f t="shared" si="1"/>
        <v>54</v>
      </c>
    </row>
    <row r="209" spans="1:2" x14ac:dyDescent="0.25">
      <c r="A209" s="33" t="s">
        <v>303</v>
      </c>
      <c r="B209" s="2">
        <f t="shared" si="1"/>
        <v>55</v>
      </c>
    </row>
    <row r="210" spans="1:2" x14ac:dyDescent="0.25">
      <c r="A210" s="33" t="s">
        <v>302</v>
      </c>
      <c r="B210" s="2">
        <f t="shared" si="1"/>
        <v>56</v>
      </c>
    </row>
    <row r="211" spans="1:2" x14ac:dyDescent="0.25">
      <c r="A211" s="33" t="s">
        <v>301</v>
      </c>
      <c r="B211" s="2">
        <f t="shared" si="1"/>
        <v>57</v>
      </c>
    </row>
    <row r="212" spans="1:2" x14ac:dyDescent="0.25">
      <c r="A212" s="33" t="s">
        <v>300</v>
      </c>
      <c r="B212" s="2">
        <f t="shared" si="1"/>
        <v>58</v>
      </c>
    </row>
    <row r="213" spans="1:2" x14ac:dyDescent="0.25">
      <c r="A213" s="33" t="s">
        <v>299</v>
      </c>
      <c r="B213" s="2">
        <f t="shared" si="1"/>
        <v>59</v>
      </c>
    </row>
    <row r="214" spans="1:2" x14ac:dyDescent="0.25">
      <c r="A214" s="33" t="s">
        <v>298</v>
      </c>
      <c r="B214" s="2">
        <f t="shared" si="1"/>
        <v>60</v>
      </c>
    </row>
    <row r="215" spans="1:2" x14ac:dyDescent="0.25">
      <c r="A215" s="33" t="s">
        <v>297</v>
      </c>
      <c r="B215" s="2">
        <f t="shared" si="1"/>
        <v>61</v>
      </c>
    </row>
    <row r="216" spans="1:2" x14ac:dyDescent="0.25">
      <c r="A216" s="33" t="s">
        <v>296</v>
      </c>
      <c r="B216" s="2">
        <f t="shared" si="1"/>
        <v>62</v>
      </c>
    </row>
    <row r="217" spans="1:2" x14ac:dyDescent="0.25">
      <c r="A217" s="33" t="s">
        <v>295</v>
      </c>
      <c r="B217" s="2">
        <f t="shared" si="1"/>
        <v>63</v>
      </c>
    </row>
    <row r="218" spans="1:2" x14ac:dyDescent="0.25">
      <c r="A218" s="33" t="s">
        <v>294</v>
      </c>
      <c r="B218" s="2">
        <f t="shared" si="1"/>
        <v>64</v>
      </c>
    </row>
    <row r="219" spans="1:2" x14ac:dyDescent="0.25">
      <c r="A219" s="33" t="s">
        <v>293</v>
      </c>
      <c r="B219" s="2">
        <f t="shared" ref="B219:B250" si="2">MATCH(A219,$A$8:$A$148,0)</f>
        <v>65</v>
      </c>
    </row>
    <row r="220" spans="1:2" x14ac:dyDescent="0.25">
      <c r="A220" s="33" t="s">
        <v>292</v>
      </c>
      <c r="B220" s="2">
        <f t="shared" si="2"/>
        <v>66</v>
      </c>
    </row>
    <row r="221" spans="1:2" x14ac:dyDescent="0.25">
      <c r="A221" s="33" t="s">
        <v>291</v>
      </c>
      <c r="B221" s="2">
        <f t="shared" si="2"/>
        <v>67</v>
      </c>
    </row>
    <row r="222" spans="1:2" x14ac:dyDescent="0.25">
      <c r="A222" s="33" t="s">
        <v>290</v>
      </c>
      <c r="B222" s="2">
        <f t="shared" si="2"/>
        <v>68</v>
      </c>
    </row>
    <row r="223" spans="1:2" x14ac:dyDescent="0.25">
      <c r="A223" s="33" t="s">
        <v>289</v>
      </c>
      <c r="B223" s="2">
        <f t="shared" si="2"/>
        <v>69</v>
      </c>
    </row>
    <row r="224" spans="1:2" x14ac:dyDescent="0.25">
      <c r="A224" s="33" t="s">
        <v>288</v>
      </c>
      <c r="B224" s="2">
        <f t="shared" si="2"/>
        <v>70</v>
      </c>
    </row>
    <row r="225" spans="1:2" x14ac:dyDescent="0.25">
      <c r="A225" s="33" t="s">
        <v>287</v>
      </c>
      <c r="B225" s="2">
        <f t="shared" si="2"/>
        <v>71</v>
      </c>
    </row>
    <row r="226" spans="1:2" x14ac:dyDescent="0.25">
      <c r="A226" s="33" t="s">
        <v>286</v>
      </c>
      <c r="B226" s="2">
        <f t="shared" si="2"/>
        <v>72</v>
      </c>
    </row>
    <row r="227" spans="1:2" x14ac:dyDescent="0.25">
      <c r="A227" s="33" t="s">
        <v>285</v>
      </c>
      <c r="B227" s="2">
        <f t="shared" si="2"/>
        <v>73</v>
      </c>
    </row>
    <row r="228" spans="1:2" x14ac:dyDescent="0.25">
      <c r="A228" s="33" t="s">
        <v>284</v>
      </c>
      <c r="B228" s="2">
        <f t="shared" si="2"/>
        <v>74</v>
      </c>
    </row>
    <row r="229" spans="1:2" x14ac:dyDescent="0.25">
      <c r="A229" s="33" t="s">
        <v>283</v>
      </c>
      <c r="B229" s="2">
        <f t="shared" si="2"/>
        <v>75</v>
      </c>
    </row>
    <row r="230" spans="1:2" x14ac:dyDescent="0.25">
      <c r="A230" s="33" t="s">
        <v>282</v>
      </c>
      <c r="B230" s="2">
        <f t="shared" si="2"/>
        <v>76</v>
      </c>
    </row>
    <row r="231" spans="1:2" x14ac:dyDescent="0.25">
      <c r="A231" s="33" t="s">
        <v>281</v>
      </c>
      <c r="B231" s="2">
        <f t="shared" si="2"/>
        <v>77</v>
      </c>
    </row>
    <row r="232" spans="1:2" x14ac:dyDescent="0.25">
      <c r="A232" s="33" t="s">
        <v>280</v>
      </c>
      <c r="B232" s="2">
        <f t="shared" si="2"/>
        <v>78</v>
      </c>
    </row>
    <row r="233" spans="1:2" x14ac:dyDescent="0.25">
      <c r="A233" s="33" t="s">
        <v>279</v>
      </c>
      <c r="B233" s="2">
        <f t="shared" si="2"/>
        <v>79</v>
      </c>
    </row>
    <row r="234" spans="1:2" x14ac:dyDescent="0.25">
      <c r="A234" s="33" t="s">
        <v>278</v>
      </c>
      <c r="B234" s="2">
        <f t="shared" si="2"/>
        <v>80</v>
      </c>
    </row>
    <row r="235" spans="1:2" x14ac:dyDescent="0.25">
      <c r="A235" s="33" t="s">
        <v>277</v>
      </c>
      <c r="B235" s="2">
        <f t="shared" si="2"/>
        <v>81</v>
      </c>
    </row>
    <row r="236" spans="1:2" x14ac:dyDescent="0.25">
      <c r="A236" s="33" t="s">
        <v>276</v>
      </c>
      <c r="B236" s="2">
        <f t="shared" si="2"/>
        <v>82</v>
      </c>
    </row>
    <row r="237" spans="1:2" x14ac:dyDescent="0.25">
      <c r="A237" s="33" t="s">
        <v>275</v>
      </c>
      <c r="B237" s="2">
        <f t="shared" si="2"/>
        <v>83</v>
      </c>
    </row>
    <row r="238" spans="1:2" x14ac:dyDescent="0.25">
      <c r="A238" s="33" t="s">
        <v>274</v>
      </c>
      <c r="B238" s="2">
        <f t="shared" si="2"/>
        <v>84</v>
      </c>
    </row>
    <row r="239" spans="1:2" x14ac:dyDescent="0.25">
      <c r="A239" s="33" t="s">
        <v>273</v>
      </c>
      <c r="B239" s="2">
        <f t="shared" si="2"/>
        <v>85</v>
      </c>
    </row>
    <row r="240" spans="1:2" x14ac:dyDescent="0.25">
      <c r="A240" s="33" t="s">
        <v>272</v>
      </c>
      <c r="B240" s="2">
        <f t="shared" si="2"/>
        <v>86</v>
      </c>
    </row>
    <row r="241" spans="1:2" x14ac:dyDescent="0.25">
      <c r="A241" s="33" t="s">
        <v>271</v>
      </c>
      <c r="B241" s="2">
        <f t="shared" si="2"/>
        <v>87</v>
      </c>
    </row>
    <row r="242" spans="1:2" x14ac:dyDescent="0.25">
      <c r="A242" s="33" t="s">
        <v>270</v>
      </c>
      <c r="B242" s="2">
        <f t="shared" si="2"/>
        <v>88</v>
      </c>
    </row>
    <row r="243" spans="1:2" x14ac:dyDescent="0.25">
      <c r="A243" s="33" t="s">
        <v>269</v>
      </c>
      <c r="B243" s="2">
        <f t="shared" si="2"/>
        <v>89</v>
      </c>
    </row>
    <row r="244" spans="1:2" x14ac:dyDescent="0.25">
      <c r="A244" s="33" t="s">
        <v>268</v>
      </c>
      <c r="B244" s="2">
        <f t="shared" si="2"/>
        <v>90</v>
      </c>
    </row>
    <row r="245" spans="1:2" x14ac:dyDescent="0.25">
      <c r="A245" s="33" t="s">
        <v>267</v>
      </c>
      <c r="B245" s="2">
        <f t="shared" si="2"/>
        <v>91</v>
      </c>
    </row>
    <row r="246" spans="1:2" x14ac:dyDescent="0.25">
      <c r="A246" s="33" t="s">
        <v>266</v>
      </c>
      <c r="B246" s="2">
        <f t="shared" si="2"/>
        <v>92</v>
      </c>
    </row>
    <row r="247" spans="1:2" x14ac:dyDescent="0.25">
      <c r="A247" s="33" t="s">
        <v>265</v>
      </c>
      <c r="B247" s="2">
        <f t="shared" si="2"/>
        <v>93</v>
      </c>
    </row>
    <row r="248" spans="1:2" x14ac:dyDescent="0.25">
      <c r="A248" s="33" t="s">
        <v>264</v>
      </c>
      <c r="B248" s="2">
        <f t="shared" si="2"/>
        <v>94</v>
      </c>
    </row>
    <row r="249" spans="1:2" x14ac:dyDescent="0.25">
      <c r="A249" s="33" t="s">
        <v>263</v>
      </c>
      <c r="B249" s="2">
        <f t="shared" si="2"/>
        <v>95</v>
      </c>
    </row>
    <row r="250" spans="1:2" x14ac:dyDescent="0.25">
      <c r="A250" s="33" t="s">
        <v>262</v>
      </c>
      <c r="B250" s="2">
        <f t="shared" si="2"/>
        <v>96</v>
      </c>
    </row>
    <row r="251" spans="1:2" x14ac:dyDescent="0.25">
      <c r="A251" s="33" t="s">
        <v>261</v>
      </c>
      <c r="B251" s="2">
        <f t="shared" ref="B251:B282" si="3">MATCH(A251,$A$8:$A$148,0)</f>
        <v>97</v>
      </c>
    </row>
    <row r="252" spans="1:2" x14ac:dyDescent="0.25">
      <c r="A252" s="33" t="s">
        <v>260</v>
      </c>
      <c r="B252" s="2">
        <f t="shared" si="3"/>
        <v>98</v>
      </c>
    </row>
    <row r="253" spans="1:2" x14ac:dyDescent="0.25">
      <c r="A253" s="33" t="s">
        <v>259</v>
      </c>
      <c r="B253" s="2">
        <f t="shared" si="3"/>
        <v>99</v>
      </c>
    </row>
    <row r="254" spans="1:2" x14ac:dyDescent="0.25">
      <c r="A254" s="33" t="s">
        <v>258</v>
      </c>
      <c r="B254" s="2">
        <f t="shared" si="3"/>
        <v>100</v>
      </c>
    </row>
    <row r="255" spans="1:2" x14ac:dyDescent="0.25">
      <c r="A255" s="33" t="s">
        <v>257</v>
      </c>
      <c r="B255" s="2">
        <f t="shared" si="3"/>
        <v>101</v>
      </c>
    </row>
    <row r="256" spans="1:2" x14ac:dyDescent="0.25">
      <c r="A256" s="33" t="s">
        <v>256</v>
      </c>
      <c r="B256" s="2">
        <f t="shared" si="3"/>
        <v>102</v>
      </c>
    </row>
    <row r="257" spans="1:2" x14ac:dyDescent="0.25">
      <c r="A257" s="33" t="s">
        <v>255</v>
      </c>
      <c r="B257" s="2">
        <f t="shared" si="3"/>
        <v>103</v>
      </c>
    </row>
    <row r="258" spans="1:2" x14ac:dyDescent="0.25">
      <c r="A258" s="33" t="s">
        <v>254</v>
      </c>
      <c r="B258" s="2">
        <f t="shared" si="3"/>
        <v>104</v>
      </c>
    </row>
    <row r="259" spans="1:2" x14ac:dyDescent="0.25">
      <c r="A259" s="33" t="s">
        <v>253</v>
      </c>
      <c r="B259" s="2">
        <f t="shared" si="3"/>
        <v>105</v>
      </c>
    </row>
    <row r="260" spans="1:2" x14ac:dyDescent="0.25">
      <c r="A260" s="33" t="s">
        <v>252</v>
      </c>
      <c r="B260" s="2">
        <f t="shared" si="3"/>
        <v>106</v>
      </c>
    </row>
    <row r="261" spans="1:2" x14ac:dyDescent="0.25">
      <c r="A261" s="33" t="s">
        <v>134</v>
      </c>
      <c r="B261" s="2">
        <f t="shared" si="3"/>
        <v>107</v>
      </c>
    </row>
    <row r="262" spans="1:2" x14ac:dyDescent="0.25">
      <c r="A262" s="33" t="s">
        <v>132</v>
      </c>
      <c r="B262" s="2">
        <f t="shared" si="3"/>
        <v>108</v>
      </c>
    </row>
    <row r="263" spans="1:2" x14ac:dyDescent="0.25">
      <c r="A263" s="33" t="s">
        <v>130</v>
      </c>
      <c r="B263" s="2">
        <f t="shared" si="3"/>
        <v>109</v>
      </c>
    </row>
    <row r="264" spans="1:2" x14ac:dyDescent="0.25">
      <c r="A264" s="33" t="s">
        <v>128</v>
      </c>
      <c r="B264" s="2">
        <f t="shared" si="3"/>
        <v>110</v>
      </c>
    </row>
    <row r="265" spans="1:2" x14ac:dyDescent="0.25">
      <c r="A265" s="33" t="s">
        <v>251</v>
      </c>
      <c r="B265" s="2">
        <f t="shared" si="3"/>
        <v>111</v>
      </c>
    </row>
    <row r="266" spans="1:2" x14ac:dyDescent="0.25">
      <c r="A266" s="33" t="s">
        <v>250</v>
      </c>
      <c r="B266" s="2">
        <f t="shared" si="3"/>
        <v>112</v>
      </c>
    </row>
    <row r="267" spans="1:2" x14ac:dyDescent="0.25">
      <c r="A267" s="33" t="s">
        <v>249</v>
      </c>
      <c r="B267" s="2">
        <f t="shared" si="3"/>
        <v>113</v>
      </c>
    </row>
    <row r="268" spans="1:2" x14ac:dyDescent="0.25">
      <c r="A268" s="33" t="s">
        <v>248</v>
      </c>
      <c r="B268" s="2">
        <f t="shared" si="3"/>
        <v>114</v>
      </c>
    </row>
    <row r="269" spans="1:2" x14ac:dyDescent="0.25">
      <c r="A269" s="33" t="s">
        <v>247</v>
      </c>
      <c r="B269" s="2">
        <f t="shared" si="3"/>
        <v>115</v>
      </c>
    </row>
    <row r="270" spans="1:2" x14ac:dyDescent="0.25">
      <c r="A270" s="33" t="s">
        <v>246</v>
      </c>
      <c r="B270" s="2">
        <f t="shared" si="3"/>
        <v>116</v>
      </c>
    </row>
    <row r="271" spans="1:2" x14ac:dyDescent="0.25">
      <c r="A271" s="33" t="s">
        <v>245</v>
      </c>
      <c r="B271" s="2">
        <f t="shared" si="3"/>
        <v>117</v>
      </c>
    </row>
    <row r="272" spans="1:2" x14ac:dyDescent="0.25">
      <c r="A272" s="33" t="s">
        <v>244</v>
      </c>
      <c r="B272" s="2">
        <f t="shared" si="3"/>
        <v>118</v>
      </c>
    </row>
    <row r="273" spans="1:2" x14ac:dyDescent="0.25">
      <c r="A273" s="33" t="s">
        <v>243</v>
      </c>
      <c r="B273" s="2">
        <f t="shared" si="3"/>
        <v>119</v>
      </c>
    </row>
    <row r="274" spans="1:2" x14ac:dyDescent="0.25">
      <c r="A274" s="33" t="s">
        <v>242</v>
      </c>
      <c r="B274" s="2">
        <f t="shared" si="3"/>
        <v>120</v>
      </c>
    </row>
    <row r="275" spans="1:2" x14ac:dyDescent="0.25">
      <c r="A275" s="33" t="s">
        <v>241</v>
      </c>
      <c r="B275" s="2">
        <f t="shared" si="3"/>
        <v>121</v>
      </c>
    </row>
    <row r="276" spans="1:2" x14ac:dyDescent="0.25">
      <c r="A276" s="33" t="s">
        <v>240</v>
      </c>
      <c r="B276" s="2">
        <f t="shared" si="3"/>
        <v>122</v>
      </c>
    </row>
    <row r="277" spans="1:2" x14ac:dyDescent="0.25">
      <c r="A277" s="33" t="s">
        <v>239</v>
      </c>
      <c r="B277" s="2">
        <f t="shared" si="3"/>
        <v>123</v>
      </c>
    </row>
    <row r="278" spans="1:2" x14ac:dyDescent="0.25">
      <c r="A278" s="33" t="s">
        <v>238</v>
      </c>
      <c r="B278" s="2">
        <f t="shared" si="3"/>
        <v>124</v>
      </c>
    </row>
    <row r="279" spans="1:2" x14ac:dyDescent="0.25">
      <c r="A279" s="33" t="s">
        <v>237</v>
      </c>
      <c r="B279" s="2">
        <f t="shared" si="3"/>
        <v>125</v>
      </c>
    </row>
    <row r="280" spans="1:2" x14ac:dyDescent="0.25">
      <c r="A280" s="33" t="s">
        <v>236</v>
      </c>
      <c r="B280" s="2">
        <f t="shared" si="3"/>
        <v>126</v>
      </c>
    </row>
    <row r="281" spans="1:2" x14ac:dyDescent="0.25">
      <c r="A281" s="33" t="s">
        <v>235</v>
      </c>
      <c r="B281" s="2">
        <f t="shared" si="3"/>
        <v>127</v>
      </c>
    </row>
    <row r="282" spans="1:2" x14ac:dyDescent="0.25">
      <c r="A282" s="33" t="s">
        <v>234</v>
      </c>
      <c r="B282" s="2">
        <f t="shared" si="3"/>
        <v>128</v>
      </c>
    </row>
    <row r="283" spans="1:2" x14ac:dyDescent="0.25">
      <c r="A283" s="33" t="s">
        <v>233</v>
      </c>
      <c r="B283" s="2">
        <f t="shared" ref="B283:B295" si="4">MATCH(A283,$A$8:$A$148,0)</f>
        <v>129</v>
      </c>
    </row>
    <row r="284" spans="1:2" x14ac:dyDescent="0.25">
      <c r="A284" s="33" t="s">
        <v>232</v>
      </c>
      <c r="B284" s="2">
        <f t="shared" si="4"/>
        <v>130</v>
      </c>
    </row>
    <row r="285" spans="1:2" x14ac:dyDescent="0.25">
      <c r="A285" s="33" t="s">
        <v>231</v>
      </c>
      <c r="B285" s="2">
        <f t="shared" si="4"/>
        <v>131</v>
      </c>
    </row>
    <row r="286" spans="1:2" x14ac:dyDescent="0.25">
      <c r="A286" s="33" t="s">
        <v>230</v>
      </c>
      <c r="B286" s="2">
        <f t="shared" si="4"/>
        <v>132</v>
      </c>
    </row>
    <row r="287" spans="1:2" x14ac:dyDescent="0.25">
      <c r="A287" s="33" t="s">
        <v>229</v>
      </c>
      <c r="B287" s="2">
        <f t="shared" si="4"/>
        <v>133</v>
      </c>
    </row>
    <row r="288" spans="1:2" x14ac:dyDescent="0.25">
      <c r="A288" s="33" t="s">
        <v>228</v>
      </c>
      <c r="B288" s="2">
        <f t="shared" si="4"/>
        <v>134</v>
      </c>
    </row>
    <row r="289" spans="1:2" x14ac:dyDescent="0.25">
      <c r="A289" s="33" t="s">
        <v>227</v>
      </c>
      <c r="B289" s="2">
        <f t="shared" si="4"/>
        <v>135</v>
      </c>
    </row>
    <row r="290" spans="1:2" x14ac:dyDescent="0.25">
      <c r="A290" s="33" t="s">
        <v>226</v>
      </c>
      <c r="B290" s="2">
        <f t="shared" si="4"/>
        <v>136</v>
      </c>
    </row>
    <row r="291" spans="1:2" x14ac:dyDescent="0.25">
      <c r="A291" s="33" t="s">
        <v>225</v>
      </c>
      <c r="B291" s="2">
        <f t="shared" si="4"/>
        <v>137</v>
      </c>
    </row>
    <row r="292" spans="1:2" x14ac:dyDescent="0.25">
      <c r="A292" s="33" t="s">
        <v>224</v>
      </c>
      <c r="B292" s="2">
        <f t="shared" si="4"/>
        <v>138</v>
      </c>
    </row>
    <row r="293" spans="1:2" x14ac:dyDescent="0.25">
      <c r="A293" s="33" t="s">
        <v>223</v>
      </c>
      <c r="B293" s="2">
        <f t="shared" si="4"/>
        <v>139</v>
      </c>
    </row>
    <row r="294" spans="1:2" x14ac:dyDescent="0.25">
      <c r="A294" s="33" t="s">
        <v>222</v>
      </c>
      <c r="B294" s="2">
        <f t="shared" si="4"/>
        <v>140</v>
      </c>
    </row>
    <row r="295" spans="1:2" x14ac:dyDescent="0.2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heetViews>
  <sheetFormatPr defaultRowHeight="15" x14ac:dyDescent="0.25"/>
  <cols>
    <col min="1" max="16384" width="9.140625" style="2"/>
  </cols>
  <sheetData>
    <row r="4" spans="3:29" x14ac:dyDescent="0.25">
      <c r="C4" s="43" t="s">
        <v>386</v>
      </c>
      <c r="R4" s="43" t="s">
        <v>385</v>
      </c>
    </row>
    <row r="5" spans="3:29" x14ac:dyDescent="0.25">
      <c r="D5" s="33" t="s">
        <v>384</v>
      </c>
      <c r="E5" s="33" t="s">
        <v>383</v>
      </c>
      <c r="F5" s="33" t="s">
        <v>379</v>
      </c>
      <c r="G5" s="33" t="s">
        <v>378</v>
      </c>
      <c r="H5" s="33" t="s">
        <v>376</v>
      </c>
      <c r="I5" s="33" t="s">
        <v>375</v>
      </c>
      <c r="J5" s="33" t="s">
        <v>374</v>
      </c>
      <c r="K5" s="33" t="s">
        <v>372</v>
      </c>
      <c r="L5" s="33" t="s">
        <v>371</v>
      </c>
      <c r="M5" s="33" t="s">
        <v>370</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134</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134</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132</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132</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130</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128</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382</v>
      </c>
      <c r="R13" s="43" t="s">
        <v>381</v>
      </c>
    </row>
    <row r="14" spans="3:29" x14ac:dyDescent="0.2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x14ac:dyDescent="0.25">
      <c r="C15" s="41" t="s">
        <v>134</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134</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132</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130</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128</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369</v>
      </c>
    </row>
    <row r="24" spans="3:29" x14ac:dyDescent="0.25">
      <c r="C24" s="2" t="s">
        <v>368</v>
      </c>
    </row>
    <row r="26" spans="3:29" x14ac:dyDescent="0.25">
      <c r="C26" s="2" t="s">
        <v>367</v>
      </c>
      <c r="I26" s="2" t="s">
        <v>366</v>
      </c>
      <c r="M26" s="2" t="s">
        <v>365</v>
      </c>
      <c r="Q26" s="2" t="s">
        <v>364</v>
      </c>
      <c r="S26" s="2" t="s">
        <v>363</v>
      </c>
      <c r="U26" s="2" t="s">
        <v>362</v>
      </c>
    </row>
    <row r="27" spans="3:29" x14ac:dyDescent="0.25">
      <c r="F27" s="2">
        <v>2012</v>
      </c>
      <c r="G27" s="2" t="s">
        <v>65</v>
      </c>
      <c r="J27" s="2">
        <v>2012</v>
      </c>
      <c r="N27" s="2">
        <v>2012</v>
      </c>
      <c r="V27" s="2" t="s">
        <v>321</v>
      </c>
    </row>
    <row r="28" spans="3:29" x14ac:dyDescent="0.25">
      <c r="C28" s="2" t="s">
        <v>134</v>
      </c>
      <c r="D28" s="2" t="s">
        <v>127</v>
      </c>
      <c r="E28" s="2" t="s">
        <v>126</v>
      </c>
      <c r="F28" s="2">
        <v>3.7305999999999999</v>
      </c>
      <c r="G28" s="2">
        <f>F28/$F$32</f>
        <v>5.1587548519758449E-2</v>
      </c>
      <c r="I28" s="2" t="s">
        <v>134</v>
      </c>
      <c r="J28" s="2">
        <v>3.9E-2</v>
      </c>
      <c r="M28" s="2" t="s">
        <v>134</v>
      </c>
      <c r="N28" s="2">
        <v>2.8210000000000002</v>
      </c>
      <c r="Q28" s="2">
        <f>J28*N28</f>
        <v>0.11001900000000001</v>
      </c>
      <c r="S28" s="39">
        <f>F28*J28*N28</f>
        <v>0.41043688140000001</v>
      </c>
      <c r="U28" s="2" t="s">
        <v>134</v>
      </c>
      <c r="V28" s="2">
        <v>0.41</v>
      </c>
    </row>
    <row r="29" spans="3:29" x14ac:dyDescent="0.25">
      <c r="C29" s="2" t="s">
        <v>132</v>
      </c>
      <c r="D29" s="2" t="s">
        <v>127</v>
      </c>
      <c r="E29" s="2" t="s">
        <v>126</v>
      </c>
      <c r="F29" s="2">
        <v>4.2457000000000003</v>
      </c>
      <c r="G29" s="2">
        <f>F29/$F$32</f>
        <v>5.8710463397399472E-2</v>
      </c>
      <c r="I29" s="2" t="s">
        <v>132</v>
      </c>
      <c r="J29" s="2">
        <v>0.05</v>
      </c>
      <c r="M29" s="2" t="s">
        <v>132</v>
      </c>
      <c r="N29" s="2">
        <v>2.2549999999999999</v>
      </c>
      <c r="Q29" s="2">
        <f>J29*N29</f>
        <v>0.11275</v>
      </c>
      <c r="S29" s="39">
        <f>F29*J29*N29</f>
        <v>0.47870267500000002</v>
      </c>
      <c r="U29" s="2" t="s">
        <v>132</v>
      </c>
      <c r="V29" s="2">
        <v>0.48299999999999998</v>
      </c>
    </row>
    <row r="30" spans="3:29" x14ac:dyDescent="0.25">
      <c r="C30" s="2" t="s">
        <v>130</v>
      </c>
      <c r="D30" s="2" t="s">
        <v>127</v>
      </c>
      <c r="E30" s="2" t="s">
        <v>126</v>
      </c>
      <c r="F30" s="2">
        <v>14.047700000000001</v>
      </c>
      <c r="G30" s="2">
        <f>F30/$F$32</f>
        <v>0.19425465215810078</v>
      </c>
      <c r="I30" s="2" t="s">
        <v>130</v>
      </c>
      <c r="J30" s="2">
        <v>8.8999999999999996E-2</v>
      </c>
      <c r="M30" s="2" t="s">
        <v>130</v>
      </c>
      <c r="N30" s="2">
        <v>1.946</v>
      </c>
      <c r="Q30" s="2">
        <f>J30*N30</f>
        <v>0.17319399999999999</v>
      </c>
      <c r="S30" s="39">
        <f>F30*J30*N30</f>
        <v>2.4329773538000001</v>
      </c>
      <c r="U30" s="2" t="s">
        <v>130</v>
      </c>
      <c r="V30" s="2">
        <v>2.444</v>
      </c>
    </row>
    <row r="31" spans="3:29" x14ac:dyDescent="0.2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3:29" x14ac:dyDescent="0.25">
      <c r="F32" s="2">
        <f>SUM(F28:F31)</f>
        <v>72.315899999999999</v>
      </c>
      <c r="V32" s="2">
        <f>SUM(V28:V31)</f>
        <v>23.198</v>
      </c>
    </row>
    <row r="33" spans="5:22" x14ac:dyDescent="0.25">
      <c r="U33" s="2" t="s">
        <v>361</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360</v>
      </c>
      <c r="K39" s="2" t="s">
        <v>359</v>
      </c>
      <c r="N39" s="2" t="s">
        <v>358</v>
      </c>
    </row>
    <row r="40" spans="5:22" x14ac:dyDescent="0.25">
      <c r="F40" s="2" t="s">
        <v>134</v>
      </c>
      <c r="G40" s="2" t="s">
        <v>132</v>
      </c>
      <c r="H40" s="2" t="s">
        <v>130</v>
      </c>
      <c r="I40" s="2" t="s">
        <v>128</v>
      </c>
      <c r="L40" s="2" t="s">
        <v>321</v>
      </c>
      <c r="Q40" s="2">
        <v>2012</v>
      </c>
    </row>
    <row r="41" spans="5:22" x14ac:dyDescent="0.25">
      <c r="E41" s="2">
        <v>2012</v>
      </c>
      <c r="F41" s="2">
        <v>4.4299999999999999E-2</v>
      </c>
      <c r="G41" s="2">
        <v>5.04E-2</v>
      </c>
      <c r="H41" s="2">
        <v>0.16669999999999999</v>
      </c>
      <c r="I41" s="2">
        <v>0.59689999999999999</v>
      </c>
      <c r="K41" s="2">
        <v>2012</v>
      </c>
      <c r="L41" s="2">
        <v>0.11017</v>
      </c>
      <c r="N41" s="2" t="s">
        <v>321</v>
      </c>
      <c r="O41" s="2" t="s">
        <v>126</v>
      </c>
      <c r="P41" s="2">
        <v>2050</v>
      </c>
      <c r="Q41" s="2">
        <v>765</v>
      </c>
    </row>
    <row r="42" spans="5:22" x14ac:dyDescent="0.2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457</v>
      </c>
      <c r="W4" s="7"/>
    </row>
    <row r="5" spans="4:23" x14ac:dyDescent="0.25">
      <c r="E5" s="43" t="s">
        <v>472</v>
      </c>
      <c r="F5" s="2" t="s">
        <v>449</v>
      </c>
      <c r="G5" s="36">
        <f>SAM!AL119</f>
        <v>61052.790993083603</v>
      </c>
      <c r="H5" s="2" t="s">
        <v>465</v>
      </c>
      <c r="W5" s="7"/>
    </row>
    <row r="6" spans="4:23" x14ac:dyDescent="0.25">
      <c r="E6" s="43" t="s">
        <v>471</v>
      </c>
      <c r="F6" s="2" t="s">
        <v>449</v>
      </c>
      <c r="G6" s="36">
        <f>G5*1.172</f>
        <v>71553.871043893974</v>
      </c>
      <c r="H6" s="2" t="s">
        <v>463</v>
      </c>
      <c r="W6" s="7"/>
    </row>
    <row r="7" spans="4:23" x14ac:dyDescent="0.25">
      <c r="E7" s="43" t="s">
        <v>433</v>
      </c>
      <c r="F7" s="2" t="s">
        <v>449</v>
      </c>
      <c r="G7" s="36">
        <f>H51*$G$6</f>
        <v>26551.502063613778</v>
      </c>
      <c r="W7" s="7"/>
    </row>
    <row r="8" spans="4:23" x14ac:dyDescent="0.25">
      <c r="E8" s="43" t="s">
        <v>437</v>
      </c>
      <c r="F8" s="2" t="s">
        <v>449</v>
      </c>
      <c r="G8" s="36">
        <f>H52*$G$6</f>
        <v>10262.042713754645</v>
      </c>
      <c r="W8" s="7"/>
    </row>
    <row r="9" spans="4:23" x14ac:dyDescent="0.25">
      <c r="E9" s="43" t="s">
        <v>467</v>
      </c>
      <c r="F9" s="2" t="s">
        <v>449</v>
      </c>
      <c r="G9" s="36">
        <f>H53*$G$6</f>
        <v>34740.326266525561</v>
      </c>
      <c r="W9" s="7"/>
    </row>
    <row r="10" spans="4:23" x14ac:dyDescent="0.25">
      <c r="E10" s="43" t="s">
        <v>470</v>
      </c>
      <c r="F10" s="2" t="s">
        <v>449</v>
      </c>
      <c r="G10" s="36">
        <f>SUM(SAM!AL59:AL117)-SAM!AL79-SAM!AL62-SAM!AL65-SAM!AL67-SAM!AL103</f>
        <v>41635.018826606982</v>
      </c>
      <c r="W10" s="7"/>
    </row>
    <row r="11" spans="4:23" x14ac:dyDescent="0.25">
      <c r="E11" s="43" t="s">
        <v>469</v>
      </c>
      <c r="F11" s="2" t="s">
        <v>449</v>
      </c>
      <c r="G11" s="36">
        <f>G10*1.172</f>
        <v>48796.242064783379</v>
      </c>
      <c r="H11" s="2" t="s">
        <v>463</v>
      </c>
      <c r="W11" s="7"/>
    </row>
    <row r="12" spans="4:23" x14ac:dyDescent="0.25">
      <c r="E12" s="43" t="s">
        <v>433</v>
      </c>
      <c r="F12" s="2" t="s">
        <v>449</v>
      </c>
      <c r="G12" s="36">
        <f>H51*$G$11</f>
        <v>18106.826408943169</v>
      </c>
      <c r="W12" s="7"/>
    </row>
    <row r="13" spans="4:23" x14ac:dyDescent="0.25">
      <c r="E13" s="43" t="s">
        <v>468</v>
      </c>
      <c r="F13" s="2" t="s">
        <v>449</v>
      </c>
      <c r="G13" s="36">
        <f>H52*$G$11</f>
        <v>6998.2114598990574</v>
      </c>
      <c r="W13" s="7"/>
    </row>
    <row r="14" spans="4:23" x14ac:dyDescent="0.25">
      <c r="E14" s="43" t="s">
        <v>467</v>
      </c>
      <c r="F14" s="2" t="s">
        <v>449</v>
      </c>
      <c r="G14" s="36">
        <f>H53*$G$11</f>
        <v>23691.204195941154</v>
      </c>
    </row>
    <row r="15" spans="4:23" x14ac:dyDescent="0.25">
      <c r="E15" s="43" t="s">
        <v>466</v>
      </c>
      <c r="F15" s="2" t="s">
        <v>449</v>
      </c>
      <c r="G15" s="36">
        <f>SAM!AL62+SAM!AL79+SAM!AL103+SAM!AL142</f>
        <v>38479.313744107218</v>
      </c>
      <c r="H15" s="2" t="s">
        <v>465</v>
      </c>
      <c r="J15" s="36"/>
    </row>
    <row r="16" spans="4:23" x14ac:dyDescent="0.25">
      <c r="E16" s="43" t="s">
        <v>464</v>
      </c>
      <c r="F16" s="2" t="s">
        <v>449</v>
      </c>
      <c r="G16" s="36">
        <f>G15*1.172</f>
        <v>45097.755708093653</v>
      </c>
      <c r="H16" s="2" t="s">
        <v>463</v>
      </c>
    </row>
    <row r="17" spans="5:9" x14ac:dyDescent="0.25">
      <c r="E17" s="43" t="s">
        <v>60</v>
      </c>
      <c r="F17" s="2" t="s">
        <v>449</v>
      </c>
      <c r="G17" s="36">
        <f>G16+G11+G6</f>
        <v>165447.86881677102</v>
      </c>
      <c r="H17" s="36">
        <f>G5+G10+G15</f>
        <v>141167.1235637978</v>
      </c>
    </row>
    <row r="18" spans="5:9" x14ac:dyDescent="0.25">
      <c r="E18" s="43" t="s">
        <v>462</v>
      </c>
      <c r="F18" s="2" t="s">
        <v>179</v>
      </c>
      <c r="G18" s="50">
        <v>208</v>
      </c>
      <c r="H18" s="2">
        <f>764/3.6</f>
        <v>212.22222222222223</v>
      </c>
    </row>
    <row r="19" spans="5:9" x14ac:dyDescent="0.25">
      <c r="E19" s="43" t="s">
        <v>461</v>
      </c>
      <c r="F19" s="2" t="s">
        <v>459</v>
      </c>
      <c r="G19" s="39">
        <f>G17/G18/1000</f>
        <v>0.79542244623447611</v>
      </c>
      <c r="H19" s="39">
        <f>H17/H18/1000</f>
        <v>0.66518539899171736</v>
      </c>
      <c r="I19" s="2">
        <f>0.183*3.6</f>
        <v>0.65880000000000005</v>
      </c>
    </row>
    <row r="20" spans="5:9" x14ac:dyDescent="0.25">
      <c r="E20" s="43" t="s">
        <v>460</v>
      </c>
      <c r="F20" s="2" t="s">
        <v>459</v>
      </c>
      <c r="G20" s="39">
        <f>G19/1.172</f>
        <v>0.67868809405672026</v>
      </c>
      <c r="H20" s="39"/>
    </row>
    <row r="21" spans="5:9" x14ac:dyDescent="0.25">
      <c r="E21" s="43" t="s">
        <v>146</v>
      </c>
      <c r="G21" s="2" t="s">
        <v>458</v>
      </c>
      <c r="H21" s="2" t="s">
        <v>457</v>
      </c>
    </row>
    <row r="22" spans="5:9" x14ac:dyDescent="0.25">
      <c r="E22" s="43" t="s">
        <v>105</v>
      </c>
      <c r="F22" s="2" t="s">
        <v>449</v>
      </c>
      <c r="G22" s="2">
        <v>9894</v>
      </c>
      <c r="H22" s="2" t="s">
        <v>456</v>
      </c>
    </row>
    <row r="23" spans="5:9" x14ac:dyDescent="0.25">
      <c r="E23" s="43" t="s">
        <v>104</v>
      </c>
      <c r="F23" s="2" t="s">
        <v>449</v>
      </c>
      <c r="G23" s="2">
        <v>397</v>
      </c>
    </row>
    <row r="24" spans="5:9" x14ac:dyDescent="0.25">
      <c r="E24" s="43" t="s">
        <v>98</v>
      </c>
      <c r="F24" s="2" t="s">
        <v>449</v>
      </c>
      <c r="G24" s="2">
        <v>8298</v>
      </c>
    </row>
    <row r="25" spans="5:9" x14ac:dyDescent="0.25">
      <c r="E25" s="43" t="s">
        <v>455</v>
      </c>
      <c r="F25" s="2" t="s">
        <v>449</v>
      </c>
      <c r="G25" s="2">
        <v>211</v>
      </c>
    </row>
    <row r="26" spans="5:9" x14ac:dyDescent="0.25">
      <c r="E26" s="43" t="s">
        <v>454</v>
      </c>
      <c r="F26" s="2" t="s">
        <v>449</v>
      </c>
      <c r="G26" s="2">
        <v>18801</v>
      </c>
    </row>
    <row r="27" spans="5:9" x14ac:dyDescent="0.25">
      <c r="E27" s="43" t="s">
        <v>453</v>
      </c>
      <c r="F27" s="2" t="s">
        <v>449</v>
      </c>
      <c r="G27" s="2">
        <v>-5542</v>
      </c>
    </row>
    <row r="28" spans="5:9" x14ac:dyDescent="0.25">
      <c r="E28" s="43" t="s">
        <v>452</v>
      </c>
      <c r="F28" s="2" t="s">
        <v>449</v>
      </c>
    </row>
    <row r="29" spans="5:9" x14ac:dyDescent="0.25">
      <c r="E29" s="43" t="s">
        <v>451</v>
      </c>
      <c r="F29" s="2" t="s">
        <v>449</v>
      </c>
      <c r="G29" s="2">
        <v>-2815</v>
      </c>
    </row>
    <row r="30" spans="5:9" x14ac:dyDescent="0.25">
      <c r="E30" s="43" t="s">
        <v>450</v>
      </c>
      <c r="F30" s="2" t="s">
        <v>449</v>
      </c>
      <c r="G30" s="2">
        <v>10443</v>
      </c>
    </row>
    <row r="31" spans="5:9" x14ac:dyDescent="0.25">
      <c r="E31" s="43"/>
    </row>
    <row r="32" spans="5:9" x14ac:dyDescent="0.25">
      <c r="E32" s="43"/>
    </row>
    <row r="33" spans="5:23" x14ac:dyDescent="0.25">
      <c r="E33" s="43" t="s">
        <v>448</v>
      </c>
    </row>
    <row r="34" spans="5:23" x14ac:dyDescent="0.25">
      <c r="E34" s="43" t="s">
        <v>447</v>
      </c>
      <c r="F34" s="2" t="s">
        <v>181</v>
      </c>
      <c r="G34" s="36">
        <v>784</v>
      </c>
      <c r="I34" s="2" t="s">
        <v>446</v>
      </c>
    </row>
    <row r="35" spans="5:23" x14ac:dyDescent="0.25">
      <c r="E35" s="43" t="s">
        <v>146</v>
      </c>
      <c r="F35" s="2" t="s">
        <v>181</v>
      </c>
      <c r="G35" s="36">
        <v>40329</v>
      </c>
      <c r="I35" s="2" t="s">
        <v>445</v>
      </c>
    </row>
    <row r="36" spans="5:23" x14ac:dyDescent="0.25">
      <c r="E36" s="43" t="s">
        <v>444</v>
      </c>
      <c r="F36" s="2" t="s">
        <v>181</v>
      </c>
      <c r="G36" s="36">
        <f>G35+G34</f>
        <v>41113</v>
      </c>
    </row>
    <row r="37" spans="5:23" x14ac:dyDescent="0.25">
      <c r="E37" s="43"/>
      <c r="G37" s="36"/>
    </row>
    <row r="38" spans="5:23" x14ac:dyDescent="0.25">
      <c r="E38" s="43" t="s">
        <v>98</v>
      </c>
      <c r="G38" s="36"/>
    </row>
    <row r="39" spans="5:23" x14ac:dyDescent="0.25">
      <c r="E39" s="43" t="s">
        <v>146</v>
      </c>
      <c r="F39" s="2" t="s">
        <v>440</v>
      </c>
      <c r="G39" s="36">
        <f>212107-92140-626</f>
        <v>119341</v>
      </c>
      <c r="I39" s="2" t="s">
        <v>443</v>
      </c>
    </row>
    <row r="40" spans="5:23" x14ac:dyDescent="0.25">
      <c r="E40" s="43" t="s">
        <v>442</v>
      </c>
      <c r="F40" s="2" t="s">
        <v>440</v>
      </c>
      <c r="G40" s="36">
        <f>96537-2290</f>
        <v>94247</v>
      </c>
      <c r="I40" s="2" t="s">
        <v>441</v>
      </c>
    </row>
    <row r="41" spans="5:23" x14ac:dyDescent="0.25">
      <c r="E41" s="43" t="s">
        <v>60</v>
      </c>
      <c r="F41" s="2" t="s">
        <v>440</v>
      </c>
      <c r="G41" s="36">
        <f>G40+G39</f>
        <v>213588</v>
      </c>
    </row>
    <row r="42" spans="5:23" x14ac:dyDescent="0.25">
      <c r="E42" s="43"/>
      <c r="G42" s="36"/>
      <c r="W42" s="41"/>
    </row>
    <row r="43" spans="5:23" x14ac:dyDescent="0.25">
      <c r="E43" s="43"/>
      <c r="G43" s="36"/>
      <c r="W43" s="41"/>
    </row>
    <row r="44" spans="5:23" x14ac:dyDescent="0.25">
      <c r="E44" s="43" t="s">
        <v>439</v>
      </c>
      <c r="G44" s="36"/>
    </row>
    <row r="45" spans="5:23" x14ac:dyDescent="0.25">
      <c r="E45" s="43" t="s">
        <v>433</v>
      </c>
      <c r="G45" s="36">
        <f>G22*G36/G35</f>
        <v>10086.340400208286</v>
      </c>
      <c r="H45" s="2" t="s">
        <v>438</v>
      </c>
    </row>
    <row r="46" spans="5:23" x14ac:dyDescent="0.25">
      <c r="E46" s="43" t="s">
        <v>437</v>
      </c>
      <c r="G46" s="36">
        <f>G23+G25</f>
        <v>608</v>
      </c>
      <c r="H46" s="2" t="s">
        <v>436</v>
      </c>
      <c r="W46" s="41"/>
    </row>
    <row r="47" spans="5:23" x14ac:dyDescent="0.25">
      <c r="E47" s="43" t="s">
        <v>431</v>
      </c>
      <c r="G47" s="36">
        <f>G24*G41/G39</f>
        <v>14851.167863517148</v>
      </c>
      <c r="H47" s="2" t="s">
        <v>435</v>
      </c>
      <c r="W47" s="41"/>
    </row>
    <row r="48" spans="5:23" x14ac:dyDescent="0.25">
      <c r="E48" s="43" t="s">
        <v>60</v>
      </c>
      <c r="G48" s="36">
        <f>SUM(G45:G47)</f>
        <v>25545.508263725435</v>
      </c>
    </row>
    <row r="49" spans="4:23" x14ac:dyDescent="0.25">
      <c r="E49" s="43" t="s">
        <v>200</v>
      </c>
      <c r="G49" s="36">
        <f>G10-G48</f>
        <v>16089.510562881547</v>
      </c>
      <c r="W49" s="41"/>
    </row>
    <row r="50" spans="4:23" x14ac:dyDescent="0.25">
      <c r="E50" s="43" t="s">
        <v>434</v>
      </c>
      <c r="G50" s="36"/>
      <c r="W50" s="41"/>
    </row>
    <row r="51" spans="4:23" x14ac:dyDescent="0.25">
      <c r="E51" s="43" t="s">
        <v>433</v>
      </c>
      <c r="G51" s="36">
        <f>G$49/3+G45</f>
        <v>15449.51058783547</v>
      </c>
      <c r="H51" s="7">
        <f>G51/$G$10</f>
        <v>0.37107009972005617</v>
      </c>
      <c r="W51" s="41"/>
    </row>
    <row r="52" spans="4:23" x14ac:dyDescent="0.25">
      <c r="E52" s="43" t="s">
        <v>432</v>
      </c>
      <c r="G52" s="36">
        <f>G$49/3+G46</f>
        <v>5971.1701876271827</v>
      </c>
      <c r="H52" s="7">
        <f>G52/$G$10</f>
        <v>0.14341701663435513</v>
      </c>
      <c r="W52" s="41"/>
    </row>
    <row r="53" spans="4:23" x14ac:dyDescent="0.25">
      <c r="E53" s="43" t="s">
        <v>431</v>
      </c>
      <c r="G53" s="36">
        <f>G$49/3+G47</f>
        <v>20214.338051144332</v>
      </c>
      <c r="H53" s="7">
        <f>G53/$G$10</f>
        <v>0.48551288364558876</v>
      </c>
    </row>
    <row r="54" spans="4:23" x14ac:dyDescent="0.25">
      <c r="E54" s="43"/>
    </row>
    <row r="55" spans="4:23" x14ac:dyDescent="0.25">
      <c r="E55" s="43"/>
      <c r="J55" s="43" t="s">
        <v>188</v>
      </c>
      <c r="K55" s="2">
        <v>60</v>
      </c>
      <c r="L55" s="43" t="s">
        <v>430</v>
      </c>
      <c r="M55" s="2">
        <f>M74/L73</f>
        <v>0.74295187856469103</v>
      </c>
    </row>
    <row r="56" spans="4:23" x14ac:dyDescent="0.25">
      <c r="E56" s="43" t="s">
        <v>98</v>
      </c>
      <c r="J56" s="43" t="s">
        <v>429</v>
      </c>
      <c r="K56" s="56">
        <v>8.2000000000000003E-2</v>
      </c>
      <c r="W56" s="41"/>
    </row>
    <row r="57" spans="4:23" s="52" customFormat="1" ht="60" x14ac:dyDescent="0.25">
      <c r="E57" s="53" t="s">
        <v>428</v>
      </c>
      <c r="F57" s="53" t="s">
        <v>422</v>
      </c>
      <c r="G57" s="53" t="s">
        <v>427</v>
      </c>
      <c r="H57" s="53" t="s">
        <v>426</v>
      </c>
      <c r="I57" s="53" t="s">
        <v>219</v>
      </c>
      <c r="J57" s="55">
        <f>PMT(8.2%,60,-1,0,1)</f>
        <v>7.6461363904318166E-2</v>
      </c>
      <c r="K57" s="53" t="s">
        <v>420</v>
      </c>
      <c r="L57" s="53" t="s">
        <v>419</v>
      </c>
      <c r="M57" s="53" t="s">
        <v>418</v>
      </c>
      <c r="N57" s="53" t="s">
        <v>417</v>
      </c>
      <c r="O57" s="53" t="s">
        <v>219</v>
      </c>
      <c r="P57" s="53" t="s">
        <v>414</v>
      </c>
      <c r="Q57" s="53" t="s">
        <v>425</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60</v>
      </c>
      <c r="L73" s="36">
        <f>SUM(L58:L71)</f>
        <v>46759.860589679658</v>
      </c>
      <c r="M73" s="36">
        <f>SUM(M58:M71)</f>
        <v>34740.326266525575</v>
      </c>
      <c r="P73" s="36">
        <f>SUM(P58:P71)</f>
        <v>23691.204195941151</v>
      </c>
    </row>
    <row r="74" spans="4:18" x14ac:dyDescent="0.25">
      <c r="D74" s="2" t="s">
        <v>408</v>
      </c>
      <c r="M74" s="36">
        <f>G9</f>
        <v>34740.326266525561</v>
      </c>
      <c r="P74" s="36">
        <f>G14</f>
        <v>23691.204195941154</v>
      </c>
    </row>
    <row r="76" spans="4:18" x14ac:dyDescent="0.25">
      <c r="E76" s="43" t="s">
        <v>104</v>
      </c>
      <c r="F76" s="43"/>
      <c r="G76" s="43"/>
      <c r="H76" s="43"/>
      <c r="I76" s="43"/>
      <c r="J76" s="43"/>
      <c r="K76" s="43"/>
      <c r="L76" s="43"/>
      <c r="M76" s="43">
        <v>2012</v>
      </c>
      <c r="N76" s="43" t="s">
        <v>417</v>
      </c>
      <c r="O76" s="43"/>
      <c r="P76" s="43"/>
      <c r="Q76" s="43" t="s">
        <v>424</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408</v>
      </c>
      <c r="M78" s="36">
        <f>G8</f>
        <v>10262.042713754645</v>
      </c>
      <c r="P78" s="36">
        <f>G13</f>
        <v>6998.2114598990574</v>
      </c>
    </row>
    <row r="80" spans="4:18" x14ac:dyDescent="0.25">
      <c r="E80" s="53" t="s">
        <v>105</v>
      </c>
      <c r="F80" s="43"/>
      <c r="G80" s="43"/>
      <c r="H80" s="43"/>
      <c r="I80" s="43"/>
      <c r="J80" s="43"/>
      <c r="K80" s="43"/>
      <c r="L80" s="43"/>
      <c r="M80" s="43"/>
      <c r="N80" s="43"/>
      <c r="O80" s="43"/>
      <c r="P80" s="43"/>
      <c r="Q80" s="43"/>
      <c r="R80" s="43"/>
    </row>
    <row r="81" spans="4:27" s="52" customFormat="1" ht="60" x14ac:dyDescent="0.25">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x14ac:dyDescent="0.25">
      <c r="D82" s="2" t="s">
        <v>25</v>
      </c>
      <c r="E82" s="41">
        <v>22451</v>
      </c>
      <c r="F82" s="2">
        <f>INDEX([18]ProcDataGenPre2012!$AI$9:$AI$30,MATCH(D82,[18]ProcDataGenPre2012!$B$9:$B$30,0))</f>
        <v>0</v>
      </c>
      <c r="G82" s="2">
        <f>INDEX([18]ProcDataGenPre2012!$M$9:$M$30,MATCH(D82,[18]ProcDataGenPre2012!$B$9:$B$30,0))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53</v>
      </c>
      <c r="E83" s="41">
        <v>22781.423999999999</v>
      </c>
      <c r="F83" s="2">
        <f>INDEX([18]ProcDataGenPre2012!$AI$9:$AI$30,MATCH(D83,[18]ProcDataGenPre2012!$B$9:$B$30,0))</f>
        <v>0.12001708037216328</v>
      </c>
      <c r="G83" s="2">
        <f>INDEX([18]ProcDataGenPre2012!$M$9:$M$30,MATCH(D83,[18]ProcDataGenPre2012!$B$9:$B$30,0))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51</v>
      </c>
      <c r="E84" s="41">
        <v>22781.423999999999</v>
      </c>
      <c r="F84" s="2">
        <f>INDEX([18]ProcDataGenPre2012!$AI$9:$AI$30,MATCH(D84,[18]ProcDataGenPre2012!$B$9:$B$30,0))</f>
        <v>0.6898696347031964</v>
      </c>
      <c r="G84" s="2">
        <f>INDEX([18]ProcDataGenPre2012!$M$9:$M$30,MATCH(D84,[18]ProcDataGenPre2012!$B$9:$B$30,0))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INDEX([18]ProcDataGenPre2012!$AI$9:$AI$30,MATCH(D85,[18]ProcDataGenPre2012!$B$9:$B$30,0))</f>
        <v>0.52848608140566777</v>
      </c>
      <c r="G85" s="2">
        <f>INDEX([18]ProcDataGenPre2012!$M$9:$M$30,MATCH(D85,[18]ProcDataGenPre2012!$B$9:$B$30,0))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INDEX([18]ProcDataGenPre2012!$AI$9:$AI$30,MATCH(D86,[18]ProcDataGenPre2012!$B$9:$B$30,0))</f>
        <v>0.54057628389345658</v>
      </c>
      <c r="G86" s="2">
        <f>INDEX([18]ProcDataGenPre2012!$M$9:$M$30,MATCH(D86,[18]ProcDataGenPre2012!$B$9:$B$30,0))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INDEX([18]ProcDataGenPre2012!$AI$9:$AI$30,MATCH(D87,[18]ProcDataGenPre2012!$B$9:$B$30,0))</f>
        <v>0.54867909068729692</v>
      </c>
      <c r="G87" s="2">
        <f>INDEX([18]ProcDataGenPre2012!$M$9:$M$30,MATCH(D87,[18]ProcDataGenPre2012!$B$9:$B$30,0))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INDEX([18]ProcDataGenPre2012!$AI$9:$AI$30,MATCH(D88,[18]ProcDataGenPre2012!$B$9:$B$30,0))</f>
        <v>0.36712940349141077</v>
      </c>
      <c r="G88" s="2">
        <f>INDEX([18]ProcDataGenPre2012!$M$9:$M$30,MATCH(D88,[18]ProcDataGenPre2012!$B$9:$B$30,0))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INDEX([18]ProcDataGenPre2012!$AI$9:$AI$30,MATCH(D89,[18]ProcDataGenPre2012!$B$9:$B$30,0))</f>
        <v>0.55528125327079092</v>
      </c>
      <c r="G89" s="2">
        <f>INDEX([18]ProcDataGenPre2012!$M$9:$M$30,MATCH(D89,[18]ProcDataGenPre2012!$B$9:$B$30,0))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393</v>
      </c>
      <c r="AA89" s="2">
        <v>30</v>
      </c>
    </row>
    <row r="90" spans="4:27" x14ac:dyDescent="0.25">
      <c r="D90" s="2" t="s">
        <v>42</v>
      </c>
      <c r="E90" s="41">
        <v>38904</v>
      </c>
      <c r="F90" s="2">
        <f>INDEX([18]ProcDataGenPre2012!$AI$9:$AI$30,MATCH(D90,[18]ProcDataGenPre2012!$B$9:$B$30,0))</f>
        <v>0.32478976407914761</v>
      </c>
      <c r="G90" s="2">
        <f>INDEX([18]ProcDataGenPre2012!$M$9:$M$30,MATCH(D90,[18]ProcDataGenPre2012!$B$9:$B$30,0))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392</v>
      </c>
      <c r="AA90" s="2">
        <v>10</v>
      </c>
    </row>
    <row r="91" spans="4:27" x14ac:dyDescent="0.25">
      <c r="D91" s="2" t="s">
        <v>41</v>
      </c>
      <c r="E91" s="41">
        <v>38904</v>
      </c>
      <c r="F91" s="2">
        <f>INDEX([18]ProcDataGenPre2012!$AI$9:$AI$30,MATCH(D91,[18]ProcDataGenPre2012!$B$9:$B$30,0))</f>
        <v>0.73846362585367176</v>
      </c>
      <c r="G91" s="2">
        <f>INDEX([18]ProcDataGenPre2012!$M$9:$M$30,MATCH(D91,[18]ProcDataGenPre2012!$B$9:$B$30,0))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INDEX([18]ProcDataGenPre2012!$AI$9:$AI$30,MATCH(D92,[18]ProcDataGenPre2012!$B$9:$B$30,0))</f>
        <v>0.33889487474984836</v>
      </c>
      <c r="G92" s="2">
        <f>INDEX([18]ProcDataGenPre2012!$M$9:$M$30,MATCH(D92,[18]ProcDataGenPre2012!$B$9:$B$30,0))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INDEX([18]ProcDataGenPre2012!$AI$9:$AI$30,MATCH(D93,[18]ProcDataGenPre2012!$B$9:$B$30,0))</f>
        <v>0.51376874915870463</v>
      </c>
      <c r="G93" s="2">
        <f>INDEX([18]ProcDataGenPre2012!$M$9:$M$30,MATCH(D93,[18]ProcDataGenPre2012!$B$9:$B$30,0))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INDEX([18]ProcDataGenPre2012!$AI$9:$AI$30,MATCH(D94,[18]ProcDataGenPre2012!$B$9:$B$30,0))</f>
        <v>0.61567444212241962</v>
      </c>
      <c r="G94" s="2">
        <f>INDEX([18]ProcDataGenPre2012!$M$9:$M$30,MATCH(D94,[18]ProcDataGenPre2012!$B$9:$B$30,0))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INDEX([18]ProcDataGenPre2012!$AI$9:$AI$30,MATCH(D95,[18]ProcDataGenPre2012!$B$9:$B$30,0))</f>
        <v>0.69799220781606408</v>
      </c>
      <c r="G95" s="2">
        <f>INDEX([18]ProcDataGenPre2012!$M$9:$M$30,MATCH(D95,[18]ProcDataGenPre2012!$B$9:$B$30,0))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INDEX([18]ProcDataGenPre2012!$AI$9:$AI$30,MATCH(D96,[18]ProcDataGenPre2012!$B$9:$B$30,0))</f>
        <v>0.69799220781606408</v>
      </c>
      <c r="G96" s="2">
        <f>INDEX([18]ProcDataGenPre2012!$M$9:$M$30,MATCH(D96,[18]ProcDataGenPre2012!$B$9:$B$30,0))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INDEX([18]ProcDataGenPre2012!$AI$9:$AI$30,MATCH(D97,[18]ProcDataGenPre2012!$B$9:$B$30,0))</f>
        <v>0.8086044021601132</v>
      </c>
      <c r="G97" s="2">
        <f>INDEX([18]ProcDataGenPre2012!$M$9:$M$30,MATCH(D97,[18]ProcDataGenPre2012!$B$9:$B$30,0))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INDEX([18]ProcDataGenPre2012!$AI$9:$AI$30,MATCH(D98,[18]ProcDataGenPre2012!$B$9:$B$30,0))</f>
        <v>0.64632430581316469</v>
      </c>
      <c r="G98" s="2">
        <f>INDEX([18]ProcDataGenPre2012!$M$9:$M$30,MATCH(D98,[18]ProcDataGenPre2012!$B$9:$B$30,0))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INDEX([18]ProcDataGenPre2012!$AI$9:$AI$30,MATCH(D99,[18]ProcDataGenPre2012!$B$9:$B$30,0))</f>
        <v>0.55688169145976019</v>
      </c>
      <c r="G99" s="2">
        <f>INDEX([18]ProcDataGenPre2012!$M$9:$M$30,MATCH(D99,[18]ProcDataGenPre2012!$B$9:$B$30,0))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INDEX([18]ProcDataGenPre2012!$AI$9:$AI$30,MATCH(D100,[18]ProcDataGenPre2012!$B$9:$B$30,0))</f>
        <v>0.73182243390231716</v>
      </c>
      <c r="G100" s="2">
        <f>INDEX([18]ProcDataGenPre2012!$M$9:$M$30,MATCH(D100,[18]ProcDataGenPre2012!$B$9:$B$30,0))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INDEX([18]ProcDataGenPre2012!$AI$9:$AI$30,MATCH(D101,[18]ProcDataGenPre2012!$B$9:$B$30,0))</f>
        <v>0.53757198695652908</v>
      </c>
      <c r="G101" s="2">
        <f>INDEX([18]ProcDataGenPre2012!$M$9:$M$30,MATCH(D101,[18]ProcDataGenPre2012!$B$9:$B$30,0))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x14ac:dyDescent="0.25">
      <c r="D102" s="2" t="s">
        <v>29</v>
      </c>
      <c r="E102" s="41">
        <v>72780.3223</v>
      </c>
      <c r="F102" s="2">
        <f>INDEX([18]ProcDataGenPre2012!$AI$9:$AI$30,MATCH(D102,[18]ProcDataGenPre2012!$B$9:$B$30,0))</f>
        <v>0.92601880492954292</v>
      </c>
      <c r="G102" s="2">
        <f>INDEX([18]ProcDataGenPre2012!$M$9:$M$30,MATCH(D102,[18]ProcDataGenPre2012!$B$9:$B$30,0))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389</v>
      </c>
      <c r="AA102" s="2">
        <v>50</v>
      </c>
    </row>
    <row r="103" spans="4:27" x14ac:dyDescent="0.25">
      <c r="D103" s="2" t="s">
        <v>27</v>
      </c>
      <c r="E103" s="2">
        <v>8219.2000000000007</v>
      </c>
      <c r="F103" s="2">
        <f>INDEX([18]ProcDataGenPre2012!$AI$9:$AI$30,MATCH(D103,[18]ProcDataGenPre2012!$B$9:$B$30,0))</f>
        <v>2.9606004647677766E-3</v>
      </c>
      <c r="G103" s="2">
        <f>INDEX([18]ProcDataGenPre2012!$M$9:$M$30,MATCH(D103,[18]ProcDataGenPre2012!$B$9:$B$30,0))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60</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408</v>
      </c>
      <c r="I106" s="36">
        <f>G7-J110</f>
        <v>26175.077963613778</v>
      </c>
      <c r="M106" s="36">
        <f>G12</f>
        <v>18106.826408943169</v>
      </c>
    </row>
    <row r="107" spans="4:27" x14ac:dyDescent="0.25">
      <c r="I107" s="2">
        <f>I106/I105</f>
        <v>0.74253131903313752</v>
      </c>
      <c r="M107" s="2">
        <f>M106/M105</f>
        <v>0.72058938348339341</v>
      </c>
    </row>
    <row r="109" spans="4:27" x14ac:dyDescent="0.25">
      <c r="J109" s="2" t="s">
        <v>407</v>
      </c>
    </row>
    <row r="110" spans="4:27" x14ac:dyDescent="0.25">
      <c r="D110" s="2" t="s">
        <v>406</v>
      </c>
      <c r="E110" s="2" t="s">
        <v>7</v>
      </c>
      <c r="F110" s="2" t="s">
        <v>7</v>
      </c>
      <c r="G110" s="2" t="s">
        <v>7</v>
      </c>
      <c r="H110" s="2" t="s">
        <v>7</v>
      </c>
      <c r="I110" s="2" t="s">
        <v>7</v>
      </c>
      <c r="J110" s="2">
        <v>376.42410000000001</v>
      </c>
    </row>
    <row r="146" spans="5:12" x14ac:dyDescent="0.25">
      <c r="E146" s="2" t="s">
        <v>405</v>
      </c>
      <c r="F146" s="2" t="s">
        <v>7</v>
      </c>
      <c r="G146" s="2" t="s">
        <v>7</v>
      </c>
      <c r="H146" s="2" t="s">
        <v>7</v>
      </c>
      <c r="I146" s="2" t="s">
        <v>7</v>
      </c>
      <c r="J146" s="2" t="s">
        <v>7</v>
      </c>
      <c r="K146" s="2">
        <v>0</v>
      </c>
      <c r="L146" s="2">
        <v>4.4031000000000002</v>
      </c>
    </row>
    <row r="147" spans="5:12" x14ac:dyDescent="0.25">
      <c r="E147" s="2" t="s">
        <v>53</v>
      </c>
      <c r="F147" s="2" t="s">
        <v>7</v>
      </c>
      <c r="G147" s="2" t="s">
        <v>7</v>
      </c>
      <c r="H147" s="2" t="s">
        <v>7</v>
      </c>
      <c r="I147" s="2" t="s">
        <v>7</v>
      </c>
      <c r="J147" s="2" t="s">
        <v>7</v>
      </c>
      <c r="K147" s="2">
        <v>0</v>
      </c>
      <c r="L147" s="2">
        <v>0</v>
      </c>
    </row>
    <row r="148" spans="5:12" x14ac:dyDescent="0.25">
      <c r="E148" s="2" t="s">
        <v>404</v>
      </c>
      <c r="F148" s="2" t="s">
        <v>7</v>
      </c>
      <c r="G148" s="2" t="s">
        <v>7</v>
      </c>
      <c r="H148" s="2" t="s">
        <v>7</v>
      </c>
      <c r="I148" s="2" t="s">
        <v>7</v>
      </c>
      <c r="J148" s="2" t="s">
        <v>7</v>
      </c>
      <c r="K148" s="2">
        <v>0</v>
      </c>
      <c r="L148" s="2">
        <v>4.4031000000000002</v>
      </c>
    </row>
    <row r="149" spans="5:12" x14ac:dyDescent="0.25">
      <c r="E149" s="2" t="s">
        <v>403</v>
      </c>
      <c r="F149" s="2" t="s">
        <v>7</v>
      </c>
      <c r="G149" s="2" t="s">
        <v>7</v>
      </c>
      <c r="H149" s="2" t="s">
        <v>7</v>
      </c>
      <c r="I149" s="2" t="s">
        <v>7</v>
      </c>
      <c r="J149" s="2" t="s">
        <v>7</v>
      </c>
      <c r="K149" s="2">
        <v>0</v>
      </c>
      <c r="L149" s="2">
        <v>0</v>
      </c>
    </row>
    <row r="150" spans="5:12" x14ac:dyDescent="0.25">
      <c r="E150" s="2" t="s">
        <v>52</v>
      </c>
      <c r="F150" s="2" t="s">
        <v>7</v>
      </c>
      <c r="G150" s="2" t="s">
        <v>7</v>
      </c>
      <c r="H150" s="2" t="s">
        <v>7</v>
      </c>
      <c r="I150" s="2" t="s">
        <v>7</v>
      </c>
      <c r="J150" s="2" t="s">
        <v>7</v>
      </c>
      <c r="K150" s="2">
        <v>0</v>
      </c>
      <c r="L150" s="2">
        <v>0</v>
      </c>
    </row>
    <row r="151" spans="5:12" x14ac:dyDescent="0.25">
      <c r="E151" s="2" t="s">
        <v>402</v>
      </c>
      <c r="F151" s="2" t="s">
        <v>7</v>
      </c>
      <c r="G151" s="2" t="s">
        <v>7</v>
      </c>
      <c r="H151" s="2" t="s">
        <v>7</v>
      </c>
      <c r="I151" s="2" t="s">
        <v>7</v>
      </c>
      <c r="J151" s="2" t="s">
        <v>7</v>
      </c>
      <c r="K151" s="2">
        <v>0</v>
      </c>
      <c r="L151" s="2">
        <v>4.4031000000000002</v>
      </c>
    </row>
    <row r="152" spans="5:12" x14ac:dyDescent="0.25">
      <c r="E152" s="2" t="s">
        <v>51</v>
      </c>
      <c r="F152" s="2" t="s">
        <v>7</v>
      </c>
      <c r="G152" s="2" t="s">
        <v>7</v>
      </c>
      <c r="H152" s="2" t="s">
        <v>7</v>
      </c>
      <c r="I152" s="2" t="s">
        <v>7</v>
      </c>
      <c r="J152" s="2" t="s">
        <v>7</v>
      </c>
      <c r="K152" s="2">
        <v>0</v>
      </c>
      <c r="L152" s="2">
        <v>0</v>
      </c>
    </row>
    <row r="153" spans="5:12" x14ac:dyDescent="0.25">
      <c r="E153" s="2" t="s">
        <v>401</v>
      </c>
      <c r="F153" s="2" t="s">
        <v>7</v>
      </c>
      <c r="G153" s="2" t="s">
        <v>7</v>
      </c>
      <c r="H153" s="2" t="s">
        <v>7</v>
      </c>
      <c r="I153" s="2" t="s">
        <v>7</v>
      </c>
      <c r="J153" s="2" t="s">
        <v>7</v>
      </c>
      <c r="K153" s="2">
        <v>0</v>
      </c>
      <c r="L153" s="2">
        <v>4.4031000000000002</v>
      </c>
    </row>
    <row r="154" spans="5:12" x14ac:dyDescent="0.25">
      <c r="E154" s="2" t="s">
        <v>400</v>
      </c>
      <c r="F154" s="2" t="s">
        <v>7</v>
      </c>
      <c r="G154" s="2" t="s">
        <v>7</v>
      </c>
      <c r="H154" s="2" t="s">
        <v>7</v>
      </c>
      <c r="I154" s="2" t="s">
        <v>7</v>
      </c>
      <c r="J154" s="2" t="s">
        <v>7</v>
      </c>
      <c r="K154" s="2">
        <v>0</v>
      </c>
      <c r="L154" s="2">
        <v>4.4031000000000002</v>
      </c>
    </row>
    <row r="155" spans="5:12" x14ac:dyDescent="0.25">
      <c r="E155" s="2" t="s">
        <v>399</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392</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391</v>
      </c>
      <c r="F173" s="2" t="s">
        <v>7</v>
      </c>
      <c r="G173" s="2" t="s">
        <v>7</v>
      </c>
      <c r="H173" s="2" t="s">
        <v>7</v>
      </c>
      <c r="I173" s="2" t="s">
        <v>7</v>
      </c>
      <c r="J173" s="2" t="s">
        <v>7</v>
      </c>
      <c r="K173" s="2">
        <v>0</v>
      </c>
      <c r="L173" s="2">
        <v>20.277799999999999</v>
      </c>
    </row>
    <row r="174" spans="5:12" x14ac:dyDescent="0.25">
      <c r="E174" s="2" t="s">
        <v>390</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398</v>
      </c>
      <c r="F176" s="2" t="s">
        <v>7</v>
      </c>
      <c r="G176" s="2" t="s">
        <v>7</v>
      </c>
      <c r="H176" s="2" t="s">
        <v>7</v>
      </c>
      <c r="I176" s="2" t="s">
        <v>7</v>
      </c>
      <c r="J176" s="2" t="s">
        <v>7</v>
      </c>
      <c r="K176" s="2">
        <v>0</v>
      </c>
      <c r="L176" s="2">
        <v>6.55</v>
      </c>
    </row>
    <row r="177" spans="5:17" x14ac:dyDescent="0.25">
      <c r="E177" s="2" t="s">
        <v>397</v>
      </c>
      <c r="F177" s="2" t="s">
        <v>7</v>
      </c>
      <c r="G177" s="2" t="s">
        <v>7</v>
      </c>
      <c r="H177" s="2" t="s">
        <v>7</v>
      </c>
      <c r="I177" s="2" t="s">
        <v>7</v>
      </c>
      <c r="J177" s="2" t="s">
        <v>7</v>
      </c>
      <c r="K177" s="2">
        <v>0</v>
      </c>
      <c r="L177" s="2">
        <v>2.8018999999999998</v>
      </c>
    </row>
    <row r="178" spans="5:17" x14ac:dyDescent="0.25">
      <c r="E178" s="2" t="s">
        <v>396</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395</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392</v>
      </c>
      <c r="Q189" s="2" t="s">
        <v>394</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391</v>
      </c>
      <c r="Q201" s="2">
        <v>0.09</v>
      </c>
    </row>
    <row r="202" spans="15:17" x14ac:dyDescent="0.25">
      <c r="O202" s="2" t="s">
        <v>8</v>
      </c>
      <c r="P202" s="2" t="s">
        <v>390</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393</v>
      </c>
      <c r="Q217" s="2">
        <v>30</v>
      </c>
    </row>
    <row r="218" spans="15:17" x14ac:dyDescent="0.25">
      <c r="O218" s="2" t="s">
        <v>392</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391</v>
      </c>
      <c r="P229" s="2">
        <v>10</v>
      </c>
      <c r="Q229" s="2">
        <v>10</v>
      </c>
    </row>
    <row r="230" spans="15:17" x14ac:dyDescent="0.25">
      <c r="O230" s="2" t="s">
        <v>390</v>
      </c>
      <c r="P230" s="2">
        <v>10</v>
      </c>
      <c r="Q230" s="2">
        <v>10</v>
      </c>
    </row>
    <row r="231" spans="15:17" x14ac:dyDescent="0.25">
      <c r="O231" s="2" t="s">
        <v>389</v>
      </c>
      <c r="Q231" s="2">
        <v>50</v>
      </c>
    </row>
    <row r="232" spans="15:17" x14ac:dyDescent="0.25">
      <c r="O232" s="2" t="s">
        <v>31</v>
      </c>
      <c r="P232" s="2">
        <v>16</v>
      </c>
      <c r="Q232" s="2">
        <v>16</v>
      </c>
    </row>
    <row r="233" spans="15:17" x14ac:dyDescent="0.25">
      <c r="O233" s="2" t="s">
        <v>388</v>
      </c>
      <c r="Q233" s="2">
        <v>50</v>
      </c>
    </row>
    <row r="234" spans="15:17" x14ac:dyDescent="0.25">
      <c r="O234" s="2" t="s">
        <v>387</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topLeftCell="M1" workbookViewId="0">
      <selection activeCell="T5" sqref="T5"/>
    </sheetView>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27" width="9.140625" style="3"/>
    <col min="28" max="28" width="14.7109375" style="3" customWidth="1"/>
    <col min="29" max="35" width="9.140625" style="3"/>
    <col min="36" max="36" width="14.85546875" style="3" customWidth="1"/>
    <col min="37" max="43" width="9.140625" style="3"/>
    <col min="44" max="44" width="12.42578125" style="3" customWidth="1"/>
    <col min="45" max="16384" width="9.140625" style="3"/>
  </cols>
  <sheetData>
    <row r="1" spans="1:50" x14ac:dyDescent="0.2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c r="AU2"/>
      <c r="AV2"/>
    </row>
    <row r="3" spans="1:50" x14ac:dyDescent="0.25">
      <c r="A3" s="9" t="s">
        <v>203</v>
      </c>
      <c r="F3" s="29"/>
      <c r="G3" s="29">
        <f>SUM(G6:G18)-G9</f>
        <v>43.910000000000004</v>
      </c>
      <c r="H3" s="29">
        <f>SUM(H6:H18)</f>
        <v>15.221333333333332</v>
      </c>
      <c r="M3" s="28">
        <f>SUM(M6:M18)</f>
        <v>4888.6915931110007</v>
      </c>
      <c r="O3" s="6">
        <f>SUMPRODUCT(B3:E3,$I$1:$L$1)</f>
        <v>0</v>
      </c>
      <c r="T3" t="s">
        <v>489</v>
      </c>
      <c r="U3" s="1" t="s">
        <v>480</v>
      </c>
      <c r="V3" s="1" t="str">
        <f t="shared" ref="V3:V24" si="0">T$1</f>
        <v>FLAB-P</v>
      </c>
      <c r="W3" s="1" t="s">
        <v>484</v>
      </c>
      <c r="X3">
        <v>3</v>
      </c>
      <c r="Y3">
        <f>B3</f>
        <v>0</v>
      </c>
      <c r="AB3" t="s">
        <v>489</v>
      </c>
      <c r="AC3" s="1" t="s">
        <v>480</v>
      </c>
      <c r="AD3" s="1" t="str">
        <f t="shared" ref="AD3:AD24" si="1">AB$1</f>
        <v>FLAB-M</v>
      </c>
      <c r="AE3" s="1" t="s">
        <v>484</v>
      </c>
      <c r="AF3">
        <v>3</v>
      </c>
      <c r="AG3">
        <f>C3</f>
        <v>0</v>
      </c>
      <c r="AJ3" t="s">
        <v>489</v>
      </c>
      <c r="AK3" s="1" t="s">
        <v>480</v>
      </c>
      <c r="AL3" s="1" t="str">
        <f t="shared" ref="AL3:AL24" si="2">AJ$1</f>
        <v>FLAB-S</v>
      </c>
      <c r="AM3" s="1" t="s">
        <v>484</v>
      </c>
      <c r="AN3">
        <v>3</v>
      </c>
      <c r="AO3">
        <f>D3</f>
        <v>0</v>
      </c>
      <c r="AR3" t="s">
        <v>489</v>
      </c>
      <c r="AS3" s="1" t="s">
        <v>480</v>
      </c>
      <c r="AT3" s="1" t="str">
        <f t="shared" ref="AT3:AT24" si="3">AR$1</f>
        <v>FLAB-T</v>
      </c>
      <c r="AU3" s="1" t="s">
        <v>484</v>
      </c>
      <c r="AV3">
        <v>3</v>
      </c>
      <c r="AW3">
        <f>E3</f>
        <v>0</v>
      </c>
    </row>
    <row r="4" spans="1:50" x14ac:dyDescent="0.2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c r="AV4"/>
      <c r="AW4"/>
    </row>
    <row r="5" spans="1:50" ht="15" customHeight="1" x14ac:dyDescent="0.25">
      <c r="A5" s="3" t="s">
        <v>213</v>
      </c>
      <c r="B5" s="3">
        <f t="array" ref="B5:E5">TRANSPOSE('From SAM'!G28:G31)</f>
        <v>5.1587548519758449E-2</v>
      </c>
      <c r="C5" s="3">
        <v>5.8710463397399472E-2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50" x14ac:dyDescent="0.25">
      <c r="A6" s="3" t="s">
        <v>58</v>
      </c>
      <c r="B6" s="3">
        <f t="shared" ref="B6:E18" si="4">ROUND(B$5*$F6,5)</f>
        <v>1.72E-2</v>
      </c>
      <c r="C6" s="3">
        <f t="shared" si="4"/>
        <v>1.958E-2</v>
      </c>
      <c r="D6" s="3">
        <f t="shared" si="4"/>
        <v>6.4769999999999994E-2</v>
      </c>
      <c r="E6" s="3">
        <f t="shared" si="4"/>
        <v>0.23189000000000001</v>
      </c>
      <c r="F6" s="4">
        <f>F8</f>
        <v>0.33344431232659533</v>
      </c>
      <c r="G6" s="3">
        <f t="shared" ref="G6:G18" si="5">SUMIF($A$35:$A$42,A6,$B$35:$B$42)</f>
        <v>1.58</v>
      </c>
      <c r="H6" s="4">
        <f t="shared" ref="H6:H18" si="6">G6*F6</f>
        <v>0.52684201347602067</v>
      </c>
      <c r="I6" s="13">
        <f t="shared" ref="I6:I18" si="7">B6*$G6*I$1</f>
        <v>2.9898763440000002</v>
      </c>
      <c r="J6" s="13">
        <f t="shared" ref="J6:J18" si="8">C6*$G6*J$1</f>
        <v>3.4880791000000002</v>
      </c>
      <c r="K6" s="13">
        <f t="shared" ref="K6:K18" si="9">D6*$G6*K$1</f>
        <v>17.7240851004</v>
      </c>
      <c r="L6" s="13">
        <f t="shared" ref="L6:L18" si="10">E6*$G6*L$1</f>
        <v>145.00539914640001</v>
      </c>
      <c r="M6" s="13">
        <f t="shared" ref="M6:M18" si="11">SUM(I6:L6)</f>
        <v>169.20743969080002</v>
      </c>
      <c r="O6" s="6">
        <f t="shared" ref="O6:O24" si="12">SUMPRODUCT(B6:E6,$I$1:$L$1)</f>
        <v>107.09331625999999</v>
      </c>
      <c r="P6" s="3">
        <v>3.9</v>
      </c>
      <c r="T6" t="str">
        <f>$A6</f>
        <v>EPumpStorage</v>
      </c>
      <c r="U6" s="1" t="s">
        <v>480</v>
      </c>
      <c r="V6" s="1" t="str">
        <f>T$1</f>
        <v>FLAB-P</v>
      </c>
      <c r="W6" s="1" t="s">
        <v>484</v>
      </c>
      <c r="X6">
        <v>3</v>
      </c>
      <c r="Y6">
        <f t="shared" ref="Y6:Y24" si="13">B6</f>
        <v>1.72E-2</v>
      </c>
      <c r="Z6"/>
      <c r="AB6" t="str">
        <f>$A6</f>
        <v>EPumpStorage</v>
      </c>
      <c r="AC6" s="1" t="s">
        <v>480</v>
      </c>
      <c r="AD6" s="1" t="str">
        <f>AB$1</f>
        <v>FLAB-M</v>
      </c>
      <c r="AE6" s="1" t="s">
        <v>484</v>
      </c>
      <c r="AF6">
        <v>3</v>
      </c>
      <c r="AG6">
        <f>C6</f>
        <v>1.958E-2</v>
      </c>
      <c r="AH6"/>
      <c r="AJ6" t="str">
        <f>$A6</f>
        <v>EPumpStorage</v>
      </c>
      <c r="AK6" s="1" t="s">
        <v>480</v>
      </c>
      <c r="AL6" s="1" t="str">
        <f>AJ$1</f>
        <v>FLAB-S</v>
      </c>
      <c r="AM6" s="1" t="s">
        <v>484</v>
      </c>
      <c r="AN6">
        <v>3</v>
      </c>
      <c r="AO6">
        <f>D6</f>
        <v>6.4769999999999994E-2</v>
      </c>
      <c r="AP6"/>
      <c r="AR6" t="str">
        <f>$A6</f>
        <v>EPumpStorage</v>
      </c>
      <c r="AS6" s="1" t="s">
        <v>480</v>
      </c>
      <c r="AT6" s="1" t="str">
        <f>AR$1</f>
        <v>FLAB-T</v>
      </c>
      <c r="AU6" s="1" t="s">
        <v>484</v>
      </c>
      <c r="AV6">
        <v>3</v>
      </c>
      <c r="AW6">
        <f>E6</f>
        <v>0.23189000000000001</v>
      </c>
      <c r="AX6"/>
    </row>
    <row r="7" spans="1:50" x14ac:dyDescent="0.25">
      <c r="A7" s="3" t="s">
        <v>57</v>
      </c>
      <c r="B7" s="3">
        <f t="shared" si="4"/>
        <v>1.72E-2</v>
      </c>
      <c r="C7" s="3">
        <f t="shared" si="4"/>
        <v>1.958E-2</v>
      </c>
      <c r="D7" s="3">
        <f t="shared" si="4"/>
        <v>6.4769999999999994E-2</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ref="T7:T24" si="14">$A7</f>
        <v>EBiomass</v>
      </c>
      <c r="U7" s="1" t="s">
        <v>480</v>
      </c>
      <c r="V7" s="1" t="str">
        <f t="shared" si="0"/>
        <v>FLAB-P</v>
      </c>
      <c r="W7" s="1" t="s">
        <v>484</v>
      </c>
      <c r="X7">
        <v>3</v>
      </c>
      <c r="Y7">
        <f t="shared" si="13"/>
        <v>1.72E-2</v>
      </c>
      <c r="AB7" t="str">
        <f t="shared" ref="AB7:AB24" si="15">$A7</f>
        <v>EBiomass</v>
      </c>
      <c r="AC7" s="1" t="s">
        <v>480</v>
      </c>
      <c r="AD7" s="1" t="str">
        <f t="shared" si="1"/>
        <v>FLAB-M</v>
      </c>
      <c r="AE7" s="1" t="s">
        <v>484</v>
      </c>
      <c r="AF7">
        <v>3</v>
      </c>
      <c r="AG7">
        <f t="shared" ref="AG7:AG24" si="16">C7</f>
        <v>1.958E-2</v>
      </c>
      <c r="AJ7" t="str">
        <f t="shared" ref="AJ7:AJ24" si="17">$A7</f>
        <v>EBiomass</v>
      </c>
      <c r="AK7" s="1" t="s">
        <v>480</v>
      </c>
      <c r="AL7" s="1" t="str">
        <f t="shared" si="2"/>
        <v>FLAB-S</v>
      </c>
      <c r="AM7" s="1" t="s">
        <v>484</v>
      </c>
      <c r="AN7">
        <v>3</v>
      </c>
      <c r="AO7">
        <f t="shared" ref="AO7:AO24" si="18">D7</f>
        <v>6.4769999999999994E-2</v>
      </c>
      <c r="AR7" t="str">
        <f t="shared" ref="AR7:AR24" si="19">$A7</f>
        <v>EBiomass</v>
      </c>
      <c r="AS7" s="1" t="s">
        <v>480</v>
      </c>
      <c r="AT7" s="1" t="str">
        <f t="shared" si="3"/>
        <v>FLAB-T</v>
      </c>
      <c r="AU7" s="1" t="s">
        <v>484</v>
      </c>
      <c r="AV7">
        <v>3</v>
      </c>
      <c r="AW7">
        <f t="shared" ref="AW7:AW24" si="20">E7</f>
        <v>0.23189000000000001</v>
      </c>
    </row>
    <row r="8" spans="1:50" x14ac:dyDescent="0.25">
      <c r="A8" s="3" t="s">
        <v>55</v>
      </c>
      <c r="B8" s="3">
        <f t="shared" si="4"/>
        <v>1.72E-2</v>
      </c>
      <c r="C8" s="3">
        <f t="shared" si="4"/>
        <v>1.958E-2</v>
      </c>
      <c r="D8" s="3">
        <f t="shared" si="4"/>
        <v>6.4769999999999994E-2</v>
      </c>
      <c r="E8" s="3">
        <f t="shared" si="4"/>
        <v>0.23189000000000001</v>
      </c>
      <c r="F8" s="4">
        <f>F15</f>
        <v>0.33344431232659533</v>
      </c>
      <c r="G8" s="3">
        <f t="shared" si="5"/>
        <v>0.67</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1.72E-2</v>
      </c>
      <c r="AB8" t="str">
        <f t="shared" si="15"/>
        <v>EHydro</v>
      </c>
      <c r="AC8" s="1" t="s">
        <v>480</v>
      </c>
      <c r="AD8" s="1" t="str">
        <f t="shared" si="1"/>
        <v>FLAB-M</v>
      </c>
      <c r="AE8" s="1" t="s">
        <v>484</v>
      </c>
      <c r="AF8">
        <v>3</v>
      </c>
      <c r="AG8">
        <f t="shared" si="16"/>
        <v>1.958E-2</v>
      </c>
      <c r="AJ8" t="str">
        <f t="shared" si="17"/>
        <v>EHydro</v>
      </c>
      <c r="AK8" s="1" t="s">
        <v>480</v>
      </c>
      <c r="AL8" s="1" t="str">
        <f t="shared" si="2"/>
        <v>FLAB-S</v>
      </c>
      <c r="AM8" s="1" t="s">
        <v>484</v>
      </c>
      <c r="AN8">
        <v>3</v>
      </c>
      <c r="AO8">
        <f t="shared" si="18"/>
        <v>6.4769999999999994E-2</v>
      </c>
      <c r="AR8" t="str">
        <f t="shared" si="19"/>
        <v>EHydro</v>
      </c>
      <c r="AS8" s="1" t="s">
        <v>480</v>
      </c>
      <c r="AT8" s="1" t="str">
        <f t="shared" si="3"/>
        <v>FLAB-T</v>
      </c>
      <c r="AU8" s="1" t="s">
        <v>484</v>
      </c>
      <c r="AV8">
        <v>3</v>
      </c>
      <c r="AW8">
        <f t="shared" si="20"/>
        <v>0.23189000000000001</v>
      </c>
    </row>
    <row r="9" spans="1:50" x14ac:dyDescent="0.2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50" x14ac:dyDescent="0.25">
      <c r="A10" s="3" t="s">
        <v>54</v>
      </c>
      <c r="B10" s="3">
        <f t="shared" si="4"/>
        <v>1.941E-2</v>
      </c>
      <c r="C10" s="3">
        <f t="shared" si="4"/>
        <v>2.2089999999999999E-2</v>
      </c>
      <c r="D10" s="3">
        <f t="shared" si="4"/>
        <v>7.3090000000000002E-2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1.941E-2</v>
      </c>
      <c r="AB10" t="str">
        <f t="shared" si="15"/>
        <v>EPV_Grid</v>
      </c>
      <c r="AC10" s="1" t="s">
        <v>480</v>
      </c>
      <c r="AD10" s="1" t="str">
        <f t="shared" si="1"/>
        <v>FLAB-M</v>
      </c>
      <c r="AE10" s="1" t="s">
        <v>484</v>
      </c>
      <c r="AF10">
        <v>3</v>
      </c>
      <c r="AG10">
        <f t="shared" si="16"/>
        <v>2.2089999999999999E-2</v>
      </c>
      <c r="AJ10" t="str">
        <f t="shared" si="17"/>
        <v>EPV_Grid</v>
      </c>
      <c r="AK10" s="1" t="s">
        <v>480</v>
      </c>
      <c r="AL10" s="1" t="str">
        <f t="shared" si="2"/>
        <v>FLAB-S</v>
      </c>
      <c r="AM10" s="1" t="s">
        <v>484</v>
      </c>
      <c r="AN10">
        <v>3</v>
      </c>
      <c r="AO10">
        <f t="shared" si="18"/>
        <v>7.3090000000000002E-2</v>
      </c>
      <c r="AR10" t="str">
        <f t="shared" si="19"/>
        <v>EPV_Grid</v>
      </c>
      <c r="AS10" s="1" t="s">
        <v>480</v>
      </c>
      <c r="AT10" s="1" t="str">
        <f t="shared" si="3"/>
        <v>FLAB-T</v>
      </c>
      <c r="AU10" s="1" t="s">
        <v>484</v>
      </c>
      <c r="AV10">
        <v>3</v>
      </c>
      <c r="AW10">
        <f t="shared" si="20"/>
        <v>0.26167000000000001</v>
      </c>
    </row>
    <row r="11" spans="1:50" x14ac:dyDescent="0.25">
      <c r="A11" s="460" t="s">
        <v>499</v>
      </c>
      <c r="B11" s="3">
        <f t="shared" si="4"/>
        <v>1.941E-2</v>
      </c>
      <c r="C11" s="3">
        <f t="shared" si="4"/>
        <v>2.2089999999999999E-2</v>
      </c>
      <c r="D11" s="3">
        <f t="shared" si="4"/>
        <v>7.3090000000000002E-2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1.941E-2</v>
      </c>
      <c r="AB11" t="str">
        <f t="shared" si="15"/>
        <v>EPV_RfTp</v>
      </c>
      <c r="AC11" s="1" t="s">
        <v>480</v>
      </c>
      <c r="AD11" s="1" t="str">
        <f t="shared" si="1"/>
        <v>FLAB-M</v>
      </c>
      <c r="AE11" s="1" t="s">
        <v>484</v>
      </c>
      <c r="AF11">
        <v>3</v>
      </c>
      <c r="AG11">
        <f t="shared" si="16"/>
        <v>2.2089999999999999E-2</v>
      </c>
      <c r="AJ11" t="str">
        <f t="shared" si="17"/>
        <v>EPV_RfTp</v>
      </c>
      <c r="AK11" s="1" t="s">
        <v>480</v>
      </c>
      <c r="AL11" s="1" t="str">
        <f t="shared" si="2"/>
        <v>FLAB-S</v>
      </c>
      <c r="AM11" s="1" t="s">
        <v>484</v>
      </c>
      <c r="AN11">
        <v>3</v>
      </c>
      <c r="AO11">
        <f t="shared" si="18"/>
        <v>7.3090000000000002E-2</v>
      </c>
      <c r="AR11" t="str">
        <f t="shared" si="19"/>
        <v>EPV_RfTp</v>
      </c>
      <c r="AS11" s="1" t="s">
        <v>480</v>
      </c>
      <c r="AT11" s="1" t="str">
        <f t="shared" si="3"/>
        <v>FLAB-T</v>
      </c>
      <c r="AU11" s="1" t="s">
        <v>484</v>
      </c>
      <c r="AV11">
        <v>3</v>
      </c>
      <c r="AW11">
        <f t="shared" si="20"/>
        <v>0.26167000000000001</v>
      </c>
    </row>
    <row r="12" spans="1:50" x14ac:dyDescent="0.25">
      <c r="A12" s="3" t="s">
        <v>50</v>
      </c>
      <c r="B12" s="3">
        <f t="shared" si="4"/>
        <v>2.3769999999999999E-2</v>
      </c>
      <c r="C12" s="3">
        <f t="shared" si="4"/>
        <v>2.7050000000000001E-2</v>
      </c>
      <c r="D12" s="3">
        <f t="shared" si="4"/>
        <v>8.949E-2</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2.3769999999999999E-2</v>
      </c>
      <c r="AB12" t="str">
        <f t="shared" si="15"/>
        <v>ECSP</v>
      </c>
      <c r="AC12" s="1" t="s">
        <v>480</v>
      </c>
      <c r="AD12" s="1" t="str">
        <f t="shared" si="1"/>
        <v>FLAB-M</v>
      </c>
      <c r="AE12" s="1" t="s">
        <v>484</v>
      </c>
      <c r="AF12">
        <v>3</v>
      </c>
      <c r="AG12">
        <f t="shared" si="16"/>
        <v>2.7050000000000001E-2</v>
      </c>
      <c r="AJ12" t="str">
        <f t="shared" si="17"/>
        <v>ECSP</v>
      </c>
      <c r="AK12" s="1" t="s">
        <v>480</v>
      </c>
      <c r="AL12" s="1" t="str">
        <f t="shared" si="2"/>
        <v>FLAB-S</v>
      </c>
      <c r="AM12" s="1" t="s">
        <v>484</v>
      </c>
      <c r="AN12">
        <v>3</v>
      </c>
      <c r="AO12">
        <f t="shared" si="18"/>
        <v>8.949E-2</v>
      </c>
      <c r="AR12" t="str">
        <f t="shared" si="19"/>
        <v>ECSP</v>
      </c>
      <c r="AS12" s="1" t="s">
        <v>480</v>
      </c>
      <c r="AT12" s="1" t="str">
        <f t="shared" si="3"/>
        <v>FLAB-T</v>
      </c>
      <c r="AU12" s="1" t="s">
        <v>484</v>
      </c>
      <c r="AV12">
        <v>3</v>
      </c>
      <c r="AW12">
        <f t="shared" si="20"/>
        <v>0.32040000000000002</v>
      </c>
    </row>
    <row r="13" spans="1:50" x14ac:dyDescent="0.25">
      <c r="A13" s="3" t="s">
        <v>49</v>
      </c>
      <c r="B13" s="3">
        <f t="shared" si="4"/>
        <v>1.6049999999999998E-2</v>
      </c>
      <c r="C13" s="3">
        <f t="shared" si="4"/>
        <v>1.8259999999999998E-2</v>
      </c>
      <c r="D13" s="3">
        <f t="shared" si="4"/>
        <v>6.0429999999999998E-2</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1.6049999999999998E-2</v>
      </c>
      <c r="AB13" t="str">
        <f t="shared" si="15"/>
        <v>EWind</v>
      </c>
      <c r="AC13" s="1" t="s">
        <v>480</v>
      </c>
      <c r="AD13" s="1" t="str">
        <f t="shared" si="1"/>
        <v>FLAB-M</v>
      </c>
      <c r="AE13" s="1" t="s">
        <v>484</v>
      </c>
      <c r="AF13">
        <v>3</v>
      </c>
      <c r="AG13">
        <f t="shared" si="16"/>
        <v>1.8259999999999998E-2</v>
      </c>
      <c r="AJ13" t="str">
        <f t="shared" si="17"/>
        <v>EWind</v>
      </c>
      <c r="AK13" s="1" t="s">
        <v>480</v>
      </c>
      <c r="AL13" s="1" t="str">
        <f t="shared" si="2"/>
        <v>FLAB-S</v>
      </c>
      <c r="AM13" s="1" t="s">
        <v>484</v>
      </c>
      <c r="AN13">
        <v>3</v>
      </c>
      <c r="AO13">
        <f t="shared" si="18"/>
        <v>6.0429999999999998E-2</v>
      </c>
      <c r="AR13" t="str">
        <f t="shared" si="19"/>
        <v>EWind</v>
      </c>
      <c r="AS13" s="1" t="s">
        <v>480</v>
      </c>
      <c r="AT13" s="1" t="str">
        <f t="shared" si="3"/>
        <v>FLAB-T</v>
      </c>
      <c r="AU13" s="1" t="s">
        <v>484</v>
      </c>
      <c r="AV13">
        <v>3</v>
      </c>
      <c r="AW13">
        <f t="shared" si="20"/>
        <v>0.21634</v>
      </c>
    </row>
    <row r="14" spans="1:50" x14ac:dyDescent="0.25">
      <c r="A14" s="461" t="s">
        <v>1334</v>
      </c>
      <c r="B14" s="3">
        <f t="shared" si="4"/>
        <v>1.72E-2</v>
      </c>
      <c r="C14" s="3">
        <f t="shared" si="4"/>
        <v>1.958E-2</v>
      </c>
      <c r="D14" s="3">
        <f t="shared" si="4"/>
        <v>6.4769999999999994E-2</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1.72E-2</v>
      </c>
      <c r="AB14" t="str">
        <f t="shared" si="15"/>
        <v>Ebattery_Utility</v>
      </c>
      <c r="AC14" s="1" t="s">
        <v>480</v>
      </c>
      <c r="AD14" s="1" t="str">
        <f t="shared" si="1"/>
        <v>FLAB-M</v>
      </c>
      <c r="AE14" s="1" t="s">
        <v>484</v>
      </c>
      <c r="AF14">
        <v>3</v>
      </c>
      <c r="AG14">
        <f t="shared" si="16"/>
        <v>1.958E-2</v>
      </c>
      <c r="AJ14" t="str">
        <f t="shared" si="17"/>
        <v>Ebattery_Utility</v>
      </c>
      <c r="AK14" s="1" t="s">
        <v>480</v>
      </c>
      <c r="AL14" s="1" t="str">
        <f t="shared" si="2"/>
        <v>FLAB-S</v>
      </c>
      <c r="AM14" s="1" t="s">
        <v>484</v>
      </c>
      <c r="AN14">
        <v>3</v>
      </c>
      <c r="AO14">
        <f t="shared" si="18"/>
        <v>6.4769999999999994E-2</v>
      </c>
      <c r="AR14" t="str">
        <f t="shared" si="19"/>
        <v>Ebattery_Utility</v>
      </c>
      <c r="AS14" s="1" t="s">
        <v>480</v>
      </c>
      <c r="AT14" s="1" t="str">
        <f t="shared" si="3"/>
        <v>FLAB-T</v>
      </c>
      <c r="AU14" s="1" t="s">
        <v>484</v>
      </c>
      <c r="AV14">
        <v>3</v>
      </c>
      <c r="AW14">
        <f t="shared" si="20"/>
        <v>0.23189000000000001</v>
      </c>
    </row>
    <row r="15" spans="1:50" x14ac:dyDescent="0.25">
      <c r="A15" s="60" t="s">
        <v>483</v>
      </c>
      <c r="B15" s="3">
        <f t="shared" si="4"/>
        <v>1.72E-2</v>
      </c>
      <c r="C15" s="3">
        <f t="shared" si="4"/>
        <v>1.958E-2</v>
      </c>
      <c r="D15" s="3">
        <f t="shared" si="4"/>
        <v>6.4769999999999994E-2</v>
      </c>
      <c r="E15" s="3">
        <f t="shared" si="4"/>
        <v>0.23189000000000001</v>
      </c>
      <c r="F15" s="4">
        <f>Z75/1000</f>
        <v>0.33344431232659533</v>
      </c>
      <c r="G15" s="3">
        <f t="shared" si="5"/>
        <v>36.92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1.72E-2</v>
      </c>
      <c r="AB15" t="str">
        <f t="shared" si="15"/>
        <v>Ecoal</v>
      </c>
      <c r="AC15" s="1" t="s">
        <v>480</v>
      </c>
      <c r="AD15" s="1" t="str">
        <f t="shared" si="1"/>
        <v>FLAB-M</v>
      </c>
      <c r="AE15" s="1" t="s">
        <v>484</v>
      </c>
      <c r="AF15">
        <v>3</v>
      </c>
      <c r="AG15">
        <f t="shared" si="16"/>
        <v>1.958E-2</v>
      </c>
      <c r="AJ15" t="str">
        <f t="shared" si="17"/>
        <v>Ecoal</v>
      </c>
      <c r="AK15" s="1" t="s">
        <v>480</v>
      </c>
      <c r="AL15" s="1" t="str">
        <f t="shared" si="2"/>
        <v>FLAB-S</v>
      </c>
      <c r="AM15" s="1" t="s">
        <v>484</v>
      </c>
      <c r="AN15">
        <v>3</v>
      </c>
      <c r="AO15">
        <f t="shared" si="18"/>
        <v>6.4769999999999994E-2</v>
      </c>
      <c r="AR15" t="str">
        <f t="shared" si="19"/>
        <v>Ecoal</v>
      </c>
      <c r="AS15" s="1" t="s">
        <v>480</v>
      </c>
      <c r="AT15" s="1" t="str">
        <f t="shared" si="3"/>
        <v>FLAB-T</v>
      </c>
      <c r="AU15" s="1" t="s">
        <v>484</v>
      </c>
      <c r="AV15">
        <v>3</v>
      </c>
      <c r="AW15">
        <f t="shared" si="20"/>
        <v>0.23189000000000001</v>
      </c>
    </row>
    <row r="16" spans="1:50" x14ac:dyDescent="0.25">
      <c r="A16" s="3" t="s">
        <v>30</v>
      </c>
      <c r="B16" s="3">
        <f t="shared" si="4"/>
        <v>1.72E-2</v>
      </c>
      <c r="C16" s="3">
        <f t="shared" si="4"/>
        <v>1.958E-2</v>
      </c>
      <c r="D16" s="3">
        <f t="shared" si="4"/>
        <v>6.4769999999999994E-2</v>
      </c>
      <c r="E16" s="3">
        <f t="shared" si="4"/>
        <v>0.23189000000000001</v>
      </c>
      <c r="F16" s="4">
        <f>F15</f>
        <v>0.33344431232659533</v>
      </c>
      <c r="G16" s="3">
        <f t="shared" si="5"/>
        <v>0.42</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1.72E-2</v>
      </c>
      <c r="AB16" t="str">
        <f t="shared" si="15"/>
        <v>EGas</v>
      </c>
      <c r="AC16" s="1" t="s">
        <v>480</v>
      </c>
      <c r="AD16" s="1" t="str">
        <f t="shared" si="1"/>
        <v>FLAB-M</v>
      </c>
      <c r="AE16" s="1" t="s">
        <v>484</v>
      </c>
      <c r="AF16">
        <v>3</v>
      </c>
      <c r="AG16">
        <f t="shared" si="16"/>
        <v>1.958E-2</v>
      </c>
      <c r="AJ16" t="str">
        <f t="shared" si="17"/>
        <v>EGas</v>
      </c>
      <c r="AK16" s="1" t="s">
        <v>480</v>
      </c>
      <c r="AL16" s="1" t="str">
        <f t="shared" si="2"/>
        <v>FLAB-S</v>
      </c>
      <c r="AM16" s="1" t="s">
        <v>484</v>
      </c>
      <c r="AN16">
        <v>3</v>
      </c>
      <c r="AO16">
        <f t="shared" si="18"/>
        <v>6.4769999999999994E-2</v>
      </c>
      <c r="AR16" t="str">
        <f t="shared" si="19"/>
        <v>EGas</v>
      </c>
      <c r="AS16" s="1" t="s">
        <v>480</v>
      </c>
      <c r="AT16" s="1" t="str">
        <f t="shared" si="3"/>
        <v>FLAB-T</v>
      </c>
      <c r="AU16" s="1" t="s">
        <v>484</v>
      </c>
      <c r="AV16">
        <v>3</v>
      </c>
      <c r="AW16">
        <f t="shared" si="20"/>
        <v>0.23189000000000001</v>
      </c>
    </row>
    <row r="17" spans="1:49" x14ac:dyDescent="0.25">
      <c r="A17" s="3" t="s">
        <v>28</v>
      </c>
      <c r="B17" s="3">
        <f t="shared" si="4"/>
        <v>3.3279999999999997E-2</v>
      </c>
      <c r="C17" s="3">
        <f t="shared" si="4"/>
        <v>3.7879999999999997E-2</v>
      </c>
      <c r="D17" s="3">
        <f t="shared" si="4"/>
        <v>0.12533</v>
      </c>
      <c r="E17" s="3">
        <f t="shared" si="4"/>
        <v>0.44868000000000002</v>
      </c>
      <c r="F17" s="4">
        <f>Z69/1000</f>
        <v>0.64516129032258063</v>
      </c>
      <c r="G17" s="3">
        <f t="shared" si="5"/>
        <v>1.86</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3.3279999999999997E-2</v>
      </c>
      <c r="AB17" t="str">
        <f t="shared" si="15"/>
        <v>ENuclear</v>
      </c>
      <c r="AC17" s="1" t="s">
        <v>480</v>
      </c>
      <c r="AD17" s="1" t="str">
        <f t="shared" si="1"/>
        <v>FLAB-M</v>
      </c>
      <c r="AE17" s="1" t="s">
        <v>484</v>
      </c>
      <c r="AF17">
        <v>3</v>
      </c>
      <c r="AG17">
        <f t="shared" si="16"/>
        <v>3.7879999999999997E-2</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x14ac:dyDescent="0.25">
      <c r="A18" s="3" t="s">
        <v>26</v>
      </c>
      <c r="B18" s="3">
        <f t="shared" si="4"/>
        <v>1.72E-2</v>
      </c>
      <c r="C18" s="3">
        <f t="shared" si="4"/>
        <v>1.958E-2</v>
      </c>
      <c r="D18" s="3">
        <f t="shared" si="4"/>
        <v>6.4769999999999994E-2</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1.72E-2</v>
      </c>
      <c r="AB18" t="str">
        <f t="shared" si="15"/>
        <v>EOil</v>
      </c>
      <c r="AC18" s="1" t="s">
        <v>480</v>
      </c>
      <c r="AD18" s="1" t="str">
        <f t="shared" si="1"/>
        <v>FLAB-M</v>
      </c>
      <c r="AE18" s="1" t="s">
        <v>484</v>
      </c>
      <c r="AF18">
        <v>3</v>
      </c>
      <c r="AG18">
        <f t="shared" si="16"/>
        <v>1.958E-2</v>
      </c>
      <c r="AJ18" t="str">
        <f t="shared" si="17"/>
        <v>EOil</v>
      </c>
      <c r="AK18" s="1" t="s">
        <v>480</v>
      </c>
      <c r="AL18" s="1" t="str">
        <f t="shared" si="2"/>
        <v>FLAB-S</v>
      </c>
      <c r="AM18" s="1" t="s">
        <v>484</v>
      </c>
      <c r="AN18">
        <v>3</v>
      </c>
      <c r="AO18">
        <f t="shared" si="18"/>
        <v>6.4769999999999994E-2</v>
      </c>
      <c r="AR18" t="str">
        <f t="shared" si="19"/>
        <v>EOil</v>
      </c>
      <c r="AS18" s="1" t="s">
        <v>480</v>
      </c>
      <c r="AT18" s="1" t="str">
        <f t="shared" si="3"/>
        <v>FLAB-T</v>
      </c>
      <c r="AU18" s="1" t="s">
        <v>484</v>
      </c>
      <c r="AV18">
        <v>3</v>
      </c>
      <c r="AW18">
        <f t="shared" si="20"/>
        <v>0.23189000000000001</v>
      </c>
    </row>
    <row r="19" spans="1:49" x14ac:dyDescent="0.25">
      <c r="A19" s="3" t="s">
        <v>211</v>
      </c>
      <c r="B19" s="3">
        <f t="shared" ref="B19:E24" si="21">ROUND(B$5*$F19,5)</f>
        <v>1.474E-2</v>
      </c>
      <c r="C19" s="31">
        <f t="shared" si="21"/>
        <v>1.678E-2</v>
      </c>
      <c r="D19" s="3">
        <f t="shared" si="21"/>
        <v>5.5509999999999997E-2</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ref="M19:M24" si="22">SUM(I19:L19)</f>
        <v>3138.8552597520002</v>
      </c>
      <c r="O19" s="6">
        <f t="shared" si="12"/>
        <v>91.779393559999988</v>
      </c>
      <c r="P19" s="3">
        <v>26</v>
      </c>
      <c r="T19" t="str">
        <f t="shared" si="14"/>
        <v>Etrans</v>
      </c>
      <c r="U19" s="1" t="s">
        <v>480</v>
      </c>
      <c r="V19" s="1" t="str">
        <f t="shared" si="0"/>
        <v>FLAB-P</v>
      </c>
      <c r="W19" s="1" t="s">
        <v>484</v>
      </c>
      <c r="X19">
        <v>3</v>
      </c>
      <c r="Y19">
        <f t="shared" si="13"/>
        <v>1.474E-2</v>
      </c>
      <c r="AB19" t="str">
        <f t="shared" si="15"/>
        <v>Etrans</v>
      </c>
      <c r="AC19" s="1" t="s">
        <v>480</v>
      </c>
      <c r="AD19" s="1" t="str">
        <f t="shared" si="1"/>
        <v>FLAB-M</v>
      </c>
      <c r="AE19" s="1" t="s">
        <v>484</v>
      </c>
      <c r="AF19">
        <v>3</v>
      </c>
      <c r="AG19">
        <f t="shared" si="16"/>
        <v>1.678E-2</v>
      </c>
      <c r="AJ19" t="str">
        <f t="shared" si="17"/>
        <v>Etrans</v>
      </c>
      <c r="AK19" s="1" t="s">
        <v>480</v>
      </c>
      <c r="AL19" s="1" t="str">
        <f t="shared" si="2"/>
        <v>FLAB-S</v>
      </c>
      <c r="AM19" s="1" t="s">
        <v>484</v>
      </c>
      <c r="AN19">
        <v>3</v>
      </c>
      <c r="AO19">
        <f t="shared" si="18"/>
        <v>5.5509999999999997E-2</v>
      </c>
      <c r="AR19" t="str">
        <f t="shared" si="19"/>
        <v>Etrans</v>
      </c>
      <c r="AS19" s="1" t="s">
        <v>480</v>
      </c>
      <c r="AT19" s="1" t="str">
        <f t="shared" si="3"/>
        <v>FLAB-T</v>
      </c>
      <c r="AU19" s="1" t="s">
        <v>484</v>
      </c>
      <c r="AV19">
        <v>3</v>
      </c>
      <c r="AW19">
        <f t="shared" si="20"/>
        <v>0.19872999999999999</v>
      </c>
    </row>
    <row r="20" spans="1:49" x14ac:dyDescent="0.2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ref="I20:L24" si="23">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x14ac:dyDescent="0.25">
      <c r="A21" s="58" t="s">
        <v>474</v>
      </c>
      <c r="B21" s="3">
        <f t="shared" si="21"/>
        <v>3.1989999999999998E-2</v>
      </c>
      <c r="C21" s="3">
        <f t="shared" si="21"/>
        <v>3.6400000000000002E-2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3.1989999999999998E-2</v>
      </c>
      <c r="AB21" t="str">
        <f t="shared" si="15"/>
        <v>Edist_Agriculture</v>
      </c>
      <c r="AC21" s="1" t="s">
        <v>480</v>
      </c>
      <c r="AD21" s="1" t="str">
        <f t="shared" si="1"/>
        <v>FLAB-M</v>
      </c>
      <c r="AE21" s="1" t="s">
        <v>484</v>
      </c>
      <c r="AF21">
        <v>3</v>
      </c>
      <c r="AG21">
        <f t="shared" si="16"/>
        <v>3.6400000000000002E-2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x14ac:dyDescent="0.25">
      <c r="A22" s="58" t="s">
        <v>475</v>
      </c>
      <c r="B22" s="3">
        <f t="shared" si="21"/>
        <v>2.656E-2</v>
      </c>
      <c r="C22" s="3">
        <f t="shared" si="21"/>
        <v>3.023E-2</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2.656E-2</v>
      </c>
      <c r="AB22" t="str">
        <f t="shared" si="15"/>
        <v>Edist_Industry</v>
      </c>
      <c r="AC22" s="1" t="s">
        <v>480</v>
      </c>
      <c r="AD22" s="1" t="str">
        <f t="shared" si="1"/>
        <v>FLAB-M</v>
      </c>
      <c r="AE22" s="1" t="s">
        <v>484</v>
      </c>
      <c r="AF22">
        <v>3</v>
      </c>
      <c r="AG22">
        <f t="shared" si="16"/>
        <v>3.023E-2</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x14ac:dyDescent="0.25">
      <c r="A23" s="58" t="s">
        <v>476</v>
      </c>
      <c r="B23" s="3">
        <f t="shared" si="21"/>
        <v>2.8969999999999999E-2</v>
      </c>
      <c r="C23" s="3">
        <f t="shared" si="21"/>
        <v>3.2969999999999999E-2</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2.8969999999999999E-2</v>
      </c>
      <c r="AB23" t="str">
        <f t="shared" si="15"/>
        <v>Edist_Commercial</v>
      </c>
      <c r="AC23" s="1" t="s">
        <v>480</v>
      </c>
      <c r="AD23" s="1" t="str">
        <f t="shared" si="1"/>
        <v>FLAB-M</v>
      </c>
      <c r="AE23" s="1" t="s">
        <v>484</v>
      </c>
      <c r="AF23">
        <v>3</v>
      </c>
      <c r="AG23">
        <f t="shared" si="16"/>
        <v>3.2969999999999999E-2</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x14ac:dyDescent="0.25">
      <c r="A24" s="58" t="s">
        <v>477</v>
      </c>
      <c r="B24" s="3">
        <f t="shared" si="21"/>
        <v>2.6519999999999998E-2</v>
      </c>
      <c r="C24" s="3">
        <f t="shared" si="21"/>
        <v>3.0179999999999998E-2</v>
      </c>
      <c r="D24" s="3">
        <f t="shared" si="21"/>
        <v>9.9849999999999994E-2</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2.6519999999999998E-2</v>
      </c>
      <c r="AB24" t="str">
        <f t="shared" si="15"/>
        <v>Edist_Transport</v>
      </c>
      <c r="AC24" s="1" t="s">
        <v>480</v>
      </c>
      <c r="AD24" s="1" t="str">
        <f t="shared" si="1"/>
        <v>FLAB-M</v>
      </c>
      <c r="AE24" s="1" t="s">
        <v>484</v>
      </c>
      <c r="AF24">
        <v>3</v>
      </c>
      <c r="AG24">
        <f t="shared" si="16"/>
        <v>3.0179999999999998E-2</v>
      </c>
      <c r="AJ24" t="str">
        <f t="shared" si="17"/>
        <v>Edist_Transport</v>
      </c>
      <c r="AK24" s="1" t="s">
        <v>480</v>
      </c>
      <c r="AL24" s="1" t="str">
        <f t="shared" si="2"/>
        <v>FLAB-S</v>
      </c>
      <c r="AM24" s="1" t="s">
        <v>484</v>
      </c>
      <c r="AN24">
        <v>3</v>
      </c>
      <c r="AO24">
        <f t="shared" si="18"/>
        <v>9.9849999999999994E-2</v>
      </c>
      <c r="AR24" t="str">
        <f t="shared" si="19"/>
        <v>Edist_Transport</v>
      </c>
      <c r="AS24" s="1" t="s">
        <v>480</v>
      </c>
      <c r="AT24" s="1" t="str">
        <f t="shared" si="3"/>
        <v>FLAB-T</v>
      </c>
      <c r="AU24" s="1" t="s">
        <v>484</v>
      </c>
      <c r="AV24">
        <v>3</v>
      </c>
      <c r="AW24">
        <f t="shared" si="20"/>
        <v>0.35747000000000001</v>
      </c>
    </row>
    <row r="25" spans="1:49" x14ac:dyDescent="0.2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c r="AV25"/>
      <c r="AW25"/>
    </row>
    <row r="26" spans="1:49" x14ac:dyDescent="0.2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49" x14ac:dyDescent="0.25">
      <c r="A27" s="3" t="s">
        <v>209</v>
      </c>
      <c r="H27" s="13">
        <f>H84</f>
        <v>72.316029999999998</v>
      </c>
      <c r="M27" s="16">
        <f>'From SAM'!V32*1000</f>
        <v>23198</v>
      </c>
      <c r="R27" s="6"/>
      <c r="S27" s="6"/>
    </row>
    <row r="30" spans="1:49" x14ac:dyDescent="0.25">
      <c r="I30" s="3" t="s">
        <v>208</v>
      </c>
    </row>
    <row r="31" spans="1:49" x14ac:dyDescent="0.25">
      <c r="P31" s="3" t="s">
        <v>207</v>
      </c>
      <c r="R31" s="16"/>
      <c r="S31" s="16"/>
    </row>
    <row r="32" spans="1:49" x14ac:dyDescent="0.25">
      <c r="Q32" s="3" t="s">
        <v>206</v>
      </c>
      <c r="R32" s="3" t="s">
        <v>205</v>
      </c>
      <c r="S32" s="3" t="s">
        <v>204</v>
      </c>
    </row>
    <row r="33" spans="1:30" x14ac:dyDescent="0.25">
      <c r="P33" s="9" t="s">
        <v>203</v>
      </c>
      <c r="Q33" s="26">
        <f>H3</f>
        <v>15.221333333333332</v>
      </c>
      <c r="R33" s="26">
        <f>G3</f>
        <v>43.910000000000004</v>
      </c>
      <c r="S33" s="27">
        <f t="shared" ref="S33:S41" si="24">Q33/R33</f>
        <v>0.34664844758217561</v>
      </c>
    </row>
    <row r="34" spans="1:30" x14ac:dyDescent="0.25">
      <c r="A34" s="3" t="s">
        <v>202</v>
      </c>
      <c r="B34" s="3" t="s">
        <v>201</v>
      </c>
      <c r="P34" s="3" t="s">
        <v>158</v>
      </c>
      <c r="Q34" s="13">
        <f>Y69/1000</f>
        <v>1.2</v>
      </c>
      <c r="R34" s="13">
        <f>G17</f>
        <v>1.86</v>
      </c>
      <c r="S34" s="6">
        <f t="shared" si="24"/>
        <v>0.64516129032258063</v>
      </c>
    </row>
    <row r="35" spans="1:30" x14ac:dyDescent="0.25">
      <c r="A35" s="60" t="s">
        <v>483</v>
      </c>
      <c r="B35" s="3">
        <f>33.2+3.72</f>
        <v>36.92</v>
      </c>
      <c r="P35" s="3" t="s">
        <v>200</v>
      </c>
      <c r="Q35" s="13">
        <f>Q33-Q34</f>
        <v>14.021333333333333</v>
      </c>
      <c r="R35" s="13">
        <f>R33-R34</f>
        <v>42.050000000000004</v>
      </c>
      <c r="S35" s="6">
        <f t="shared" si="24"/>
        <v>0.33344431232659527</v>
      </c>
    </row>
    <row r="36" spans="1:30" x14ac:dyDescent="0.25">
      <c r="P36" s="9" t="s">
        <v>199</v>
      </c>
      <c r="Q36" s="26">
        <f>H19</f>
        <v>9.7730300000000057</v>
      </c>
      <c r="R36" s="26">
        <f>G19</f>
        <v>34.200000000000003</v>
      </c>
      <c r="S36" s="27">
        <f t="shared" si="24"/>
        <v>0.28576111111111124</v>
      </c>
    </row>
    <row r="37" spans="1:30" x14ac:dyDescent="0.25">
      <c r="A37" s="3" t="s">
        <v>30</v>
      </c>
      <c r="B37" s="3">
        <v>0.42</v>
      </c>
      <c r="P37" s="9" t="s">
        <v>198</v>
      </c>
      <c r="Q37" s="26">
        <f>H25</f>
        <v>47.281333333333336</v>
      </c>
      <c r="R37" s="26">
        <f>SUM(G20:G24)</f>
        <v>36.882199999999997</v>
      </c>
      <c r="S37" s="27">
        <f t="shared" si="24"/>
        <v>1.281955342504876</v>
      </c>
    </row>
    <row r="38" spans="1:30" x14ac:dyDescent="0.25">
      <c r="A38" s="3" t="s">
        <v>55</v>
      </c>
      <c r="B38" s="3">
        <v>0.67</v>
      </c>
      <c r="P38" s="3" t="s">
        <v>197</v>
      </c>
      <c r="Q38" s="13">
        <f>H20</f>
        <v>33.411477030841922</v>
      </c>
      <c r="R38" s="13">
        <f>G20</f>
        <v>10.6821</v>
      </c>
      <c r="S38" s="6">
        <f t="shared" si="24"/>
        <v>3.1278004353864803</v>
      </c>
    </row>
    <row r="39" spans="1:30" x14ac:dyDescent="0.25">
      <c r="A39" s="3" t="s">
        <v>56</v>
      </c>
      <c r="B39" s="3">
        <v>1.5</v>
      </c>
      <c r="P39" s="3" t="s">
        <v>196</v>
      </c>
      <c r="Q39" s="13">
        <f>H23</f>
        <v>3.4038739804816984</v>
      </c>
      <c r="R39" s="13">
        <f>G23</f>
        <v>6.0609000000000002</v>
      </c>
      <c r="S39" s="6">
        <f t="shared" si="24"/>
        <v>0.5616119685990032</v>
      </c>
    </row>
    <row r="40" spans="1:30" x14ac:dyDescent="0.25">
      <c r="A40" s="3" t="s">
        <v>28</v>
      </c>
      <c r="B40" s="3">
        <v>1.86</v>
      </c>
      <c r="P40" s="3" t="s">
        <v>195</v>
      </c>
      <c r="Q40" s="13">
        <f>H22</f>
        <v>9.6688605019654048</v>
      </c>
      <c r="R40" s="13">
        <f>G22</f>
        <v>18.776499999999999</v>
      </c>
      <c r="S40" s="6">
        <f t="shared" si="24"/>
        <v>0.51494477149444284</v>
      </c>
    </row>
    <row r="41" spans="1:30" x14ac:dyDescent="0.25">
      <c r="A41" s="3" t="s">
        <v>26</v>
      </c>
      <c r="B41" s="3">
        <v>2.46</v>
      </c>
      <c r="P41" s="3" t="s">
        <v>194</v>
      </c>
      <c r="Q41" s="13">
        <f>Q37-SUM(Q38:Q40)</f>
        <v>0.79712182004431043</v>
      </c>
      <c r="R41" s="13">
        <f>R37-SUM(R38:R40)</f>
        <v>1.3626999999999967</v>
      </c>
      <c r="S41" s="6">
        <f t="shared" si="24"/>
        <v>0.58495767230080897</v>
      </c>
    </row>
    <row r="42" spans="1:30" x14ac:dyDescent="0.25">
      <c r="A42" s="3" t="s">
        <v>58</v>
      </c>
      <c r="B42" s="3">
        <v>1.58</v>
      </c>
      <c r="L42" s="13"/>
      <c r="M42" s="20"/>
      <c r="O42" s="16"/>
      <c r="P42" s="9" t="s">
        <v>193</v>
      </c>
      <c r="Q42" s="26">
        <f>Q33+Q36+Q37</f>
        <v>72.275696666666676</v>
      </c>
      <c r="R42" s="26"/>
      <c r="S42" s="6"/>
    </row>
    <row r="43" spans="1:30" x14ac:dyDescent="0.25">
      <c r="L43" s="13"/>
      <c r="M43" s="20"/>
      <c r="O43" s="16"/>
    </row>
    <row r="44" spans="1:30" x14ac:dyDescent="0.25">
      <c r="L44" s="13"/>
      <c r="M44" s="20"/>
      <c r="O44" s="16"/>
    </row>
    <row r="45" spans="1:30" ht="45" x14ac:dyDescent="0.2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1:30" x14ac:dyDescent="0.25">
      <c r="F46" s="3">
        <v>1</v>
      </c>
      <c r="G46" s="3" t="s">
        <v>161</v>
      </c>
      <c r="H46" s="3">
        <v>6117</v>
      </c>
      <c r="I46" s="3">
        <v>632</v>
      </c>
      <c r="J46" s="25">
        <f t="shared" ref="J46:J54" si="25">H46/I46*1000</f>
        <v>9678.7974683544307</v>
      </c>
      <c r="K46" s="3">
        <v>25</v>
      </c>
      <c r="L46" s="13">
        <f t="shared" ref="L46:L54" si="26">J46/K46</f>
        <v>387.15189873417722</v>
      </c>
      <c r="M46" s="20">
        <v>0.28000000000000003</v>
      </c>
      <c r="N46" s="3">
        <f t="shared" ref="N46:N54" si="27">I46*M46*8.76/1000</f>
        <v>1.5501696</v>
      </c>
      <c r="O46" s="16">
        <f t="shared" ref="O46:O54" si="28">H46/K46/N46</f>
        <v>157.84079367831751</v>
      </c>
      <c r="P46" s="13">
        <f t="shared" ref="P46:P54" si="29">N46*K46</f>
        <v>38.754240000000003</v>
      </c>
      <c r="Q46" s="16">
        <f t="shared" ref="Q46:Q54" si="30">H46/P46</f>
        <v>157.84079367831751</v>
      </c>
      <c r="S46" s="3">
        <v>1</v>
      </c>
      <c r="T46" s="3" t="s">
        <v>176</v>
      </c>
      <c r="V46" s="3">
        <v>1</v>
      </c>
      <c r="W46" s="3" t="str">
        <f t="shared" ref="W46:W58" si="31">INDEX($T$46:$T$75,V46*2-1)</f>
        <v>Arnot</v>
      </c>
      <c r="X46" s="3">
        <f t="shared" ref="X46:X58" si="32">SUMIF($S$46:$S$75,V46,$T$46:$T$75)</f>
        <v>677</v>
      </c>
      <c r="Y46" s="3">
        <f>INDEX($T$77:$T$107,MATCH(W46,$S$77:$S$107,0))</f>
        <v>2220</v>
      </c>
      <c r="Z46" s="16">
        <f t="shared" ref="Z46:Z58" si="33">X46/Y46*1000</f>
        <v>304.95495495495493</v>
      </c>
      <c r="AA46" s="20">
        <v>0.75</v>
      </c>
      <c r="AB46" s="13">
        <f t="shared" ref="AB46:AB58" si="34">Y46*8.76*AA46/1000</f>
        <v>14.585400000000002</v>
      </c>
      <c r="AC46" s="13">
        <f t="shared" ref="AC46:AC58" si="35">X46/AB46</f>
        <v>46.416279292991618</v>
      </c>
    </row>
    <row r="47" spans="1:30" x14ac:dyDescent="0.2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1:30" x14ac:dyDescent="0.2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ref="S48:S75" si="36">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31" x14ac:dyDescent="0.2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31" x14ac:dyDescent="0.2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31" x14ac:dyDescent="0.2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31" x14ac:dyDescent="0.25">
      <c r="F52" s="3">
        <v>1</v>
      </c>
      <c r="G52" s="3" t="s">
        <v>172</v>
      </c>
      <c r="H52" s="3">
        <v>1382</v>
      </c>
      <c r="I52" s="3">
        <v>150</v>
      </c>
      <c r="J52" s="25">
        <f t="shared" si="25"/>
        <v>9213.3333333333321</v>
      </c>
      <c r="K52" s="3">
        <v>30</v>
      </c>
      <c r="L52" s="13">
        <f t="shared" si="26"/>
        <v>307.11111111111109</v>
      </c>
      <c r="M52" s="20">
        <v>0.4</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31" x14ac:dyDescent="0.25">
      <c r="F53" s="3">
        <v>2</v>
      </c>
      <c r="G53" s="3" t="s">
        <v>172</v>
      </c>
      <c r="H53" s="3">
        <v>1180</v>
      </c>
      <c r="I53" s="3">
        <v>50</v>
      </c>
      <c r="J53" s="25">
        <f t="shared" si="25"/>
        <v>23600</v>
      </c>
      <c r="K53" s="3">
        <v>30</v>
      </c>
      <c r="L53" s="13">
        <f t="shared" si="26"/>
        <v>786.66666666666663</v>
      </c>
      <c r="M53" s="20">
        <f>M52</f>
        <v>0.4</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31" x14ac:dyDescent="0.25">
      <c r="F54" s="3">
        <v>3</v>
      </c>
      <c r="G54" s="3" t="s">
        <v>172</v>
      </c>
      <c r="H54" s="3">
        <v>1730</v>
      </c>
      <c r="I54" s="3">
        <v>200</v>
      </c>
      <c r="J54" s="25">
        <f t="shared" si="25"/>
        <v>8650</v>
      </c>
      <c r="K54" s="3">
        <v>30</v>
      </c>
      <c r="L54" s="13">
        <f t="shared" si="26"/>
        <v>288.33333333333331</v>
      </c>
      <c r="M54" s="20">
        <f>M53</f>
        <v>0.4</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6:31" x14ac:dyDescent="0.2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6:31" x14ac:dyDescent="0.2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6:31" x14ac:dyDescent="0.25">
      <c r="G57" s="3" t="s">
        <v>168</v>
      </c>
      <c r="J57" s="21">
        <f>AVERAGE(J49:J51)</f>
        <v>6221.6562774489294</v>
      </c>
      <c r="L57" s="23">
        <f>AVERAGE(L49:L51)</f>
        <v>311.08281387244648</v>
      </c>
      <c r="O57" s="16">
        <f>AVERAGE(O49:O51)</f>
        <v>97.640189011355417</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6:31" x14ac:dyDescent="0.25">
      <c r="G58" s="3" t="s">
        <v>167</v>
      </c>
      <c r="J58" s="21">
        <f>AVERAGE(J52:J54)</f>
        <v>13821.111111111109</v>
      </c>
      <c r="L58" s="22">
        <f>AVERAGE(L52:L54)</f>
        <v>460.7037037037037</v>
      </c>
      <c r="O58" s="21">
        <f>AVERAGE(O52:O54)</f>
        <v>131.47936749534924</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6:31" x14ac:dyDescent="0.25">
      <c r="S59" s="3">
        <f t="shared" si="36"/>
        <v>7</v>
      </c>
      <c r="T59" s="3">
        <v>331</v>
      </c>
      <c r="W59" s="3" t="s">
        <v>487</v>
      </c>
      <c r="Z59" s="16">
        <f>SUM(X46:X58)/SUM(Y46:Y58)*1000</f>
        <v>205.56483027267669</v>
      </c>
      <c r="AC59" s="16">
        <f>SUM(X46:X58)/SUM(AB46:AB58)</f>
        <v>31.288406434197366</v>
      </c>
    </row>
    <row r="60" spans="6:31" x14ac:dyDescent="0.25">
      <c r="F60" s="9" t="s">
        <v>165</v>
      </c>
      <c r="S60" s="3">
        <f t="shared" si="36"/>
        <v>8</v>
      </c>
      <c r="T60" s="3" t="s">
        <v>164</v>
      </c>
      <c r="AE60" s="19" t="s">
        <v>163</v>
      </c>
    </row>
    <row r="61" spans="6:31" x14ac:dyDescent="0.25">
      <c r="G61" s="500" t="s">
        <v>147</v>
      </c>
      <c r="H61" s="500"/>
      <c r="I61" s="500"/>
      <c r="J61" s="500"/>
      <c r="K61" s="500" t="s">
        <v>162</v>
      </c>
      <c r="L61" s="500"/>
      <c r="M61" s="500"/>
      <c r="N61" s="500"/>
      <c r="S61" s="3">
        <f t="shared" si="36"/>
        <v>8</v>
      </c>
      <c r="T61" s="3">
        <v>701</v>
      </c>
      <c r="W61" s="3" t="s">
        <v>488</v>
      </c>
      <c r="X61" s="3">
        <v>1200</v>
      </c>
      <c r="Y61" s="3">
        <v>1860</v>
      </c>
      <c r="Z61" s="16">
        <f>X61/Y61*1000</f>
        <v>645.16129032258061</v>
      </c>
      <c r="AA61" s="20">
        <v>0.8</v>
      </c>
      <c r="AB61" s="13">
        <f>Y61*8.76*AA61/1000</f>
        <v>13.034880000000001</v>
      </c>
      <c r="AC61" s="13">
        <f>X61/AB61</f>
        <v>92.060686404477821</v>
      </c>
    </row>
    <row r="62" spans="6:31" x14ac:dyDescent="0.25">
      <c r="G62" s="3" t="s">
        <v>161</v>
      </c>
      <c r="H62" s="3" t="s">
        <v>160</v>
      </c>
      <c r="I62" s="3" t="s">
        <v>159</v>
      </c>
      <c r="J62" s="3" t="s">
        <v>158</v>
      </c>
      <c r="K62" s="3" t="s">
        <v>161</v>
      </c>
      <c r="L62" s="3" t="s">
        <v>160</v>
      </c>
      <c r="M62" s="3" t="s">
        <v>159</v>
      </c>
      <c r="N62" s="3" t="s">
        <v>158</v>
      </c>
      <c r="S62" s="3">
        <f t="shared" si="36"/>
        <v>9</v>
      </c>
      <c r="T62" s="3" t="s">
        <v>157</v>
      </c>
    </row>
    <row r="63" spans="6:31" x14ac:dyDescent="0.25">
      <c r="F63" s="3" t="s">
        <v>156</v>
      </c>
      <c r="G63" s="16">
        <f>AVERAGE(Q46:Q47)</f>
        <v>153.40092982959615</v>
      </c>
      <c r="H63" s="16">
        <f>AVERAGE(Q49:Q50)</f>
        <v>61.651028660215474</v>
      </c>
      <c r="K63" s="16">
        <f>L56</f>
        <v>376.26180068603344</v>
      </c>
      <c r="L63" s="16">
        <f>AVERAGE(L49:L50)</f>
        <v>196.42091712379042</v>
      </c>
      <c r="S63" s="3">
        <f t="shared" si="36"/>
        <v>9</v>
      </c>
      <c r="T63" s="3">
        <v>247</v>
      </c>
    </row>
    <row r="64" spans="6:31" x14ac:dyDescent="0.25">
      <c r="F64" s="3" t="s">
        <v>155</v>
      </c>
      <c r="G64" s="16">
        <f>Q48</f>
        <v>281.65793163431329</v>
      </c>
      <c r="H64" s="16">
        <f>Q51</f>
        <v>169.61850971363529</v>
      </c>
      <c r="K64" s="16">
        <f>L48</f>
        <v>690.85057471264361</v>
      </c>
      <c r="L64" s="16">
        <f>L51</f>
        <v>540.4066073697586</v>
      </c>
      <c r="S64" s="3">
        <f t="shared" si="36"/>
        <v>10</v>
      </c>
      <c r="T64" s="3" t="s">
        <v>154</v>
      </c>
      <c r="AD64" s="19" t="s">
        <v>153</v>
      </c>
    </row>
    <row r="65" spans="5:28" x14ac:dyDescent="0.2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5:28" x14ac:dyDescent="0.2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5:28" x14ac:dyDescent="0.2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5:28" x14ac:dyDescent="0.25">
      <c r="F68" s="3" t="s">
        <v>91</v>
      </c>
      <c r="G68" s="16">
        <f>O56</f>
        <v>153.40092982959615</v>
      </c>
      <c r="H68" s="16">
        <f>O57</f>
        <v>97.640189011355417</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5:28" x14ac:dyDescent="0.25">
      <c r="S69" s="3">
        <f t="shared" si="36"/>
        <v>12</v>
      </c>
      <c r="T69" s="3">
        <v>476</v>
      </c>
      <c r="X69" s="3">
        <v>1.86</v>
      </c>
      <c r="Y69" s="3">
        <f>X61</f>
        <v>1200</v>
      </c>
      <c r="Z69" s="18">
        <f>Y69/X69</f>
        <v>645.16129032258061</v>
      </c>
    </row>
    <row r="70" spans="5:28" x14ac:dyDescent="0.25">
      <c r="S70" s="3">
        <f t="shared" si="36"/>
        <v>13</v>
      </c>
      <c r="T70" s="3" t="s">
        <v>143</v>
      </c>
      <c r="X70" s="3">
        <v>2.46</v>
      </c>
      <c r="Z70" s="16">
        <f>Y70/X70</f>
        <v>0</v>
      </c>
    </row>
    <row r="71" spans="5:28" x14ac:dyDescent="0.25">
      <c r="S71" s="3">
        <f t="shared" si="36"/>
        <v>13</v>
      </c>
      <c r="T71" s="3">
        <v>659</v>
      </c>
      <c r="X71" s="3">
        <v>1.58</v>
      </c>
      <c r="Z71" s="16">
        <f>Y71/X71</f>
        <v>0</v>
      </c>
    </row>
    <row r="72" spans="5:28" x14ac:dyDescent="0.25">
      <c r="S72" s="3">
        <f t="shared" si="36"/>
        <v>14</v>
      </c>
      <c r="T72" s="3" t="s">
        <v>142</v>
      </c>
      <c r="X72" s="3">
        <f>SUM(X67:X71)</f>
        <v>42.410000000000004</v>
      </c>
      <c r="Z72" s="16"/>
    </row>
    <row r="73" spans="5:28" x14ac:dyDescent="0.25">
      <c r="S73" s="3">
        <f t="shared" si="36"/>
        <v>14</v>
      </c>
      <c r="T73" s="3">
        <v>293</v>
      </c>
      <c r="X73" s="3" t="s">
        <v>86</v>
      </c>
      <c r="Y73" s="3" t="s">
        <v>141</v>
      </c>
    </row>
    <row r="74" spans="5:28" x14ac:dyDescent="0.25">
      <c r="S74" s="3">
        <f t="shared" si="36"/>
        <v>15</v>
      </c>
      <c r="T74" s="3" t="s">
        <v>140</v>
      </c>
      <c r="X74" s="4">
        <f>G3</f>
        <v>43.910000000000004</v>
      </c>
      <c r="Y74" s="3">
        <f>F100*1000</f>
        <v>15221.333333333334</v>
      </c>
      <c r="Z74" s="16"/>
    </row>
    <row r="75" spans="5:28" x14ac:dyDescent="0.25">
      <c r="S75" s="3">
        <f t="shared" si="36"/>
        <v>15</v>
      </c>
      <c r="T75" s="3">
        <v>649</v>
      </c>
      <c r="X75" s="4">
        <f>X74-X69</f>
        <v>42.050000000000004</v>
      </c>
      <c r="Y75" s="3">
        <f>Y74-Y69</f>
        <v>14021.333333333334</v>
      </c>
      <c r="Z75" s="18">
        <f>Y75/X75</f>
        <v>333.44431232659531</v>
      </c>
      <c r="AA75" s="3" t="s">
        <v>139</v>
      </c>
      <c r="AB75" s="3">
        <f>AC59/Z59*Z75</f>
        <v>50.752558953819687</v>
      </c>
    </row>
    <row r="76" spans="5:28" x14ac:dyDescent="0.25">
      <c r="E76" s="3" t="s">
        <v>138</v>
      </c>
    </row>
    <row r="77" spans="5:28" x14ac:dyDescent="0.25">
      <c r="E77" s="3" t="s">
        <v>137</v>
      </c>
      <c r="S77" s="2" t="s">
        <v>136</v>
      </c>
      <c r="T77" s="15">
        <v>1520</v>
      </c>
    </row>
    <row r="78" spans="5:28" x14ac:dyDescent="0.25">
      <c r="H78" s="3">
        <v>2012</v>
      </c>
      <c r="S78" s="2" t="s">
        <v>135</v>
      </c>
      <c r="T78" s="15">
        <v>360</v>
      </c>
    </row>
    <row r="79" spans="5:28" x14ac:dyDescent="0.25">
      <c r="E79" s="3" t="s">
        <v>134</v>
      </c>
      <c r="F79" s="3" t="s">
        <v>127</v>
      </c>
      <c r="G79" s="3" t="s">
        <v>126</v>
      </c>
      <c r="H79" s="3">
        <v>3.730645</v>
      </c>
      <c r="S79" s="2" t="s">
        <v>133</v>
      </c>
      <c r="T79" s="15">
        <v>200</v>
      </c>
    </row>
    <row r="80" spans="5:28" x14ac:dyDescent="0.25">
      <c r="E80" s="3" t="s">
        <v>132</v>
      </c>
      <c r="F80" s="3" t="s">
        <v>127</v>
      </c>
      <c r="G80" s="3" t="s">
        <v>126</v>
      </c>
      <c r="H80" s="3">
        <v>4.2457479999999999</v>
      </c>
      <c r="S80" s="2" t="s">
        <v>131</v>
      </c>
      <c r="T80" s="15">
        <v>2220</v>
      </c>
    </row>
    <row r="81" spans="5:20" x14ac:dyDescent="0.25">
      <c r="E81" s="3" t="s">
        <v>130</v>
      </c>
      <c r="F81" s="3" t="s">
        <v>127</v>
      </c>
      <c r="G81" s="3" t="s">
        <v>126</v>
      </c>
      <c r="H81" s="3">
        <v>14.047689</v>
      </c>
      <c r="S81" s="2" t="s">
        <v>129</v>
      </c>
      <c r="T81" s="15">
        <v>3480</v>
      </c>
    </row>
    <row r="82" spans="5:20" x14ac:dyDescent="0.25">
      <c r="E82" s="3" t="s">
        <v>128</v>
      </c>
      <c r="F82" s="3" t="s">
        <v>127</v>
      </c>
      <c r="G82" s="3" t="s">
        <v>126</v>
      </c>
      <c r="H82" s="3">
        <v>50.291947999999998</v>
      </c>
      <c r="S82" s="2" t="s">
        <v>125</v>
      </c>
      <c r="T82" s="15">
        <v>1900</v>
      </c>
    </row>
    <row r="83" spans="5:20" x14ac:dyDescent="0.25">
      <c r="S83" s="2" t="s">
        <v>124</v>
      </c>
      <c r="T83" s="15">
        <v>3840</v>
      </c>
    </row>
    <row r="84" spans="5:20" x14ac:dyDescent="0.25">
      <c r="E84" s="3" t="s">
        <v>60</v>
      </c>
      <c r="H84" s="13">
        <f>SUM(H79:H82)</f>
        <v>72.316029999999998</v>
      </c>
      <c r="S84" s="2" t="s">
        <v>123</v>
      </c>
      <c r="T84" s="15">
        <v>2880</v>
      </c>
    </row>
    <row r="85" spans="5:20" x14ac:dyDescent="0.25">
      <c r="E85" s="3" t="s">
        <v>122</v>
      </c>
      <c r="H85" s="3">
        <v>44</v>
      </c>
      <c r="S85" s="2" t="s">
        <v>121</v>
      </c>
      <c r="T85" s="15">
        <v>3540</v>
      </c>
    </row>
    <row r="86" spans="5:20" x14ac:dyDescent="0.25">
      <c r="E86" s="3" t="s">
        <v>120</v>
      </c>
      <c r="H86" s="16">
        <f>H84-H85</f>
        <v>28.316029999999998</v>
      </c>
      <c r="S86" s="2" t="s">
        <v>119</v>
      </c>
      <c r="T86" s="15">
        <v>1830</v>
      </c>
    </row>
    <row r="87" spans="5:20" x14ac:dyDescent="0.25">
      <c r="E87" s="3" t="s">
        <v>118</v>
      </c>
      <c r="H87" s="16">
        <f>H86</f>
        <v>28.316029999999998</v>
      </c>
      <c r="S87" s="2" t="s">
        <v>117</v>
      </c>
      <c r="T87" s="15">
        <v>2010</v>
      </c>
    </row>
    <row r="88" spans="5:20" x14ac:dyDescent="0.25">
      <c r="S88" s="2" t="s">
        <v>116</v>
      </c>
      <c r="T88" s="17">
        <v>3720</v>
      </c>
    </row>
    <row r="89" spans="5:20" x14ac:dyDescent="0.25">
      <c r="E89" s="3" t="s">
        <v>115</v>
      </c>
      <c r="H89" s="16">
        <f>H85-H87</f>
        <v>15.683970000000002</v>
      </c>
      <c r="S89" s="2" t="s">
        <v>114</v>
      </c>
      <c r="T89" s="15">
        <v>3480</v>
      </c>
    </row>
    <row r="90" spans="5:20" x14ac:dyDescent="0.25">
      <c r="E90" s="3" t="s">
        <v>105</v>
      </c>
      <c r="H90" s="13">
        <f>SUM(X46:X61)/1000</f>
        <v>8.5879999999999992</v>
      </c>
      <c r="S90" s="2" t="s">
        <v>113</v>
      </c>
      <c r="T90" s="17">
        <v>3540</v>
      </c>
    </row>
    <row r="91" spans="5:20" x14ac:dyDescent="0.25">
      <c r="E91" s="3" t="s">
        <v>112</v>
      </c>
      <c r="H91" s="16">
        <f>H89-H90</f>
        <v>7.095970000000003</v>
      </c>
      <c r="S91" s="2" t="s">
        <v>111</v>
      </c>
      <c r="T91" s="15">
        <v>50</v>
      </c>
    </row>
    <row r="92" spans="5:20" x14ac:dyDescent="0.25">
      <c r="S92" s="2" t="s">
        <v>110</v>
      </c>
      <c r="T92" s="15">
        <v>160</v>
      </c>
    </row>
    <row r="93" spans="5:20" x14ac:dyDescent="0.25">
      <c r="S93" s="2" t="s">
        <v>109</v>
      </c>
      <c r="T93" s="15">
        <v>90</v>
      </c>
    </row>
    <row r="94" spans="5:20" x14ac:dyDescent="0.25">
      <c r="E94" s="3" t="s">
        <v>108</v>
      </c>
      <c r="I94" s="3" t="s">
        <v>107</v>
      </c>
      <c r="S94" s="2" t="s">
        <v>106</v>
      </c>
      <c r="T94" s="15">
        <v>180</v>
      </c>
    </row>
    <row r="95" spans="5:20" x14ac:dyDescent="0.25">
      <c r="F95" s="3" t="s">
        <v>105</v>
      </c>
      <c r="G95" s="3" t="s">
        <v>104</v>
      </c>
      <c r="H95" s="3" t="s">
        <v>103</v>
      </c>
      <c r="I95" s="3" t="s">
        <v>102</v>
      </c>
      <c r="J95" s="3" t="s">
        <v>101</v>
      </c>
      <c r="K95" s="3" t="s">
        <v>100</v>
      </c>
      <c r="L95" s="3" t="s">
        <v>99</v>
      </c>
      <c r="M95" s="3" t="s">
        <v>98</v>
      </c>
      <c r="N95" s="3" t="s">
        <v>60</v>
      </c>
      <c r="S95" s="2" t="s">
        <v>97</v>
      </c>
      <c r="T95" s="15">
        <v>150</v>
      </c>
    </row>
    <row r="96" spans="5:20" x14ac:dyDescent="0.25">
      <c r="E96" s="3" t="s">
        <v>96</v>
      </c>
      <c r="F96" s="3">
        <v>10.106999999999999</v>
      </c>
      <c r="G96" s="3">
        <v>2.0049999999999999</v>
      </c>
      <c r="I96" s="3">
        <v>2.1349999999999998</v>
      </c>
      <c r="J96" s="3">
        <v>1.889</v>
      </c>
      <c r="K96" s="3">
        <v>5.1639999999999997</v>
      </c>
      <c r="L96" s="3">
        <v>1.4410000000000001</v>
      </c>
      <c r="M96" s="3">
        <v>10.507999999999999</v>
      </c>
      <c r="N96" s="3">
        <f>SUM(F96:M96)</f>
        <v>33.248999999999995</v>
      </c>
      <c r="S96" s="2" t="s">
        <v>95</v>
      </c>
      <c r="T96" s="15">
        <v>500</v>
      </c>
    </row>
    <row r="97" spans="5:20" x14ac:dyDescent="0.25">
      <c r="E97" s="3" t="s">
        <v>94</v>
      </c>
      <c r="F97" s="3">
        <v>12.42</v>
      </c>
      <c r="G97" s="3">
        <v>1.67</v>
      </c>
      <c r="I97" s="3">
        <f>44-F97-G97-M97</f>
        <v>7.8299999999999983</v>
      </c>
      <c r="M97" s="3">
        <v>22.08</v>
      </c>
      <c r="N97" s="3">
        <f>SUM(F97:M97)</f>
        <v>44</v>
      </c>
      <c r="S97" s="2" t="s">
        <v>90</v>
      </c>
      <c r="T97" s="2">
        <v>180</v>
      </c>
    </row>
    <row r="98" spans="5:20" x14ac:dyDescent="0.25">
      <c r="E98" s="3" t="s">
        <v>93</v>
      </c>
      <c r="F98" s="3">
        <v>1.08</v>
      </c>
      <c r="I98" s="13">
        <f>H84-68.6</f>
        <v>3.7160300000000035</v>
      </c>
      <c r="M98" s="3">
        <v>23.48</v>
      </c>
      <c r="N98" s="3">
        <f>SUM(F98:M98)</f>
        <v>28.276030000000006</v>
      </c>
      <c r="S98" s="2" t="s">
        <v>90</v>
      </c>
      <c r="T98" s="2">
        <v>1350</v>
      </c>
    </row>
    <row r="99" spans="5:20" x14ac:dyDescent="0.25">
      <c r="E99" s="3" t="s">
        <v>92</v>
      </c>
      <c r="F99" s="6">
        <f>F97+F98</f>
        <v>13.5</v>
      </c>
      <c r="G99" s="3">
        <f>G97+G98</f>
        <v>1.67</v>
      </c>
      <c r="I99" s="3">
        <f>I97+I98</f>
        <v>11.546030000000002</v>
      </c>
      <c r="M99" s="3">
        <f>M97+M98</f>
        <v>45.56</v>
      </c>
      <c r="N99" s="13">
        <f>N97+N98</f>
        <v>72.276030000000006</v>
      </c>
      <c r="S99" s="2" t="s">
        <v>90</v>
      </c>
      <c r="T99" s="2">
        <v>750</v>
      </c>
    </row>
    <row r="100" spans="5:20" x14ac:dyDescent="0.25">
      <c r="E100" s="3" t="s">
        <v>91</v>
      </c>
      <c r="F100" s="4">
        <f>F99+K96/3</f>
        <v>15.221333333333334</v>
      </c>
      <c r="H100" s="4">
        <f>N99-62.503</f>
        <v>9.7730300000000057</v>
      </c>
      <c r="M100" s="4">
        <f>M99+K96/3</f>
        <v>47.281333333333336</v>
      </c>
      <c r="N100" s="4">
        <f>SUM(F100:M100)</f>
        <v>72.275696666666676</v>
      </c>
      <c r="S100" s="2" t="s">
        <v>90</v>
      </c>
      <c r="T100" s="2">
        <v>180</v>
      </c>
    </row>
    <row r="101" spans="5:20" x14ac:dyDescent="0.25">
      <c r="F101" s="7">
        <f>F100/$N$100</f>
        <v>0.21060099086327264</v>
      </c>
      <c r="H101" s="7">
        <f>M100/$N$100</f>
        <v>0.65418025026300908</v>
      </c>
      <c r="M101" s="14">
        <f>H100/$N$100</f>
        <v>0.13521875887371829</v>
      </c>
      <c r="S101" s="2" t="s">
        <v>89</v>
      </c>
      <c r="T101" s="2">
        <v>1500</v>
      </c>
    </row>
    <row r="102" spans="5:20" x14ac:dyDescent="0.25">
      <c r="E102" s="3" t="s">
        <v>88</v>
      </c>
      <c r="F102" s="7"/>
      <c r="G102" s="7"/>
      <c r="H102" s="13">
        <v>40.991365439999996</v>
      </c>
      <c r="S102" s="2"/>
      <c r="T102" s="2"/>
    </row>
    <row r="103" spans="5:20" x14ac:dyDescent="0.25">
      <c r="F103" s="7"/>
      <c r="G103" s="7"/>
      <c r="H103" s="7"/>
      <c r="S103" s="2"/>
      <c r="T103" s="2"/>
    </row>
    <row r="104" spans="5:20" x14ac:dyDescent="0.25">
      <c r="E104" s="3" t="s">
        <v>87</v>
      </c>
      <c r="G104" s="3" t="s">
        <v>86</v>
      </c>
      <c r="H104" s="3">
        <f>ElecBY!F77</f>
        <v>34.200000000000003</v>
      </c>
      <c r="S104" s="2" t="s">
        <v>82</v>
      </c>
      <c r="T104" s="2">
        <v>65</v>
      </c>
    </row>
    <row r="105" spans="5:20" x14ac:dyDescent="0.25">
      <c r="E105" s="3" t="s">
        <v>85</v>
      </c>
      <c r="G105" s="12" t="s">
        <v>84</v>
      </c>
      <c r="H105" s="3">
        <f>G99/H104</f>
        <v>4.8830409356725141E-2</v>
      </c>
      <c r="S105" s="2" t="s">
        <v>82</v>
      </c>
      <c r="T105" s="2">
        <v>360</v>
      </c>
    </row>
    <row r="106" spans="5:20" x14ac:dyDescent="0.25">
      <c r="E106" s="3" t="s">
        <v>83</v>
      </c>
      <c r="H106" s="11">
        <f>H100/H104</f>
        <v>0.28576111111111124</v>
      </c>
      <c r="S106" s="2" t="s">
        <v>82</v>
      </c>
      <c r="T106" s="2">
        <v>240</v>
      </c>
    </row>
    <row r="107" spans="5:20" x14ac:dyDescent="0.25">
      <c r="S107" s="2" t="s">
        <v>81</v>
      </c>
      <c r="T107" s="10">
        <v>1860</v>
      </c>
    </row>
    <row r="109" spans="5:20" x14ac:dyDescent="0.25">
      <c r="E109" s="3" t="s">
        <v>80</v>
      </c>
    </row>
    <row r="111" spans="5:20" x14ac:dyDescent="0.25">
      <c r="E111" s="9" t="s">
        <v>79</v>
      </c>
      <c r="F111" s="3" t="s">
        <v>78</v>
      </c>
    </row>
    <row r="112" spans="5:20" x14ac:dyDescent="0.25">
      <c r="E112" s="3" t="s">
        <v>77</v>
      </c>
      <c r="F112" s="3">
        <v>31.005621000000001</v>
      </c>
    </row>
    <row r="113" spans="5:14" x14ac:dyDescent="0.25">
      <c r="E113" s="3" t="s">
        <v>76</v>
      </c>
      <c r="F113" s="3">
        <v>0.108553</v>
      </c>
    </row>
    <row r="114" spans="5:14" x14ac:dyDescent="0.25">
      <c r="E114" s="3" t="s">
        <v>75</v>
      </c>
      <c r="F114" s="3">
        <v>1.1249999999999999E-3</v>
      </c>
    </row>
    <row r="115" spans="5:14" x14ac:dyDescent="0.25">
      <c r="E115" s="3" t="s">
        <v>74</v>
      </c>
      <c r="F115" s="3">
        <v>3.1538999999999998E-2</v>
      </c>
    </row>
    <row r="116" spans="5:14" x14ac:dyDescent="0.25">
      <c r="E116" s="3" t="s">
        <v>73</v>
      </c>
      <c r="F116" s="3">
        <v>0.32746700000000001</v>
      </c>
    </row>
    <row r="117" spans="5:14" x14ac:dyDescent="0.25">
      <c r="E117" s="3" t="s">
        <v>72</v>
      </c>
      <c r="F117" s="3">
        <v>6.1600000000000001E-4</v>
      </c>
    </row>
    <row r="118" spans="5:14" x14ac:dyDescent="0.25">
      <c r="E118" s="3" t="s">
        <v>71</v>
      </c>
      <c r="F118" s="3">
        <v>1.2408000000000001E-2</v>
      </c>
    </row>
    <row r="119" spans="5:14" x14ac:dyDescent="0.25">
      <c r="E119" s="3" t="s">
        <v>70</v>
      </c>
      <c r="F119" s="3">
        <v>1.0300000000000001E-3</v>
      </c>
    </row>
    <row r="120" spans="5:14" x14ac:dyDescent="0.25">
      <c r="E120" s="3" t="s">
        <v>60</v>
      </c>
      <c r="F120" s="3">
        <f>SUM(F112:F119)</f>
        <v>31.488358999999999</v>
      </c>
    </row>
    <row r="122" spans="5:14" x14ac:dyDescent="0.25">
      <c r="F122" s="3" t="s">
        <v>69</v>
      </c>
      <c r="G122" s="3">
        <v>0.6</v>
      </c>
      <c r="I122" s="3">
        <f>1-G122</f>
        <v>0.4</v>
      </c>
    </row>
    <row r="123" spans="5:14" ht="30" customHeight="1" x14ac:dyDescent="0.25">
      <c r="E123" s="8" t="s">
        <v>68</v>
      </c>
      <c r="F123" s="8" t="s">
        <v>67</v>
      </c>
      <c r="G123" s="8" t="s">
        <v>65</v>
      </c>
      <c r="H123" s="8" t="s">
        <v>66</v>
      </c>
      <c r="I123" s="8" t="s">
        <v>65</v>
      </c>
      <c r="J123" s="8" t="s">
        <v>64</v>
      </c>
      <c r="K123" s="8" t="s">
        <v>63</v>
      </c>
      <c r="L123" s="8" t="s">
        <v>62</v>
      </c>
      <c r="M123" s="8" t="s">
        <v>61</v>
      </c>
    </row>
    <row r="124" spans="5:14" x14ac:dyDescent="0.2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x14ac:dyDescent="0.25">
      <c r="E125" s="3" t="s">
        <v>22</v>
      </c>
      <c r="F125" s="3">
        <f>F113</f>
        <v>0.108553</v>
      </c>
      <c r="G125" s="7">
        <f>F125/$F$130</f>
        <v>3.4474009903151825E-3</v>
      </c>
      <c r="H125" s="3">
        <f>ElecBY!G58</f>
        <v>0.91200000000000003</v>
      </c>
      <c r="I125" s="7">
        <f>H125/$H$130</f>
        <v>2.4727375265032998E-2</v>
      </c>
      <c r="J125" s="7">
        <f>I125*$I$122+G125*$G$122</f>
        <v>1.195939070020231E-2</v>
      </c>
      <c r="K125" s="6">
        <f>J125*$K$130</f>
        <v>0.56545593815983219</v>
      </c>
      <c r="L125" s="5">
        <f>K125/H125</f>
        <v>0.62001747605244761</v>
      </c>
      <c r="M125" s="6">
        <f>J125*$M$130</f>
        <v>0.42706186897709103</v>
      </c>
      <c r="N125" s="5">
        <f>M125/H125</f>
        <v>0.46826959317663486</v>
      </c>
    </row>
    <row r="126" spans="5:14" x14ac:dyDescent="0.25">
      <c r="E126" s="3" t="s">
        <v>9</v>
      </c>
      <c r="F126" s="3">
        <f>F115+F114+F118</f>
        <v>4.5072000000000001E-2</v>
      </c>
      <c r="G126" s="7">
        <f>F126/$F$130</f>
        <v>1.4313861195497674E-3</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x14ac:dyDescent="0.25">
      <c r="E127" s="3" t="s">
        <v>20</v>
      </c>
      <c r="F127" s="3">
        <f>F116+F119</f>
        <v>0.32849699999999998</v>
      </c>
      <c r="G127" s="7">
        <f>F127/$F$130</f>
        <v>1.0432331516545526E-2</v>
      </c>
      <c r="H127" s="3">
        <f>ElecBY!G59</f>
        <v>6.0609000000000002</v>
      </c>
      <c r="I127" s="7">
        <f>H127/$H$130</f>
        <v>0.16433130344719135</v>
      </c>
      <c r="J127" s="7">
        <f>I127*$I$122+G127*$G$122</f>
        <v>7.1991920288803857E-2</v>
      </c>
      <c r="K127" s="6">
        <f>J127*$K$130</f>
        <v>3.4038739804816984</v>
      </c>
      <c r="L127" s="5">
        <f>K127/H127</f>
        <v>0.5616119685990032</v>
      </c>
      <c r="M127" s="6">
        <f>J127*$M$130</f>
        <v>2.57078347889966</v>
      </c>
      <c r="N127" s="5">
        <f>M127/H127</f>
        <v>0.42415870232138131</v>
      </c>
    </row>
    <row r="128" spans="5:14" x14ac:dyDescent="0.25">
      <c r="E128" s="3" t="s">
        <v>11</v>
      </c>
      <c r="F128" s="3">
        <f>F117</f>
        <v>6.1600000000000001E-4</v>
      </c>
      <c r="G128" s="7">
        <f>F128/$F$130</f>
        <v>1.9562785091468246E-5</v>
      </c>
      <c r="H128" s="3">
        <f>ElecBY!G70</f>
        <v>0.45069999999999999</v>
      </c>
      <c r="I128" s="7">
        <f>H128/$H$130</f>
        <v>1.2219986877138565E-2</v>
      </c>
      <c r="J128" s="7">
        <f>I128*$I$122+G128*$G$122</f>
        <v>4.8997324219103074E-3</v>
      </c>
      <c r="K128" s="6">
        <f>J128*$K$130</f>
        <v>0.23166588188448189</v>
      </c>
      <c r="L128" s="5">
        <f>K128/H128</f>
        <v>0.51401349430770338</v>
      </c>
      <c r="M128" s="6">
        <f>J128*$M$130</f>
        <v>0.17496617829813579</v>
      </c>
      <c r="N128" s="5">
        <f>M128/H128</f>
        <v>0.38820984756630972</v>
      </c>
    </row>
    <row r="130" spans="5:13" x14ac:dyDescent="0.2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xr:uid="{529F30ED-0777-4DA5-8D67-43E4F305A5E8}"/>
    <hyperlink ref="AD64" r:id="rId2" xr:uid="{EE2CDEAD-D101-4B6D-A14E-43A18B34618F}"/>
  </hyperlinks>
  <pageMargins left="0.7" right="0.7" top="0.75" bottom="0.75" header="0.3" footer="0.3"/>
  <pageSetup paperSize="9"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Bruno Merven</cp:lastModifiedBy>
  <dcterms:created xsi:type="dcterms:W3CDTF">2023-09-08T12:42:41Z</dcterms:created>
  <dcterms:modified xsi:type="dcterms:W3CDTF">2024-01-29T07:14:04Z</dcterms:modified>
</cp:coreProperties>
</file>