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Models\SATIMGE_Veda\suppxls\"/>
    </mc:Choice>
  </mc:AlternateContent>
  <xr:revisionPtr revIDLastSave="0" documentId="13_ncr:1_{F243CA29-485C-43B5-B198-E67C41AFF591}" xr6:coauthVersionLast="47" xr6:coauthVersionMax="47" xr10:uidLastSave="{00000000-0000-0000-0000-000000000000}"/>
  <bookViews>
    <workbookView xWindow="-120" yWindow="-120" windowWidth="29040" windowHeight="15990" activeTab="5" xr2:uid="{7C70B42E-9201-48A9-B8F0-1466C79FDCED}"/>
  </bookViews>
  <sheets>
    <sheet name="CO2TaxInputs" sheetId="5" r:id="rId1"/>
    <sheet name="Commodities_BASE" sheetId="1" r:id="rId2"/>
    <sheet name="TID" sheetId="2" r:id="rId3"/>
    <sheet name="TS_COMAGG" sheetId="3" r:id="rId4"/>
    <sheet name="ATTRIB_COMAGG" sheetId="12" r:id="rId5"/>
    <sheet name="TS_TAX" sheetId="8" r:id="rId6"/>
    <sheet name="Inflation" sheetId="9" r:id="rId7"/>
    <sheet name="Text budget speech and BR" sheetId="10" r:id="rId8"/>
  </sheets>
  <externalReferences>
    <externalReference r:id="rId9"/>
    <externalReference r:id="rId10"/>
    <externalReference r:id="rId11"/>
    <externalReference r:id="rId12"/>
    <externalReference r:id="rId13"/>
    <externalReference r:id="rId14"/>
  </externalReferences>
  <definedNames>
    <definedName name="\I">#REF!</definedName>
    <definedName name="\P">#REF!</definedName>
    <definedName name="__FDS_HYPERLINK_TOGGLE_STATE__" hidden="1">"ON"</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a">'[1]Oil Consumption – barrels'!#REF!</definedName>
    <definedName name="AGR">[2]Index!$C$7</definedName>
    <definedName name="COM">[2]Index!$C$8</definedName>
    <definedName name="Demand.Sectors">[3]Index!$D$2:$J$2</definedName>
    <definedName name="discount_rate">#REF!</definedName>
    <definedName name="dr">#REF!</definedName>
    <definedName name="drate">'[4]TechWATv5 (supwat5)'!$E$3</definedName>
    <definedName name="emissions_start">[3]NameConv!$AY$4</definedName>
    <definedName name="emissions_types">[3]NameConv!$AX$3</definedName>
    <definedName name="epp_start">#REF!</definedName>
    <definedName name="etech_data">#REF!</definedName>
    <definedName name="etech_parameters">#REF!</definedName>
    <definedName name="Exist_basic_data_start">#REF!</definedName>
    <definedName name="FuelNames">[3]NameConv!$B$5:$C$44</definedName>
    <definedName name="HTML1_1" hidden="1">"'[Syb96.xls]ESI in South Africa'!$A$2:$C$22"</definedName>
    <definedName name="HTML1_11" hidden="1">1</definedName>
    <definedName name="HTML1_12" hidden="1">"C:\NER\ESIFlow.htm"</definedName>
    <definedName name="HTML1_2" hidden="1">-4146</definedName>
    <definedName name="HTML1_3" hidden="1">"C:\NER\Elec\Temp.htm"</definedName>
    <definedName name="HTMLCount" hidden="1">1</definedName>
    <definedName name="inchtocentimetre">[3]Distribution!$A$17</definedName>
    <definedName name="IND">[2]Index!$C$9</definedName>
    <definedName name="INIT">#REF!</definedName>
    <definedName name="InvConstraint">#REF!</definedName>
    <definedName name="LEAP">#REF!</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odel_RUN_code">[3]Index!$A$2</definedName>
    <definedName name="New_basic_data_start">'[5]New Capacity basic data'!$B$9</definedName>
    <definedName name="newtech_cat">#REF!</definedName>
    <definedName name="newtech_count">#REF!</definedName>
    <definedName name="newtech_data">#REF!</definedName>
    <definedName name="newtech_parameters">#REF!</definedName>
    <definedName name="Newtech_Start">#REF!</definedName>
    <definedName name="NONLEAP">#REF!</definedName>
    <definedName name="Pal_Workbook_GUID" hidden="1">"E2D7SR7Q3BDXUD24G1M1SK63"</definedName>
    <definedName name="par_TID_ETech">#REF!</definedName>
    <definedName name="par_TID_Ntech">#REF!</definedName>
    <definedName name="par_TS_ETech">#REF!</definedName>
    <definedName name="PeakContribution.Wind">#REF!</definedName>
    <definedName name="Print1">#REF!</definedName>
    <definedName name="RES">[2]Index!$C$10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ector.Agriculture">[3]Index!$D$2</definedName>
    <definedName name="Sector.Commercial">[3]Index!$E$2</definedName>
    <definedName name="Sector.Industry">[3]Index!$F$2</definedName>
    <definedName name="Sector.Power">[3]Index!$I$2</definedName>
    <definedName name="Sector.Residential">[3]Index!$H$2</definedName>
    <definedName name="Sector.Supply">[3]Index!$J$2</definedName>
    <definedName name="Sector.Transport">[3]Index!$G$2</definedName>
    <definedName name="sector_prefix">[3]UPS!$B$6</definedName>
    <definedName name="TRA">[2]Index!$C$11</definedName>
    <definedName name="XLSIMSI" hidden="1">{"Sim",3,"Output 1","'Reworked data'!$AI$84","Output 2","'Reworked data'!$AJ$84","Output 3","'Reworked data'!$AK$84","1","2","100","0"}</definedName>
    <definedName name="XLSIMSIM" hidden="1">{"Sim",3,"Output 1","'Reworked data'!$AI$84","Output 2","'Reworked data'!$AJ$84","Output 3","'Reworked data'!$AK$84","1","2","100","0"}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 i="5" l="1"/>
  <c r="AC4" i="5"/>
  <c r="AB4" i="5"/>
  <c r="AA4" i="5"/>
  <c r="Z4" i="5"/>
  <c r="Y4" i="5"/>
  <c r="X4" i="5"/>
  <c r="W4" i="5"/>
  <c r="V4" i="5"/>
  <c r="U4" i="5"/>
  <c r="T4" i="5"/>
  <c r="S4" i="5"/>
  <c r="R4" i="5"/>
  <c r="Q4" i="5"/>
  <c r="P4" i="5"/>
  <c r="O4" i="5"/>
  <c r="N4" i="5"/>
  <c r="M4" i="5"/>
  <c r="L4" i="5"/>
  <c r="K4" i="5"/>
  <c r="J4" i="5"/>
  <c r="I4" i="5"/>
  <c r="H4" i="5"/>
  <c r="G4" i="5"/>
  <c r="F4" i="5"/>
  <c r="E4" i="5"/>
  <c r="O36" i="9"/>
  <c r="O37" i="9" s="1"/>
  <c r="O38" i="9" s="1"/>
  <c r="O39" i="9" s="1"/>
  <c r="O40" i="9" s="1"/>
  <c r="O41" i="9" s="1"/>
  <c r="O42" i="9" s="1"/>
  <c r="O43" i="9" s="1"/>
  <c r="O35" i="9"/>
  <c r="O34" i="9"/>
  <c r="O33" i="9"/>
  <c r="O11" i="9"/>
  <c r="O12" i="9"/>
  <c r="O13" i="9"/>
  <c r="O14" i="9"/>
  <c r="O15" i="9"/>
  <c r="O16" i="9"/>
  <c r="O17" i="9"/>
  <c r="O18" i="9"/>
  <c r="O19" i="9"/>
  <c r="O20" i="9"/>
  <c r="O21" i="9"/>
  <c r="O22" i="9"/>
  <c r="O23" i="9"/>
  <c r="O24" i="9"/>
  <c r="O25" i="9"/>
  <c r="O26" i="9"/>
  <c r="O27" i="9"/>
  <c r="O28" i="9"/>
  <c r="O29" i="9"/>
  <c r="O30" i="9"/>
  <c r="O31" i="9"/>
  <c r="O32" i="9"/>
  <c r="O10" i="9"/>
  <c r="O7" i="9"/>
  <c r="O8" i="9"/>
  <c r="O9" i="9"/>
  <c r="O6" i="9"/>
  <c r="O5" i="9"/>
  <c r="O4" i="9"/>
  <c r="O3" i="9"/>
  <c r="O2" i="9"/>
  <c r="N2" i="9" a="1"/>
  <c r="N2" i="9" s="1"/>
  <c r="N9" i="9" l="1"/>
  <c r="N6" i="9"/>
  <c r="N13" i="9"/>
  <c r="N5" i="9"/>
  <c r="N12" i="9"/>
  <c r="N4" i="9"/>
  <c r="N8" i="9"/>
  <c r="N11" i="9"/>
  <c r="N3" i="9"/>
  <c r="N7" i="9"/>
  <c r="N10" i="9"/>
  <c r="B34" i="9" l="1"/>
  <c r="G14" i="9"/>
  <c r="B14" i="9" s="1"/>
  <c r="B13" i="9"/>
  <c r="B10" i="9" s="1"/>
  <c r="C9" i="9"/>
  <c r="D9" i="9" s="1"/>
  <c r="H8" i="9"/>
  <c r="H43" i="9" s="1"/>
  <c r="J6" i="9"/>
  <c r="B6" i="9"/>
  <c r="C6" i="9" s="1"/>
  <c r="E5" i="9"/>
  <c r="E6" i="9" s="1"/>
  <c r="E7" i="9" s="1"/>
  <c r="E8" i="9" s="1"/>
  <c r="E9" i="9" s="1"/>
  <c r="E10" i="9" s="1"/>
  <c r="E11" i="9" s="1"/>
  <c r="E12" i="9" s="1"/>
  <c r="E13" i="9" s="1"/>
  <c r="E14" i="9" s="1"/>
  <c r="E15" i="9" s="1"/>
  <c r="E16" i="9" s="1"/>
  <c r="E17" i="9" s="1"/>
  <c r="E18" i="9" s="1"/>
  <c r="E19" i="9" s="1"/>
  <c r="E20" i="9" s="1"/>
  <c r="E21" i="9" s="1"/>
  <c r="E22" i="9" s="1"/>
  <c r="E23" i="9" s="1"/>
  <c r="E24" i="9" s="1"/>
  <c r="E25" i="9" s="1"/>
  <c r="E26" i="9" s="1"/>
  <c r="E27" i="9" s="1"/>
  <c r="E28" i="9" s="1"/>
  <c r="E29" i="9" s="1"/>
  <c r="E30" i="9" s="1"/>
  <c r="E31" i="9" s="1"/>
  <c r="E32" i="9" s="1"/>
  <c r="E33" i="9" s="1"/>
  <c r="E34" i="9" s="1"/>
  <c r="E35" i="9" s="1"/>
  <c r="E36" i="9" s="1"/>
  <c r="E37" i="9" s="1"/>
  <c r="E38" i="9" s="1"/>
  <c r="E39" i="9" s="1"/>
  <c r="E40" i="9" s="1"/>
  <c r="E41" i="9" s="1"/>
  <c r="E42" i="9" s="1"/>
  <c r="E43" i="9" s="1"/>
  <c r="C5" i="9"/>
  <c r="F5" i="9" s="1"/>
  <c r="M5" i="9" s="1"/>
  <c r="E4" i="9"/>
  <c r="C4" i="9"/>
  <c r="F4" i="9" s="1"/>
  <c r="M4" i="9" s="1"/>
  <c r="AB3" i="5"/>
  <c r="AA3" i="5"/>
  <c r="Z3" i="5"/>
  <c r="Y3" i="5"/>
  <c r="X3" i="5"/>
  <c r="W3" i="5"/>
  <c r="V3" i="5"/>
  <c r="U3" i="5"/>
  <c r="T3" i="5"/>
  <c r="S3" i="5"/>
  <c r="R3" i="5"/>
  <c r="Q3" i="5"/>
  <c r="O3" i="5"/>
  <c r="N3" i="5"/>
  <c r="M3" i="5"/>
  <c r="L3" i="5"/>
  <c r="K3" i="5"/>
  <c r="J3" i="5"/>
  <c r="F3" i="5"/>
  <c r="G3" i="5" s="1"/>
  <c r="H3" i="5" s="1"/>
  <c r="I3" i="5" s="1"/>
  <c r="H19" i="9" l="1"/>
  <c r="H27" i="9"/>
  <c r="B7" i="9"/>
  <c r="C7" i="9" s="1"/>
  <c r="D5" i="9"/>
  <c r="H34" i="9"/>
  <c r="F34" i="9" s="1"/>
  <c r="M34" i="9" s="1"/>
  <c r="H42" i="9"/>
  <c r="H12" i="9"/>
  <c r="F6" i="9"/>
  <c r="M6" i="9" s="1"/>
  <c r="D6" i="9"/>
  <c r="C14" i="9"/>
  <c r="D14" i="9" s="1"/>
  <c r="F7" i="9"/>
  <c r="M7" i="9" s="1"/>
  <c r="D7" i="9"/>
  <c r="C10" i="9"/>
  <c r="D10" i="9" s="1"/>
  <c r="H18" i="9"/>
  <c r="H26" i="9"/>
  <c r="H41" i="9"/>
  <c r="D4" i="9"/>
  <c r="H11" i="9"/>
  <c r="C13" i="9"/>
  <c r="D13" i="9" s="1"/>
  <c r="H17" i="9"/>
  <c r="H25" i="9"/>
  <c r="H33" i="9"/>
  <c r="H40" i="9"/>
  <c r="G15" i="9"/>
  <c r="H16" i="9"/>
  <c r="H24" i="9"/>
  <c r="H32" i="9"/>
  <c r="H39" i="9"/>
  <c r="B8" i="9"/>
  <c r="C8" i="9" s="1"/>
  <c r="H10" i="9"/>
  <c r="F10" i="9" s="1"/>
  <c r="M10" i="9" s="1"/>
  <c r="H15" i="9"/>
  <c r="H23" i="9"/>
  <c r="H31" i="9"/>
  <c r="C34" i="9"/>
  <c r="D34" i="9" s="1"/>
  <c r="H38" i="9"/>
  <c r="B11" i="9"/>
  <c r="B12" i="9" s="1"/>
  <c r="H14" i="9"/>
  <c r="F14" i="9" s="1"/>
  <c r="M14" i="9" s="1"/>
  <c r="H22" i="9"/>
  <c r="H30" i="9"/>
  <c r="H37" i="9"/>
  <c r="H9" i="9"/>
  <c r="F9" i="9" s="1"/>
  <c r="M9" i="9" s="1"/>
  <c r="H13" i="9"/>
  <c r="F13" i="9" s="1"/>
  <c r="M13" i="9" s="1"/>
  <c r="H21" i="9"/>
  <c r="H29" i="9"/>
  <c r="H36" i="9"/>
  <c r="H20" i="9"/>
  <c r="H28" i="9"/>
  <c r="H35" i="9"/>
  <c r="C12" i="9" l="1"/>
  <c r="D12" i="9" s="1"/>
  <c r="F12" i="9"/>
  <c r="M12" i="9" s="1"/>
  <c r="B15" i="9"/>
  <c r="G16" i="9"/>
  <c r="D8" i="9"/>
  <c r="F8" i="9"/>
  <c r="M8" i="9" s="1"/>
  <c r="C11" i="9"/>
  <c r="D11" i="9" s="1"/>
  <c r="F11" i="9"/>
  <c r="M11" i="9" s="1"/>
  <c r="B16" i="9" l="1"/>
  <c r="G17" i="9"/>
  <c r="C15" i="9"/>
  <c r="D15" i="9" s="1"/>
  <c r="F15" i="9"/>
  <c r="M15" i="9" s="1"/>
  <c r="B17" i="9" l="1"/>
  <c r="G18" i="9"/>
  <c r="C16" i="9"/>
  <c r="D16" i="9" s="1"/>
  <c r="F16" i="9"/>
  <c r="M16" i="9" s="1"/>
  <c r="G19" i="9" l="1"/>
  <c r="B18" i="9"/>
  <c r="C17" i="9"/>
  <c r="D17" i="9" s="1"/>
  <c r="F17" i="9"/>
  <c r="M17" i="9" s="1"/>
  <c r="F18" i="9" l="1"/>
  <c r="M18" i="9" s="1"/>
  <c r="C18" i="9"/>
  <c r="D18" i="9" s="1"/>
  <c r="G20" i="9"/>
  <c r="B19" i="9"/>
  <c r="F19" i="9" l="1"/>
  <c r="M19" i="9" s="1"/>
  <c r="C19" i="9"/>
  <c r="D19" i="9" s="1"/>
  <c r="G21" i="9"/>
  <c r="B20" i="9"/>
  <c r="F20" i="9" l="1"/>
  <c r="M20" i="9" s="1"/>
  <c r="C20" i="9"/>
  <c r="D20" i="9" s="1"/>
  <c r="B21" i="9"/>
  <c r="G22" i="9"/>
  <c r="B22" i="9" l="1"/>
  <c r="G23" i="9"/>
  <c r="F21" i="9"/>
  <c r="M21" i="9" s="1"/>
  <c r="C21" i="9"/>
  <c r="D21" i="9" s="1"/>
  <c r="B23" i="9" l="1"/>
  <c r="G24" i="9"/>
  <c r="C22" i="9"/>
  <c r="D22" i="9" s="1"/>
  <c r="F22" i="9"/>
  <c r="M22" i="9" s="1"/>
  <c r="B24" i="9" l="1"/>
  <c r="G25" i="9"/>
  <c r="C23" i="9"/>
  <c r="D23" i="9" s="1"/>
  <c r="F23" i="9"/>
  <c r="M23" i="9" s="1"/>
  <c r="B25" i="9" l="1"/>
  <c r="G26" i="9"/>
  <c r="C24" i="9"/>
  <c r="D24" i="9" s="1"/>
  <c r="F24" i="9"/>
  <c r="M24" i="9" s="1"/>
  <c r="G27" i="9" l="1"/>
  <c r="B26" i="9"/>
  <c r="C25" i="9"/>
  <c r="D25" i="9" s="1"/>
  <c r="F25" i="9"/>
  <c r="M25" i="9" s="1"/>
  <c r="F26" i="9" l="1"/>
  <c r="M26" i="9" s="1"/>
  <c r="C26" i="9"/>
  <c r="D26" i="9" s="1"/>
  <c r="G28" i="9"/>
  <c r="B27" i="9"/>
  <c r="F27" i="9" l="1"/>
  <c r="M27" i="9" s="1"/>
  <c r="C27" i="9"/>
  <c r="D27" i="9" s="1"/>
  <c r="G29" i="9"/>
  <c r="B28" i="9"/>
  <c r="F28" i="9" l="1"/>
  <c r="M28" i="9" s="1"/>
  <c r="C28" i="9"/>
  <c r="D28" i="9" s="1"/>
  <c r="B29" i="9"/>
  <c r="G30" i="9"/>
  <c r="F29" i="9" l="1"/>
  <c r="M29" i="9" s="1"/>
  <c r="C29" i="9"/>
  <c r="D29" i="9" s="1"/>
  <c r="B30" i="9"/>
  <c r="G31" i="9"/>
  <c r="B31" i="9" l="1"/>
  <c r="G32" i="9"/>
  <c r="C30" i="9"/>
  <c r="D30" i="9" s="1"/>
  <c r="F30" i="9"/>
  <c r="M30" i="9" s="1"/>
  <c r="B32" i="9" l="1"/>
  <c r="G33" i="9"/>
  <c r="C31" i="9"/>
  <c r="D31" i="9" s="1"/>
  <c r="F31" i="9"/>
  <c r="M31" i="9" s="1"/>
  <c r="G35" i="9" l="1"/>
  <c r="B33" i="9"/>
  <c r="C32" i="9"/>
  <c r="D32" i="9" s="1"/>
  <c r="F32" i="9"/>
  <c r="M32" i="9" s="1"/>
  <c r="C33" i="9" l="1"/>
  <c r="D33" i="9" s="1"/>
  <c r="F33" i="9"/>
  <c r="M33" i="9" s="1"/>
  <c r="G36" i="9"/>
  <c r="B35" i="9"/>
  <c r="G37" i="9" l="1"/>
  <c r="B36" i="9"/>
  <c r="F35" i="9"/>
  <c r="M35" i="9" s="1"/>
  <c r="C35" i="9"/>
  <c r="D35" i="9" s="1"/>
  <c r="F36" i="9" l="1"/>
  <c r="M36" i="9" s="1"/>
  <c r="C36" i="9"/>
  <c r="D36" i="9" s="1"/>
  <c r="B37" i="9"/>
  <c r="G38" i="9"/>
  <c r="B38" i="9" l="1"/>
  <c r="G39" i="9"/>
  <c r="C37" i="9"/>
  <c r="D37" i="9" s="1"/>
  <c r="F37" i="9"/>
  <c r="M37" i="9" s="1"/>
  <c r="B39" i="9" l="1"/>
  <c r="G40" i="9"/>
  <c r="C38" i="9"/>
  <c r="D38" i="9" s="1"/>
  <c r="F38" i="9"/>
  <c r="M38" i="9" s="1"/>
  <c r="B40" i="9" l="1"/>
  <c r="G41" i="9"/>
  <c r="C39" i="9"/>
  <c r="D39" i="9" s="1"/>
  <c r="F39" i="9"/>
  <c r="M39" i="9" s="1"/>
  <c r="G42" i="9" l="1"/>
  <c r="B41" i="9"/>
  <c r="C40" i="9"/>
  <c r="D40" i="9" s="1"/>
  <c r="F40" i="9"/>
  <c r="M40" i="9" s="1"/>
  <c r="F41" i="9" l="1"/>
  <c r="M41" i="9" s="1"/>
  <c r="C41" i="9"/>
  <c r="D41" i="9" s="1"/>
  <c r="G43" i="9"/>
  <c r="B43" i="9" s="1"/>
  <c r="B42" i="9"/>
  <c r="F42" i="9" l="1"/>
  <c r="M42" i="9" s="1"/>
  <c r="C42" i="9"/>
  <c r="D42" i="9" s="1"/>
  <c r="F43" i="9"/>
  <c r="M43" i="9" s="1"/>
  <c r="C43" i="9"/>
  <c r="D43" i="9" s="1"/>
  <c r="F7" i="8" l="1"/>
  <c r="G7" i="8" s="1"/>
  <c r="H7" i="8" s="1"/>
  <c r="I7" i="8" s="1"/>
  <c r="J7" i="8" s="1"/>
  <c r="K7" i="8" s="1"/>
  <c r="L7" i="8" s="1"/>
  <c r="M7" i="8" s="1"/>
  <c r="N7" i="8" s="1"/>
  <c r="O7" i="8" s="1"/>
  <c r="P7" i="8" s="1"/>
  <c r="Q7" i="8" s="1"/>
  <c r="R7" i="8" s="1"/>
  <c r="S7" i="8" s="1"/>
  <c r="T7" i="8" s="1"/>
  <c r="U7" i="8" s="1"/>
  <c r="V7" i="8" s="1"/>
  <c r="W7" i="8" s="1"/>
  <c r="X7" i="8" s="1"/>
  <c r="Y7" i="8" s="1"/>
  <c r="Z7" i="8" s="1"/>
  <c r="AA7" i="8" s="1"/>
  <c r="AB7" i="8" s="1"/>
  <c r="AC7" i="8" s="1"/>
  <c r="AD7" i="8" s="1"/>
  <c r="AE7" i="8" s="1"/>
  <c r="AF7" i="8" s="1"/>
  <c r="AG7" i="8" s="1"/>
  <c r="F8" i="5"/>
  <c r="G8" i="5" s="1"/>
  <c r="H8" i="5" s="1"/>
  <c r="I8" i="5" s="1"/>
  <c r="J8" i="5" s="1"/>
  <c r="K8" i="5" s="1"/>
  <c r="L8" i="5" s="1"/>
  <c r="M8" i="5" s="1"/>
  <c r="N8" i="5" s="1"/>
  <c r="O8" i="5" s="1"/>
  <c r="P8" i="5" s="1"/>
  <c r="Q8" i="5" s="1"/>
  <c r="R8" i="5" s="1"/>
  <c r="S8" i="5" s="1"/>
  <c r="T8" i="5" s="1"/>
  <c r="U8" i="5" s="1"/>
  <c r="V8" i="5" s="1"/>
  <c r="W8" i="5" s="1"/>
  <c r="X8" i="5" s="1"/>
  <c r="Y8" i="5" s="1"/>
  <c r="Z8" i="5" s="1"/>
  <c r="J2" i="5"/>
  <c r="K2" i="5"/>
  <c r="L2" i="5"/>
  <c r="M2" i="5"/>
  <c r="N2" i="5"/>
  <c r="O2" i="5"/>
  <c r="P2" i="5"/>
  <c r="Q2" i="5"/>
  <c r="R2" i="5"/>
  <c r="S2" i="5"/>
  <c r="T2" i="5"/>
  <c r="U2" i="5"/>
  <c r="V2" i="5"/>
  <c r="W2" i="5"/>
  <c r="X2" i="5"/>
  <c r="Y2" i="5"/>
  <c r="Z2" i="5"/>
  <c r="AA2" i="5"/>
  <c r="AB2" i="5"/>
  <c r="AC2" i="5"/>
  <c r="F7" i="5"/>
  <c r="N9" i="5" l="1" a="1"/>
  <c r="N9" i="5" s="1"/>
  <c r="N10" i="5" s="1"/>
  <c r="U8" i="8" s="1"/>
  <c r="AC9" i="5" a="1"/>
  <c r="AC9" i="5" s="1"/>
  <c r="AC10" i="5" s="1"/>
  <c r="AC11" i="5" s="1"/>
  <c r="AA9" i="5" a="1"/>
  <c r="AA9" i="5" s="1"/>
  <c r="R9" i="5" a="1"/>
  <c r="R9" i="5" s="1"/>
  <c r="V9" i="5" a="1"/>
  <c r="V9" i="5" s="1"/>
  <c r="U9" i="5" a="1"/>
  <c r="U9" i="5" s="1"/>
  <c r="L9" i="5" a="1"/>
  <c r="L9" i="5" s="1"/>
  <c r="K9" i="5" a="1"/>
  <c r="K9" i="5" s="1"/>
  <c r="S9" i="5" a="1"/>
  <c r="S9" i="5" s="1"/>
  <c r="E9" i="5" a="1"/>
  <c r="E9" i="5" s="1"/>
  <c r="I9" i="5" a="1"/>
  <c r="I9" i="5" s="1"/>
  <c r="Y9" i="5" a="1"/>
  <c r="Y9" i="5" s="1"/>
  <c r="X9" i="5" a="1"/>
  <c r="X9" i="5" s="1"/>
  <c r="W9" i="5" a="1"/>
  <c r="W9" i="5" s="1"/>
  <c r="M9" i="5" a="1"/>
  <c r="M9" i="5" s="1"/>
  <c r="T9" i="5" a="1"/>
  <c r="T9" i="5" s="1"/>
  <c r="AB9" i="5" a="1"/>
  <c r="AB9" i="5" s="1"/>
  <c r="J9" i="5" a="1"/>
  <c r="J9" i="5" s="1"/>
  <c r="Q9" i="5" a="1"/>
  <c r="Q9" i="5" s="1"/>
  <c r="Z9" i="5" a="1"/>
  <c r="Z9" i="5" s="1"/>
  <c r="P9" i="5" a="1"/>
  <c r="P9" i="5" s="1"/>
  <c r="O9" i="5" a="1"/>
  <c r="O9" i="5" s="1"/>
  <c r="N11" i="5" l="1"/>
  <c r="J10" i="5"/>
  <c r="Q8" i="8" s="1"/>
  <c r="X10" i="5"/>
  <c r="AE8" i="8" s="1"/>
  <c r="Y10" i="5"/>
  <c r="AF8" i="8" s="1"/>
  <c r="I10" i="5"/>
  <c r="P8" i="8" s="1"/>
  <c r="P10" i="5"/>
  <c r="W8" i="8" s="1"/>
  <c r="E10" i="5"/>
  <c r="L8" i="8" s="1"/>
  <c r="AB10" i="5"/>
  <c r="AI8" i="8" s="1"/>
  <c r="S10" i="5"/>
  <c r="Z8" i="8" s="1"/>
  <c r="L10" i="5"/>
  <c r="S8" i="8" s="1"/>
  <c r="O10" i="5"/>
  <c r="V8" i="8" s="1"/>
  <c r="Z10" i="5"/>
  <c r="AG8" i="8" s="1"/>
  <c r="K10" i="5"/>
  <c r="R8" i="8" s="1"/>
  <c r="V10" i="5"/>
  <c r="AC8" i="8" s="1"/>
  <c r="M10" i="5"/>
  <c r="T8" i="8" s="1"/>
  <c r="Q10" i="5"/>
  <c r="X8" i="8" s="1"/>
  <c r="U10" i="5"/>
  <c r="AB8" i="8" s="1"/>
  <c r="T10" i="5"/>
  <c r="AA8" i="8" s="1"/>
  <c r="R10" i="5"/>
  <c r="Y8" i="8" s="1"/>
  <c r="AA10" i="5"/>
  <c r="AH8" i="8" s="1"/>
  <c r="W10" i="5"/>
  <c r="AD8" i="8" s="1"/>
  <c r="O11" i="5" l="1"/>
  <c r="U11" i="5"/>
  <c r="J11" i="5"/>
  <c r="AB11" i="5"/>
  <c r="P11" i="5"/>
  <c r="K11" i="5"/>
  <c r="X11" i="5"/>
  <c r="W11" i="5"/>
  <c r="M11" i="5"/>
  <c r="S11" i="5"/>
  <c r="AA11" i="5"/>
  <c r="V11" i="5"/>
  <c r="Y11" i="5"/>
  <c r="Q11" i="5"/>
  <c r="L11" i="5"/>
  <c r="R11" i="5"/>
  <c r="I11" i="5"/>
  <c r="T11" i="5"/>
  <c r="Z11" i="5"/>
  <c r="E11" i="5"/>
  <c r="F2" i="5" l="1"/>
  <c r="F9" i="5" s="1" a="1"/>
  <c r="F9" i="5" s="1"/>
  <c r="F10" i="5" s="1"/>
  <c r="F1" i="5"/>
  <c r="G1" i="5" s="1"/>
  <c r="H1" i="5" s="1"/>
  <c r="I1" i="5" s="1"/>
  <c r="J1" i="5" s="1"/>
  <c r="K1" i="5" s="1"/>
  <c r="L1" i="5" s="1"/>
  <c r="M1" i="5" s="1"/>
  <c r="N1" i="5" s="1"/>
  <c r="O1" i="5" s="1"/>
  <c r="P1" i="5" s="1"/>
  <c r="Q1" i="5" s="1"/>
  <c r="R1" i="5" s="1"/>
  <c r="S1" i="5" s="1"/>
  <c r="T1" i="5" s="1"/>
  <c r="U1" i="5" s="1"/>
  <c r="V1" i="5" s="1"/>
  <c r="W1" i="5" s="1"/>
  <c r="X1" i="5" s="1"/>
  <c r="Y1" i="5" s="1"/>
  <c r="Z1" i="5" s="1"/>
  <c r="M8" i="8" l="1"/>
  <c r="F11" i="5"/>
  <c r="G2" i="5"/>
  <c r="K6" i="3"/>
  <c r="L6" i="3" s="1"/>
  <c r="M6" i="3" s="1"/>
  <c r="N6" i="3" s="1"/>
  <c r="O6" i="3" s="1"/>
  <c r="P6" i="3" s="1"/>
  <c r="Q6" i="3" s="1"/>
  <c r="R6" i="3" s="1"/>
  <c r="S6" i="3" s="1"/>
  <c r="T6" i="3" s="1"/>
  <c r="U6" i="3" s="1"/>
  <c r="V6" i="3" s="1"/>
  <c r="W6" i="3" s="1"/>
  <c r="X6" i="3" s="1"/>
  <c r="Y6" i="3" s="1"/>
  <c r="Z6" i="3" s="1"/>
  <c r="AA6" i="3" s="1"/>
  <c r="AB6" i="3" s="1"/>
  <c r="AC6" i="3" s="1"/>
  <c r="AD6" i="3" s="1"/>
  <c r="AE6" i="3" s="1"/>
  <c r="AF6" i="3" s="1"/>
  <c r="AG6" i="3" s="1"/>
  <c r="AH6" i="3" s="1"/>
  <c r="AI6" i="3" s="1"/>
  <c r="AJ6" i="3" s="1"/>
  <c r="AK6" i="3" s="1"/>
  <c r="AL6" i="3" s="1"/>
  <c r="D6" i="3"/>
  <c r="H2" i="5" l="1"/>
  <c r="H9" i="5" s="1" a="1"/>
  <c r="H9" i="5" s="1"/>
  <c r="H10" i="5" s="1"/>
  <c r="G9" i="5" a="1"/>
  <c r="G9" i="5" s="1"/>
  <c r="G10" i="5" s="1"/>
  <c r="N8" i="8" l="1"/>
  <c r="G11" i="5"/>
  <c r="O8" i="8"/>
  <c r="H1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tc={98ADEDF8-CA18-4AAD-9D74-11EB9541DB1F}</author>
  </authors>
  <commentList>
    <comment ref="J14" authorId="0" shapeId="0" xr:uid="{98ADEDF8-CA18-4AAD-9D74-11EB9541DB1F}">
      <text>
        <t>[Threaded comment]
Your version of Excel allows you to read this threaded comment; however, any edits to it will get removed if the file is opened in a newer version of Excel. Learn more: https://go.microsoft.com/fwlink/?linkid=870924
Comment:
    Changed to AR5 - August 2021</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tc={441F2B45-0803-45B0-92A3-43035FE9A3B1}</author>
  </authors>
  <commentList>
    <comment ref="E15" authorId="0" shapeId="0" xr:uid="{441F2B45-0803-45B0-92A3-43035FE9A3B1}">
      <text>
        <t>[Threaded comment]
Your version of Excel allows you to read this threaded comment; however, any edits to it will get removed if the file is opened in a newer version of Excel. Learn more: https://go.microsoft.com/fwlink/?linkid=870924
Comment:
    Changed to AR5 - August 2021</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<sst xmlns="http://schemas.openxmlformats.org/spreadsheetml/2006/main" count="782" uniqueCount="230">
  <si>
    <t>REGION1</t>
  </si>
  <si>
    <t>-</t>
  </si>
  <si>
    <t>ANNUAL</t>
  </si>
  <si>
    <t>ITEMS</t>
  </si>
  <si>
    <t>TID DATA</t>
  </si>
  <si>
    <t>TS DATA</t>
  </si>
  <si>
    <t>CO2 Price Level</t>
  </si>
  <si>
    <t>2019 Rands</t>
  </si>
  <si>
    <t>CPAMS</t>
  </si>
  <si>
    <t>HPAMS</t>
  </si>
  <si>
    <t>Scenario to Load</t>
  </si>
  <si>
    <t>2012 Rands</t>
  </si>
  <si>
    <t>For SATIM</t>
  </si>
  <si>
    <t>For eSAGE</t>
  </si>
  <si>
    <t>Fugitive Emissions South Africa</t>
  </si>
  <si>
    <t>KT</t>
  </si>
  <si>
    <t>COM,ENV,ANNUAL,GHG</t>
  </si>
  <si>
    <t>Fugitive Emissions Region</t>
  </si>
  <si>
    <t>CO2SF</t>
  </si>
  <si>
    <t>CO2SP</t>
  </si>
  <si>
    <t>CH4SF</t>
  </si>
  <si>
    <t>CO2S</t>
  </si>
  <si>
    <t>CO2S South Africa</t>
  </si>
  <si>
    <t>CH4S</t>
  </si>
  <si>
    <t>CH4S South Africa</t>
  </si>
  <si>
    <t>N2OS</t>
  </si>
  <si>
    <t>N2OS South Africa</t>
  </si>
  <si>
    <t>AGRCO2S</t>
  </si>
  <si>
    <t>Agriculture Carbon dioxide South Africa</t>
  </si>
  <si>
    <t>AGRCH4S</t>
  </si>
  <si>
    <t>Agriculture Methane South Africa</t>
  </si>
  <si>
    <t>AGRN2OS</t>
  </si>
  <si>
    <t>Agriculture Nitrous Oxide South Africa</t>
  </si>
  <si>
    <t>AGRSOXS</t>
  </si>
  <si>
    <t>Agriculture Sulphur gases South Africa</t>
  </si>
  <si>
    <t>AGRNOXS</t>
  </si>
  <si>
    <t>Agriculture Nitrogen gases South Africa</t>
  </si>
  <si>
    <t>AGRCMOX</t>
  </si>
  <si>
    <t>Agriculture Carbon monoxide South Africa</t>
  </si>
  <si>
    <t>AGRNMVS</t>
  </si>
  <si>
    <t>Agriculture NMVOCs South Africa</t>
  </si>
  <si>
    <t>AGRP10S</t>
  </si>
  <si>
    <t>Agriculture PM10 South Africa</t>
  </si>
  <si>
    <t>COMCO2S</t>
  </si>
  <si>
    <t>Commercial Carbon dioxide South Africa</t>
  </si>
  <si>
    <t>COMCH4S</t>
  </si>
  <si>
    <t>Commercial Methane South Africa</t>
  </si>
  <si>
    <t>COMN2OS</t>
  </si>
  <si>
    <t>Commercial Nitrous Oxide South Africa</t>
  </si>
  <si>
    <t>COMSOXS</t>
  </si>
  <si>
    <t>Commercial Sulphur gases South Africa</t>
  </si>
  <si>
    <t>COMNOXS</t>
  </si>
  <si>
    <t>Commercial Nitrogen gases South Africa</t>
  </si>
  <si>
    <t>COMCMOX</t>
  </si>
  <si>
    <t>Commercial Carbon monoxide South Africa</t>
  </si>
  <si>
    <t>COMNMVS</t>
  </si>
  <si>
    <t>Commercial NMVOCs South Africa</t>
  </si>
  <si>
    <t>COMP10S</t>
  </si>
  <si>
    <t>Commercial PM10 South Africa</t>
  </si>
  <si>
    <t>INDCO2S</t>
  </si>
  <si>
    <t>Industry Carbon dioxide South Africa</t>
  </si>
  <si>
    <t>INDCH4S</t>
  </si>
  <si>
    <t>Industry Methane South Africa</t>
  </si>
  <si>
    <t>INDN2OS</t>
  </si>
  <si>
    <t>Industry Nitrous Oxide South Africa</t>
  </si>
  <si>
    <t>INDSOXS</t>
  </si>
  <si>
    <t>Industry Sulphur gases South Africa</t>
  </si>
  <si>
    <t>INDNOXS</t>
  </si>
  <si>
    <t>Industry Nitrogen gases South Africa</t>
  </si>
  <si>
    <t>INDCMOX</t>
  </si>
  <si>
    <t>Industry Carbon monoxide South Africa</t>
  </si>
  <si>
    <t>INDNMVS</t>
  </si>
  <si>
    <t>Industry NMVOCs South Africa</t>
  </si>
  <si>
    <t>INDP10S</t>
  </si>
  <si>
    <t>Industry PM10 South Africa</t>
  </si>
  <si>
    <t>TRACO2S</t>
  </si>
  <si>
    <t>Transport Carbon dioxide South Africa</t>
  </si>
  <si>
    <t>TRACH4S</t>
  </si>
  <si>
    <t>Transport Methane South Africa</t>
  </si>
  <si>
    <t>TRAN2OS</t>
  </si>
  <si>
    <t>Transport Nitrous Oxide South Africa</t>
  </si>
  <si>
    <t>TRASOXS</t>
  </si>
  <si>
    <t>Transport Sulphur gases South Africa</t>
  </si>
  <si>
    <t>TRANOXS</t>
  </si>
  <si>
    <t>Transport Nitrogen gases South Africa</t>
  </si>
  <si>
    <t>TRACMOX</t>
  </si>
  <si>
    <t>Transport Carbon monoxide South Africa</t>
  </si>
  <si>
    <t>TRANMVS</t>
  </si>
  <si>
    <t>Transport NMVOCs South Africa</t>
  </si>
  <si>
    <t>TRAP10S</t>
  </si>
  <si>
    <t>Transport PM10 South Africa</t>
  </si>
  <si>
    <t>RESCO2S</t>
  </si>
  <si>
    <t>Residential Carbon dioxide South Africa</t>
  </si>
  <si>
    <t>RESCH4S</t>
  </si>
  <si>
    <t>Residential Methane South Africa</t>
  </si>
  <si>
    <t>RESN2OS</t>
  </si>
  <si>
    <t>Residential Nitrous Oxide South Africa</t>
  </si>
  <si>
    <t>RESSOXS</t>
  </si>
  <si>
    <t>Residential Sulphur gases South Africa</t>
  </si>
  <si>
    <t>RESNOXS</t>
  </si>
  <si>
    <t>Residential Nitrogen gases South Africa</t>
  </si>
  <si>
    <t>RESCMOX</t>
  </si>
  <si>
    <t>Residential Carbon monoxide South Africa</t>
  </si>
  <si>
    <t>RESNMVS</t>
  </si>
  <si>
    <t>Residential NMVOCs South Africa</t>
  </si>
  <si>
    <t>RESP10S</t>
  </si>
  <si>
    <t>Residential PM10 South Africa</t>
  </si>
  <si>
    <t>PWRCO2S</t>
  </si>
  <si>
    <t>Power Sector Carbon dioxide South Africa</t>
  </si>
  <si>
    <t>PWRCH4S</t>
  </si>
  <si>
    <t>Power Sector Methane South Africa</t>
  </si>
  <si>
    <t>PWRN2OS</t>
  </si>
  <si>
    <t>Power Sector Nitrous Oxide South Africa</t>
  </si>
  <si>
    <t>PWRSOXS</t>
  </si>
  <si>
    <t>Power Sector Sulphur gases South Africa</t>
  </si>
  <si>
    <t>PWRNOXS</t>
  </si>
  <si>
    <t>Power Sector Nitrogen gases South Africa</t>
  </si>
  <si>
    <t>PWRCMOX</t>
  </si>
  <si>
    <t>Power Sector Carbon monoxide South Africa</t>
  </si>
  <si>
    <t>PWRNMVS</t>
  </si>
  <si>
    <t>Power Sector NMVOCs South Africa</t>
  </si>
  <si>
    <t>PWRP10S</t>
  </si>
  <si>
    <t>Power Sector PM10 South Africa</t>
  </si>
  <si>
    <t>PWRCO2R</t>
  </si>
  <si>
    <t>Power Sector Carbon dioxide Region</t>
  </si>
  <si>
    <t>PWRCH4R</t>
  </si>
  <si>
    <t>Power Sector Methane Region</t>
  </si>
  <si>
    <t>PWRN2OR</t>
  </si>
  <si>
    <t>Power Sector Nitrous Oxide Region</t>
  </si>
  <si>
    <t>PWRSOXR</t>
  </si>
  <si>
    <t>Power Sector Sulphur gases Region</t>
  </si>
  <si>
    <t>PWRNOXR</t>
  </si>
  <si>
    <t>Power Sector Nitrogen gases Region</t>
  </si>
  <si>
    <t>PWRCMOR</t>
  </si>
  <si>
    <t>Power Sector Carbon monoxide Region</t>
  </si>
  <si>
    <t>PWRNMVR</t>
  </si>
  <si>
    <t>Power Sector NMVOCs Region</t>
  </si>
  <si>
    <t>PWRP10R</t>
  </si>
  <si>
    <t>Power Sector PM10 Region</t>
  </si>
  <si>
    <t>UPSCO2S</t>
  </si>
  <si>
    <t>Supply Sector Carbon dioxide South Africa</t>
  </si>
  <si>
    <t>UPSCH4S</t>
  </si>
  <si>
    <t>Supply Sector Methane South Africa</t>
  </si>
  <si>
    <t>UPSN2OS</t>
  </si>
  <si>
    <t>Supply Sector Nitrous Oxide South Africa</t>
  </si>
  <si>
    <t>UPSSOXS</t>
  </si>
  <si>
    <t>Supply Sector Sulphur gases South Africa</t>
  </si>
  <si>
    <t>UPSNOXS</t>
  </si>
  <si>
    <t>Supply Sector Nitrogen gases South Africa</t>
  </si>
  <si>
    <t>UPSCMOX</t>
  </si>
  <si>
    <t>Supply Sector Carbon monoxide South Africa</t>
  </si>
  <si>
    <t>UPSNMVS</t>
  </si>
  <si>
    <t>Supply Sector NMVOCs South Africa</t>
  </si>
  <si>
    <t>UPSP10S</t>
  </si>
  <si>
    <t>Supply Sector PM10 South Africa</t>
  </si>
  <si>
    <t>CO2eqST</t>
  </si>
  <si>
    <t>CO2eq for Carbon tax accounting</t>
  </si>
  <si>
    <t>COM_AGG</t>
  </si>
  <si>
    <t>CO2EQST</t>
  </si>
  <si>
    <t>COM_CSTNET</t>
  </si>
  <si>
    <t>2019 Rands/ton</t>
  </si>
  <si>
    <t>CO2SPCEM</t>
  </si>
  <si>
    <t>CO2SPIFC</t>
  </si>
  <si>
    <t>CO2SPIFM</t>
  </si>
  <si>
    <t>RAMPUP</t>
  </si>
  <si>
    <t>2022 Rands/kton</t>
  </si>
  <si>
    <t>Headline C tax rate to $30 in 2030</t>
  </si>
  <si>
    <t>less 60%</t>
  </si>
  <si>
    <t>less 95%</t>
  </si>
  <si>
    <t>CPI 4.4% increase from 2023</t>
  </si>
  <si>
    <t xml:space="preserve"> 60% allowance to 2025, then phased out to 0% in 2030</t>
  </si>
  <si>
    <t>In US$</t>
  </si>
  <si>
    <t>R640 in 2023</t>
  </si>
  <si>
    <t>see text in next worksheet</t>
  </si>
  <si>
    <t>parameters</t>
  </si>
  <si>
    <t>ZAR/$</t>
  </si>
  <si>
    <t>'basic' allowance / exemption</t>
  </si>
  <si>
    <t>max allowance / exemption</t>
  </si>
  <si>
    <t>CPI in full BR, for 2023</t>
  </si>
  <si>
    <t>Budget speech, full review and other docs at</t>
  </si>
  <si>
    <t xml:space="preserve">http://www.treasury.gov.za/documents/national%20budget/2022/default.aspx </t>
  </si>
  <si>
    <t>Budget speech</t>
  </si>
  <si>
    <t>p. 14-15</t>
  </si>
  <si>
    <t>Madam Speaker, the structure of the economy will need to change to adapt to the needs of addressing climate change.</t>
  </si>
  <si>
    <t>As we reduce emissions, communities must not be left behind as production shifts to greener solutions.</t>
  </si>
  <si>
    <t xml:space="preserve">There are opportunities to access international finance to help pay for this just transition. The National Treasury is working with the new head of the Presidential Climate Finance Task Team, on accessing these resources. </t>
  </si>
  <si>
    <t>The carbon tax is the main mechanism to ensure we lower our greenhouse emissions.</t>
  </si>
  <si>
    <t>The carbon tax rate will increase from R134 to R144, effective from 1 January 2022.</t>
  </si>
  <si>
    <t>As required by legislation, the carbon fuel levy will increase by 1c to 9c per litre for petrol, and 10c per litre for diesel, from 6 April 2022.</t>
  </si>
  <si>
    <t xml:space="preserve">The first phase of the carbon tax, with substantial allowances and electricity price neutrality, will be extended to 31 December 2025. </t>
  </si>
  <si>
    <t>However, in line with our commitments at COP26, the carbon tax rate will be progressively increased every year to reach $20 per tonne.</t>
  </si>
  <si>
    <t xml:space="preserve">In the second phase from 2026 onwards, the carbon tax rate will have larger annual increases to reach at least $30 by 2030, and the allowances will rapidly fall away. </t>
  </si>
  <si>
    <t>We urge all our companies that have not already done so to develop plans to progressively reduce their emissions over the next 10 years, otherwise they will face these steep taxes.</t>
  </si>
  <si>
    <t>Our exporters will also face overseas border taxes for carbon-intensive goods such as</t>
  </si>
  <si>
    <t>iron and steel, which will reduce their competitiveness.</t>
  </si>
  <si>
    <t xml:space="preserve">Budget Review </t>
  </si>
  <si>
    <t xml:space="preserve"> p 48 </t>
  </si>
  <si>
    <t>Extension of first phase of the carbon tax</t>
  </si>
  <si>
    <r>
      <t>The first phase of the carbon tax will be extended by three years for the period 1 January 2023 to 31 December 2025. The transitional support measures afforded to companies in the first phase, such as significant taxfree allowances and revenue</t>
    </r>
    <r>
      <rPr>
        <sz val="9"/>
        <color theme="1"/>
        <rFont val="Cambria Math"/>
        <family val="1"/>
      </rPr>
      <t>‐</t>
    </r>
    <r>
      <rPr>
        <sz val="9"/>
        <color theme="1"/>
        <rFont val="Arial"/>
        <family val="2"/>
      </rPr>
      <t>recycling measures, will continue over this period, alongside adjustments outlined below. The main proposals include:  </t>
    </r>
  </si>
  <si>
    <r>
      <t>·</t>
    </r>
    <r>
      <rPr>
        <sz val="7"/>
        <color theme="1"/>
        <rFont val="Times New Roman"/>
        <family val="1"/>
      </rPr>
      <t xml:space="preserve">      </t>
    </r>
    <r>
      <rPr>
        <sz val="9"/>
        <color theme="1"/>
        <rFont val="Arial"/>
        <family val="2"/>
      </rPr>
      <t>Extending the energy</t>
    </r>
    <r>
      <rPr>
        <sz val="9"/>
        <color theme="1"/>
        <rFont val="Cambria Math"/>
        <family val="1"/>
      </rPr>
      <t>‐</t>
    </r>
    <r>
      <rPr>
        <sz val="9"/>
        <color theme="1"/>
        <rFont val="Arial"/>
        <family val="2"/>
      </rPr>
      <t>efficiency</t>
    </r>
    <r>
      <rPr>
        <sz val="9"/>
        <color theme="1"/>
        <rFont val="Cambria Math"/>
        <family val="1"/>
      </rPr>
      <t>‐</t>
    </r>
    <r>
      <rPr>
        <sz val="9"/>
        <color theme="1"/>
        <rFont val="Arial"/>
        <family val="2"/>
      </rPr>
      <t xml:space="preserve">savings tax incentive from 1 January 2023 to 31 December 2025.   Extending the electricity price neutrality commitment until 31 December 2025. </t>
    </r>
  </si>
  <si>
    <r>
      <t>·</t>
    </r>
    <r>
      <rPr>
        <sz val="7"/>
        <color theme="1"/>
        <rFont val="Times New Roman"/>
        <family val="1"/>
      </rPr>
      <t xml:space="preserve">      </t>
    </r>
    <r>
      <rPr>
        <sz val="9"/>
        <color theme="1"/>
        <rFont val="Arial"/>
        <family val="2"/>
      </rPr>
      <t>The electricity</t>
    </r>
    <r>
      <rPr>
        <sz val="9"/>
        <color theme="1"/>
        <rFont val="Cambria Math"/>
        <family val="1"/>
      </rPr>
      <t>‐</t>
    </r>
    <r>
      <rPr>
        <sz val="9"/>
        <color theme="1"/>
        <rFont val="Arial"/>
        <family val="2"/>
      </rPr>
      <t xml:space="preserve">related deduction will be limited to the carbon tax liability of fuel combustion emissions of electricity generators, and will not be offset against the total carbon tax liability.   </t>
    </r>
  </si>
  <si>
    <r>
      <t>·</t>
    </r>
    <r>
      <rPr>
        <sz val="7"/>
        <color theme="1"/>
        <rFont val="Times New Roman"/>
        <family val="1"/>
      </rPr>
      <t xml:space="preserve">      </t>
    </r>
    <r>
      <rPr>
        <sz val="9"/>
        <color theme="1"/>
        <rFont val="Arial"/>
        <family val="2"/>
      </rPr>
      <t xml:space="preserve">Adjusting the threshold for the maximum trade exposure allowance from 30 per cent to 50 per cent from 1 January 2023. Updated sectors and allowances will be published for public consultation.   </t>
    </r>
  </si>
  <si>
    <r>
      <t>·</t>
    </r>
    <r>
      <rPr>
        <sz val="7"/>
        <color theme="1"/>
        <rFont val="Times New Roman"/>
        <family val="1"/>
      </rPr>
      <t xml:space="preserve">      </t>
    </r>
    <r>
      <rPr>
        <sz val="9"/>
        <color theme="1"/>
        <rFont val="Arial"/>
        <family val="2"/>
      </rPr>
      <t xml:space="preserve">Penalising emissions exceeding mandatory carbon budgets. The mandatory carbon budgeting system comes into effect on 1 January 2023, at which time the carbon budget allowance of 5 per cent will fall away. </t>
    </r>
  </si>
  <si>
    <r>
      <t>·</t>
    </r>
    <r>
      <rPr>
        <sz val="7"/>
        <color theme="1"/>
        <rFont val="Times New Roman"/>
        <family val="1"/>
      </rPr>
      <t xml:space="preserve">      </t>
    </r>
    <r>
      <rPr>
        <b/>
        <sz val="12"/>
        <color theme="1"/>
        <rFont val="Arial"/>
        <family val="2"/>
      </rPr>
      <t xml:space="preserve">To address concerns about double penalties for companies under the carbon tax and carbon budgets, it is proposed that a higher carbon tax rate of R640 per tonne of carbon dioxide equivalent will apply to greenhouse gas emissions exceeding the carbon budget. These amendments will be legislated once the Climate Change Bill is enacted. </t>
    </r>
  </si>
  <si>
    <t>p 49</t>
  </si>
  <si>
    <t>Climate change response and carbon tax price path</t>
  </si>
  <si>
    <r>
      <t>South Africa’s climate commitments are set out in the Cabinet</t>
    </r>
    <r>
      <rPr>
        <sz val="9"/>
        <color theme="1"/>
        <rFont val="Cambria Math"/>
        <family val="1"/>
      </rPr>
      <t>‐</t>
    </r>
    <r>
      <rPr>
        <sz val="9"/>
        <color theme="1"/>
        <rFont val="Arial"/>
        <family val="2"/>
      </rPr>
      <t>approved nationally determined contributions, which were submitted to the United Nations Framework Convention on Climate Change at the 2021 UN Climate Change Conference. To meet these commitments, the country’s greenhouse gas emissions must peak by 2025 and then quickly decline to between 350 million and 420 million tonnes by 2030, and approach net</t>
    </r>
    <r>
      <rPr>
        <sz val="9"/>
        <color theme="1"/>
        <rFont val="Cambria Math"/>
        <family val="1"/>
      </rPr>
      <t>‐</t>
    </r>
    <r>
      <rPr>
        <sz val="9"/>
        <color theme="1"/>
        <rFont val="Arial"/>
        <family val="2"/>
      </rPr>
      <t xml:space="preserve">zero emissions by 2050. </t>
    </r>
  </si>
  <si>
    <t xml:space="preserve">The carbon tax is integral to lowering emissions. In addition, the country will need to enact legislation and implement carbon budgets and sector emission targets to reduce emissions. Simultaneously, South Africa’s exports of carbonintensive goods such as iron and steel are likely to face carbon taxes in Europe, which will reduce their competitiveness. </t>
  </si>
  <si>
    <r>
      <t>To prepare South Africa for the structural transition to a climate</t>
    </r>
    <r>
      <rPr>
        <b/>
        <sz val="11"/>
        <color theme="1"/>
        <rFont val="Cambria Math"/>
        <family val="1"/>
      </rPr>
      <t>‐</t>
    </r>
    <r>
      <rPr>
        <b/>
        <sz val="11"/>
        <color theme="1"/>
        <rFont val="Arial"/>
        <family val="2"/>
      </rPr>
      <t>resilient economy, government proposes to progressively increase the carbon price every year by at least US$1 to reach US$20 per tonne of carbon dioxide equivalent by 2026. For the second phase, government intends to increase the carbon price more rapidly every year, to at least US$30 by 2030, accelerating to higher levels by 2035, 2040 and up to US$120 beyond 2050. The basic tax</t>
    </r>
    <r>
      <rPr>
        <b/>
        <sz val="11"/>
        <color theme="1"/>
        <rFont val="Cambria Math"/>
        <family val="1"/>
      </rPr>
      <t>‐</t>
    </r>
    <r>
      <rPr>
        <b/>
        <sz val="11"/>
        <color theme="1"/>
        <rFont val="Arial"/>
        <family val="2"/>
      </rPr>
      <t>free allowances will also be gradually reduced to strengthen the price signals under the carbon tax from 1 January 2026 to 31 December 2030</t>
    </r>
    <r>
      <rPr>
        <sz val="9"/>
        <color theme="1"/>
        <rFont val="Arial"/>
        <family val="2"/>
      </rPr>
      <t xml:space="preserve">. </t>
    </r>
  </si>
  <si>
    <r>
      <t>To encourage investments in carbon offset projects, government intends to increase the carbon offset allowance by 5 per cent from 1 January 2026. These and other proposals will form part of a review for the second phase, to inform future budget announcements. This approach aligns with global institutions. The World Bank’s High</t>
    </r>
    <r>
      <rPr>
        <sz val="9"/>
        <color theme="1"/>
        <rFont val="Cambria Math"/>
        <family val="1"/>
      </rPr>
      <t>‐</t>
    </r>
    <r>
      <rPr>
        <sz val="9"/>
        <color theme="1"/>
        <rFont val="Arial"/>
        <family val="2"/>
      </rPr>
      <t>Level Commission on Carbon Prices recommends carbon prices of US$40 to US$80 per tonne by 2025 and US$50 to US$100 by 2030. The International Monetary Fund recommends lower minimum carbon prices for developing countries of US$25 to US$50 by 2030 to achieve the Paris climate goals</t>
    </r>
  </si>
  <si>
    <t>2021 to 2019 ZAR</t>
  </si>
  <si>
    <t xml:space="preserve"> 60% allowance to 2025, then phased out to 0% in 2030 (2019 ZAR)</t>
  </si>
  <si>
    <t>Calibrate to HPAMS</t>
  </si>
  <si>
    <t>2019 USD to ZAR</t>
  </si>
  <si>
    <t>~FI_Comm</t>
  </si>
  <si>
    <t>CommName</t>
  </si>
  <si>
    <t>CommDesc</t>
  </si>
  <si>
    <t>CommUnit</t>
  </si>
  <si>
    <t>Csets</t>
  </si>
  <si>
    <t>CTSLvl</t>
  </si>
  <si>
    <t>[nothing legacy]</t>
  </si>
  <si>
    <t>ENV</t>
  </si>
  <si>
    <t>~FI_COMM</t>
  </si>
  <si>
    <t>Attribute</t>
  </si>
  <si>
    <t>Commodity</t>
  </si>
  <si>
    <t>Value</t>
  </si>
  <si>
    <t>CommIn</t>
  </si>
  <si>
    <t>CommOut</t>
  </si>
  <si>
    <t>*</t>
  </si>
  <si>
    <t>Converts emissions from native units to CO2eq for carbon tax accounting, excludes RES and 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</si>
</sst>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R&quot;* #,##0.00_-;\-&quot;R&quot;* #,##0.00_-;_-&quot;R&quot;* &quot;-&quot;??_-;_-@_-"/>
    <numFmt numFmtId="164" formatCode="[$£-809]#,##0.00;[Red]&quot;-&quot;[$£-809]#,##0.00"/>
    <numFmt numFmtId="165" formatCode="_(&quot;R&quot;* #,##0.00_);_(&quot;R&quot;* \(#,##0.00\);_(&quot;R&quot;* &quot;-&quot;??_);_(@_)"/>
    <numFmt numFmtId="166" formatCode="_(&quot;R&quot;* #,##0_);_(&quot;R&quot;* \(#,##0\);_(&quot;R&quot;* &quot;-&quot;??_);_(@_)"/>
    <numFmt numFmtId="167" formatCode="_-[$$-404]* #,##0_-;\-[$$-404]* #,##0_-;_-[$$-404]* &quot;-&quot;_-;_-@_-"/>
    <numFmt numFmtId="168" formatCode="0.0%"/>
  </numFmts>
  <fonts count="23">
    <font>
      <sz val="10"/>
      <name val="Arial"/>
      <family val="2"/>
    </font>
    <font>
      <sz val="11"/>
      <color rgb="FF3F3F76"/>
      <name val="Calibri"/>
      <family val="2"/>
      <scheme val="minor"/>
    </font>
    <font>
      <sz val="10"/>
      <name val="Arial"/>
      <family val="2"/>
    </font>
    <font>
      <b/>
      <sz val="8"/>
      <color rgb="FF800080"/>
      <name val="Arial"/>
      <family val="2"/>
    </font>
    <font>
      <sz val="11"/>
      <color rgb="FF006100"/>
      <name val="Calibri"/>
      <family val="2"/>
      <scheme val="minor"/>
    </font>
    <font>
      <sz val="9"/>
      <color indexed="81"/>
      <name val="Tahoma"/>
      <family val="2"/>
    </font>
    <font>
      <b/>
      <sz val="11"/>
      <color theme="3"/>
      <name val="Calibri"/>
      <family val="2"/>
      <scheme val="minor"/>
    </font>
    <font>
      <i/>
      <sz val="11"/>
      <color rgb="FF7F7F7F"/>
      <name val="Calibri"/>
      <family val="2"/>
      <scheme val="minor"/>
    </font>
    <font>
      <sz val="12"/>
      <color theme="1"/>
      <name val="Calibri"/>
      <family val="2"/>
      <scheme val="minor"/>
    </font>
    <font>
      <i/>
      <sz val="12"/>
      <color theme="1"/>
      <name val="Calibri"/>
      <family val="2"/>
      <scheme val="minor"/>
    </font>
    <font>
      <sz val="14"/>
      <color rgb="FF000000"/>
      <name val="Calibri"/>
      <family val="2"/>
      <scheme val="minor"/>
    </font>
    <font>
      <u/>
      <sz val="12"/>
      <color theme="10"/>
      <name val="Calibri"/>
      <family val="2"/>
      <scheme val="minor"/>
    </font>
    <font>
      <sz val="12"/>
      <color rgb="FF000000"/>
      <name val="Calibri"/>
      <family val="2"/>
      <scheme val="minor"/>
    </font>
    <font>
      <sz val="9"/>
      <color theme="1"/>
      <name val="Arial"/>
      <family val="2"/>
    </font>
    <font>
      <b/>
      <sz val="12"/>
      <color theme="1"/>
      <name val="Arial"/>
      <family val="2"/>
    </font>
    <font>
      <sz val="10.5"/>
      <color theme="1"/>
      <name val="á=_x001c_÷'3"/>
    </font>
    <font>
      <sz val="9"/>
      <color theme="1"/>
      <name val="Cambria Math"/>
      <family val="1"/>
    </font>
    <font>
      <sz val="12"/>
      <color theme="1"/>
      <name val="Symbol"/>
      <family val="1"/>
      <charset val="2"/>
    </font>
    <font>
      <sz val="7"/>
      <color theme="1"/>
      <name val="Times New Roman"/>
      <family val="1"/>
    </font>
    <font>
      <sz val="10"/>
      <color theme="1"/>
      <name val="á=_x001c_÷'3"/>
    </font>
    <font>
      <b/>
      <sz val="11"/>
      <color theme="1"/>
      <name val="Arial"/>
      <family val="2"/>
    </font>
    <font>
      <b/>
      <sz val="11"/>
      <color theme="1"/>
      <name val="Cambria Math"/>
      <family val="1"/>
    </font>
    <font>
      <sz val="9"/>
      <color theme="1"/>
      <name val="Helvetica"/>
      <family val="2"/>
    </font>
  </fonts>
  <fills count="7">
    <fill>
      <patternFill patternType="none"/>
    </fill>
    <fill>
      <patternFill patternType="gray125"/>
    </fill>
    <fill>
      <patternFill patternType="solid">
        <fgColor rgb="FFFFCC99"/>
      </patternFill>
    </fill>
    <fill>
      <patternFill patternType="solid">
        <fgColor rgb="FFC6EFCE"/>
      </patternFill>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s>
  <cellStyleXfs count="12">
    <xf numFmtId="0" fontId="0" fillId="0" borderId="0"/>
    <xf numFmtId="0" fontId="1" fillId="2" borderId="1" applyNumberFormat="0" applyAlignment="0" applyProtection="0"/>
    <xf numFmtId="0" fontId="2" fillId="0" borderId="0"/>
    <xf numFmtId="0" fontId="2" fillId="0" borderId="0"/>
    <xf numFmtId="0" fontId="2" fillId="0" borderId="0"/>
    <xf numFmtId="0" fontId="4" fillId="3" borderId="0" applyNumberFormat="0" applyBorder="0" applyAlignment="0" applyProtection="0"/>
    <xf numFmtId="0" fontId="6" fillId="0" borderId="2" applyNumberFormat="0" applyFill="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0" borderId="0"/>
    <xf numFmtId="165" fontId="8" fillId="0" borderId="0" applyFont="0" applyFill="0" applyBorder="0" applyAlignment="0" applyProtection="0"/>
    <xf numFmtId="0" fontId="11" fillId="0" borderId="0" applyNumberFormat="0" applyFill="0" applyBorder="0" applyAlignment="0" applyProtection="0"/>
  </cellStyleXfs>
  <cellXfs count="42">
    <xf numFmtId="0" fontId="0" fillId="0" borderId="0" xfId="0"/>
    <xf numFmtId="0" fontId="2" fillId="0" borderId="0" xfId="2"/>
    <xf numFmtId="10" fontId="0" fillId="0" borderId="0" xfId="0" applyNumberFormat="1"/>
    <xf numFmtId="0" fontId="1" fillId="2" borderId="1" xfId="1"/>
    <xf numFmtId="164" fontId="3" fillId="0" borderId="0" xfId="4" applyNumberFormat="1" applyFont="1"/>
    <xf numFmtId="0" fontId="4" fillId="3" borderId="0" xfId="5"/>
    <xf numFmtId="0" fontId="8" fillId="0" borderId="0" xfId="9"/>
    <xf numFmtId="0" fontId="8" fillId="0" borderId="0" xfId="9" applyAlignment="1">
      <alignment wrapText="1"/>
    </xf>
    <xf numFmtId="0" fontId="9" fillId="4" borderId="0" xfId="9" applyFont="1" applyFill="1" applyAlignment="1">
      <alignment wrapText="1"/>
    </xf>
    <xf numFmtId="166" fontId="0" fillId="0" borderId="0" xfId="10" applyNumberFormat="1" applyFont="1"/>
    <xf numFmtId="167" fontId="0" fillId="0" borderId="0" xfId="10" applyNumberFormat="1" applyFont="1"/>
    <xf numFmtId="0" fontId="8" fillId="4" borderId="0" xfId="9" applyFill="1"/>
    <xf numFmtId="9" fontId="8" fillId="0" borderId="0" xfId="9" applyNumberFormat="1"/>
    <xf numFmtId="167" fontId="0" fillId="4" borderId="0" xfId="10" applyNumberFormat="1" applyFont="1" applyFill="1"/>
    <xf numFmtId="0" fontId="8" fillId="5" borderId="0" xfId="9" applyFill="1"/>
    <xf numFmtId="9" fontId="8" fillId="5" borderId="0" xfId="9" applyNumberFormat="1" applyFill="1"/>
    <xf numFmtId="0" fontId="8" fillId="5" borderId="0" xfId="9" quotePrefix="1" applyFill="1"/>
    <xf numFmtId="168" fontId="8" fillId="5" borderId="0" xfId="9" applyNumberFormat="1" applyFill="1"/>
    <xf numFmtId="0" fontId="10" fillId="0" borderId="0" xfId="9" applyFont="1" applyAlignment="1">
      <alignment wrapText="1"/>
    </xf>
    <xf numFmtId="0" fontId="11" fillId="0" borderId="0" xfId="11"/>
    <xf numFmtId="0" fontId="12" fillId="0" borderId="0" xfId="9" applyFont="1" applyAlignment="1">
      <alignment wrapText="1"/>
    </xf>
    <xf numFmtId="0" fontId="13" fillId="0" borderId="0" xfId="9" applyFont="1" applyAlignment="1">
      <alignment vertical="center" wrapText="1"/>
    </xf>
    <xf numFmtId="0" fontId="14" fillId="0" borderId="0" xfId="9" applyFont="1" applyAlignment="1">
      <alignment vertical="center" wrapText="1"/>
    </xf>
    <xf numFmtId="0" fontId="8" fillId="0" borderId="0" xfId="9" applyAlignment="1">
      <alignment vertical="center"/>
    </xf>
    <xf numFmtId="0" fontId="15" fillId="0" borderId="0" xfId="9" applyFont="1" applyAlignment="1">
      <alignment vertical="center"/>
    </xf>
    <xf numFmtId="0" fontId="15" fillId="0" borderId="0" xfId="9" applyFont="1" applyAlignment="1">
      <alignment vertical="center" wrapText="1"/>
    </xf>
    <xf numFmtId="0" fontId="17" fillId="0" borderId="0" xfId="9" applyFont="1" applyAlignment="1">
      <alignment horizontal="left" vertical="center" wrapText="1"/>
    </xf>
    <xf numFmtId="0" fontId="8" fillId="0" borderId="0" xfId="9" applyAlignment="1">
      <alignment vertical="center" wrapText="1"/>
    </xf>
    <xf numFmtId="0" fontId="19" fillId="0" borderId="0" xfId="9" applyFont="1" applyAlignment="1">
      <alignment vertical="center" wrapText="1"/>
    </xf>
    <xf numFmtId="0" fontId="20" fillId="0" borderId="0" xfId="9" applyFont="1" applyAlignment="1">
      <alignment vertical="center" wrapText="1"/>
    </xf>
    <xf numFmtId="0" fontId="13" fillId="0" borderId="0" xfId="9" applyFont="1" applyAlignment="1">
      <alignment wrapText="1"/>
    </xf>
    <xf numFmtId="0" fontId="22" fillId="0" borderId="0" xfId="9" applyFont="1" applyAlignment="1">
      <alignment wrapText="1"/>
    </xf>
    <xf numFmtId="44" fontId="8" fillId="0" borderId="0" xfId="9" applyNumberFormat="1"/>
    <xf numFmtId="2" fontId="8" fillId="0" borderId="0" xfId="9" applyNumberFormat="1"/>
    <xf numFmtId="165" fontId="0" fillId="0" borderId="0" xfId="10" applyNumberFormat="1" applyFont="1"/>
    <xf numFmtId="0" fontId="6" fillId="0" borderId="2" xfId="6"/>
    <xf numFmtId="164" fontId="3" fillId="0" borderId="0" xfId="4" applyNumberFormat="1" applyFont="1" applyFill="1"/>
    <xf numFmtId="0" fontId="6" fillId="0" borderId="0" xfId="7"/>
    <xf numFmtId="0" fontId="6" fillId="0" borderId="0" xfId="7" applyFill="1"/>
    <xf numFmtId="0" fontId="7" fillId="0" borderId="0" xfId="8"/>
    <xf numFmtId="0" fontId="7" fillId="0" borderId="0" xfId="8" applyFill="1"/>
    <xf numFmtId="0" fontId="0" fillId="6" borderId="0" xfId="0" applyFill="1"/>
  </cellXfs>
  <cellStyles count="12">
    <cellStyle name="Currency 2" xfId="10" xr:uid="{22EEDF44-4C5D-4794-B5EE-C5C8637DB51C}"/>
    <cellStyle name="Explanatory Text" xfId="8" builtinId="53"/>
    <cellStyle name="Good" xfId="5" builtinId="26"/>
    <cellStyle name="Heading 3" xfId="6" builtinId="18"/>
    <cellStyle name="Heading 4" xfId="7" builtinId="19"/>
    <cellStyle name="Hyperlink 2" xfId="11" xr:uid="{A3F19C8E-AD81-4DBD-AB7A-BC4E7ED94A8E}"/>
    <cellStyle name="Input" xfId="1" builtinId="20"/>
    <cellStyle name="Normal" xfId="0" builtinId="0"/>
    <cellStyle name="Normal 13" xfId="2" xr:uid="{1030A58F-AC87-4AC7-BEDA-0B28F361A273}"/>
    <cellStyle name="Normal 2" xfId="3" xr:uid="{76649DB0-523C-4EED-AA29-E0904107359B}"/>
    <cellStyle name="Normal 2 2 2" xfId="4" xr:uid="{43AB01CA-EFE9-462C-828F-E924A57F874B}"/>
    <cellStyle name="Normal 3" xfId="9" xr:uid="{5F62C08F-F918-4890-928E-4D18768A4B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2.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0" i="0" baseline="0">
                <a:effectLst/>
              </a:rPr>
              <a:t>Are these future C tax rates?</a:t>
            </a:r>
            <a:endParaRPr lang="en-ZA">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Inflation!$B$1</c:f>
              <c:strCache>
                <c:ptCount val="1"/>
                <c:pt idx="0">
                  <c:v>Headline C tax rate to $30 in 2030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Inflation!$A$4:$A$13</c:f>
              <c:numCache>
                <c:formatCode>General</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Inflation!$B$4:$B$13</c:f>
              <c:numCache>
                <c:formatCode>_("R"* #\ ##0_);_("R"* \(#\ ##0\);_("R"* "-"??_);_(@_)</c:formatCode>
                <c:ptCount val="10"/>
                <c:pt idx="0">
                  <c:v>134</c:v>
                </c:pt>
                <c:pt idx="1">
                  <c:v>144</c:v>
                </c:pt>
                <c:pt idx="2">
                  <c:v>183</c:v>
                </c:pt>
                <c:pt idx="3">
                  <c:v>222</c:v>
                </c:pt>
                <c:pt idx="4">
                  <c:v>261</c:v>
                </c:pt>
                <c:pt idx="5">
                  <c:v>300</c:v>
                </c:pt>
                <c:pt idx="6">
                  <c:v>337.5</c:v>
                </c:pt>
                <c:pt idx="7">
                  <c:v>375</c:v>
                </c:pt>
                <c:pt idx="8">
                  <c:v>412.5</c:v>
                </c:pt>
                <c:pt idx="9">
                  <c:v>450</c:v>
                </c:pt>
              </c:numCache>
            </c:numRef>
          </c:val>
          <c:smooth val="0"/>
          <c:extLst>
            <c:ext xmlns:c16="http://schemas.microsoft.com/office/drawing/2014/chart" uri="{C3380CC4-5D6E-409C-BE32-E72D297353CC}">
              <c16:uniqueId val="{00000000-5884-4A68-A90A-531AE4C1F603}"/>
            </c:ext>
          </c:extLst>
        </c:ser>
        <c:ser>
          <c:idx val="3"/>
          <c:order val="1"/>
          <c:tx>
            <c:strRef>
              <c:f>Inflation!$F$1</c:f>
              <c:strCache>
                <c:ptCount val="1"/>
                <c:pt idx="0">
                  <c:v> 60% allowance to 2025, then phased out to 0% in 2030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Inflation!$A$4:$A$13</c:f>
              <c:numCache>
                <c:formatCode>General</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Inflation!$F$4:$F$13</c:f>
              <c:numCache>
                <c:formatCode>_("R"* #\ ##0_);_("R"* \(#\ ##0\);_("R"* "-"??_);_(@_)</c:formatCode>
                <c:ptCount val="10"/>
                <c:pt idx="0">
                  <c:v>53.6</c:v>
                </c:pt>
                <c:pt idx="1">
                  <c:v>57.6</c:v>
                </c:pt>
                <c:pt idx="2">
                  <c:v>73.2</c:v>
                </c:pt>
                <c:pt idx="3">
                  <c:v>88.800000000000011</c:v>
                </c:pt>
                <c:pt idx="4">
                  <c:v>104.4</c:v>
                </c:pt>
                <c:pt idx="5" formatCode="_(&quot;R&quot;* #\ ##0.00_);_(&quot;R&quot;* \(#\ ##0.00\);_(&quot;R&quot;* &quot;-&quot;??_);_(@_)">
                  <c:v>156</c:v>
                </c:pt>
                <c:pt idx="6">
                  <c:v>216</c:v>
                </c:pt>
                <c:pt idx="7">
                  <c:v>285</c:v>
                </c:pt>
                <c:pt idx="8">
                  <c:v>363</c:v>
                </c:pt>
                <c:pt idx="9">
                  <c:v>450</c:v>
                </c:pt>
              </c:numCache>
            </c:numRef>
          </c:val>
          <c:smooth val="0"/>
          <c:extLst>
            <c:ext xmlns:c16="http://schemas.microsoft.com/office/drawing/2014/chart" uri="{C3380CC4-5D6E-409C-BE32-E72D297353CC}">
              <c16:uniqueId val="{00000001-5884-4A68-A90A-531AE4C1F603}"/>
            </c:ext>
          </c:extLst>
        </c:ser>
        <c:dLbls>
          <c:showLegendKey val="0"/>
          <c:showVal val="0"/>
          <c:showCatName val="0"/>
          <c:showSerName val="0"/>
          <c:showPercent val="0"/>
          <c:showBubbleSize val="0"/>
        </c:dLbls>
        <c:marker val="1"/>
        <c:smooth val="0"/>
        <c:axId val="797191408"/>
        <c:axId val="797193056"/>
      </c:lineChart>
      <c:catAx>
        <c:axId val="797191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193056"/>
        <c:crosses val="autoZero"/>
        <c:auto val="1"/>
        <c:lblAlgn val="ctr"/>
        <c:lblOffset val="100"/>
        <c:noMultiLvlLbl val="0"/>
      </c:catAx>
      <c:valAx>
        <c:axId val="797193056"/>
        <c:scaling>
          <c:orientation val="minMax"/>
        </c:scaling>
        <c:delete val="0"/>
        <c:axPos val="l"/>
        <c:majorGridlines>
          <c:spPr>
            <a:ln w="9525" cap="flat" cmpd="sng" algn="ctr">
              <a:solidFill>
                <a:schemeClr val="tx1">
                  <a:lumMod val="15000"/>
                  <a:lumOff val="85000"/>
                </a:schemeClr>
              </a:solidFill>
              <a:round/>
            </a:ln>
            <a:effectLst/>
          </c:spPr>
        </c:majorGridlines>
        <c:numFmt formatCode="_(&quot;R&quot;* #\ ##0_);_(&quot;R&quot;* \(#\ ##0\);_(&quot;R&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191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Headline tax</a:t>
            </a:r>
            <a:r>
              <a:rPr lang="en-GB" baseline="0"/>
              <a:t> rates, assumed phase out of allowances by 2030, and $120 in 2051</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Inflation!$B$1</c:f>
              <c:strCache>
                <c:ptCount val="1"/>
                <c:pt idx="0">
                  <c:v>Headline C tax rate to $30 in 2030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Inflation!$A$4:$A$34</c:f>
              <c:numCache>
                <c:formatCode>General</c:formatCode>
                <c:ptCount val="31"/>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pt idx="30">
                  <c:v>2051</c:v>
                </c:pt>
              </c:numCache>
            </c:numRef>
          </c:cat>
          <c:val>
            <c:numRef>
              <c:f>Inflation!$B$4:$B$34</c:f>
              <c:numCache>
                <c:formatCode>_("R"* #\ ##0_);_("R"* \(#\ ##0\);_("R"* "-"??_);_(@_)</c:formatCode>
                <c:ptCount val="31"/>
                <c:pt idx="0">
                  <c:v>134</c:v>
                </c:pt>
                <c:pt idx="1">
                  <c:v>144</c:v>
                </c:pt>
                <c:pt idx="2">
                  <c:v>183</c:v>
                </c:pt>
                <c:pt idx="3">
                  <c:v>222</c:v>
                </c:pt>
                <c:pt idx="4">
                  <c:v>261</c:v>
                </c:pt>
                <c:pt idx="5">
                  <c:v>300</c:v>
                </c:pt>
                <c:pt idx="6">
                  <c:v>337.5</c:v>
                </c:pt>
                <c:pt idx="7">
                  <c:v>375</c:v>
                </c:pt>
                <c:pt idx="8">
                  <c:v>412.5</c:v>
                </c:pt>
                <c:pt idx="9">
                  <c:v>450</c:v>
                </c:pt>
                <c:pt idx="10">
                  <c:v>514.28571428571422</c:v>
                </c:pt>
                <c:pt idx="11">
                  <c:v>578.57142857142856</c:v>
                </c:pt>
                <c:pt idx="12">
                  <c:v>642.85714285714278</c:v>
                </c:pt>
                <c:pt idx="13">
                  <c:v>707.14285714285711</c:v>
                </c:pt>
                <c:pt idx="14">
                  <c:v>771.42857142857133</c:v>
                </c:pt>
                <c:pt idx="15">
                  <c:v>835.71428571428567</c:v>
                </c:pt>
                <c:pt idx="16">
                  <c:v>899.99999999999989</c:v>
                </c:pt>
                <c:pt idx="17">
                  <c:v>964.28571428571422</c:v>
                </c:pt>
                <c:pt idx="18">
                  <c:v>1028.5714285714284</c:v>
                </c:pt>
                <c:pt idx="19">
                  <c:v>1092.8571428571429</c:v>
                </c:pt>
                <c:pt idx="20">
                  <c:v>1157.1428571428573</c:v>
                </c:pt>
                <c:pt idx="21">
                  <c:v>1221.4285714285716</c:v>
                </c:pt>
                <c:pt idx="22">
                  <c:v>1285.714285714286</c:v>
                </c:pt>
                <c:pt idx="23">
                  <c:v>1350.0000000000005</c:v>
                </c:pt>
                <c:pt idx="24">
                  <c:v>1414.2857142857149</c:v>
                </c:pt>
                <c:pt idx="25">
                  <c:v>1478.5714285714291</c:v>
                </c:pt>
                <c:pt idx="26">
                  <c:v>1542.8571428571436</c:v>
                </c:pt>
                <c:pt idx="27">
                  <c:v>1607.142857142858</c:v>
                </c:pt>
                <c:pt idx="28">
                  <c:v>1671.4285714285722</c:v>
                </c:pt>
                <c:pt idx="29">
                  <c:v>1735.7142857142867</c:v>
                </c:pt>
                <c:pt idx="30">
                  <c:v>1800</c:v>
                </c:pt>
              </c:numCache>
            </c:numRef>
          </c:val>
          <c:smooth val="0"/>
          <c:extLst>
            <c:ext xmlns:c16="http://schemas.microsoft.com/office/drawing/2014/chart" uri="{C3380CC4-5D6E-409C-BE32-E72D297353CC}">
              <c16:uniqueId val="{00000000-AB2F-40BA-8C7C-F4838703DD61}"/>
            </c:ext>
          </c:extLst>
        </c:ser>
        <c:ser>
          <c:idx val="3"/>
          <c:order val="1"/>
          <c:tx>
            <c:strRef>
              <c:f>Inflation!$F$1</c:f>
              <c:strCache>
                <c:ptCount val="1"/>
                <c:pt idx="0">
                  <c:v> 60% allowance to 2025, then phased out to 0% in 2030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Inflation!$A$4:$A$34</c:f>
              <c:numCache>
                <c:formatCode>General</c:formatCode>
                <c:ptCount val="31"/>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pt idx="30">
                  <c:v>2051</c:v>
                </c:pt>
              </c:numCache>
            </c:numRef>
          </c:cat>
          <c:val>
            <c:numRef>
              <c:f>Inflation!$F$4:$F$34</c:f>
              <c:numCache>
                <c:formatCode>_("R"* #\ ##0_);_("R"* \(#\ ##0\);_("R"* "-"??_);_(@_)</c:formatCode>
                <c:ptCount val="31"/>
                <c:pt idx="0">
                  <c:v>53.6</c:v>
                </c:pt>
                <c:pt idx="1">
                  <c:v>57.6</c:v>
                </c:pt>
                <c:pt idx="2">
                  <c:v>73.2</c:v>
                </c:pt>
                <c:pt idx="3">
                  <c:v>88.800000000000011</c:v>
                </c:pt>
                <c:pt idx="4">
                  <c:v>104.4</c:v>
                </c:pt>
                <c:pt idx="5" formatCode="_(&quot;R&quot;* #\ ##0.00_);_(&quot;R&quot;* \(#\ ##0.00\);_(&quot;R&quot;* &quot;-&quot;??_);_(@_)">
                  <c:v>156</c:v>
                </c:pt>
                <c:pt idx="6">
                  <c:v>216</c:v>
                </c:pt>
                <c:pt idx="7">
                  <c:v>285</c:v>
                </c:pt>
                <c:pt idx="8">
                  <c:v>363</c:v>
                </c:pt>
                <c:pt idx="9">
                  <c:v>450</c:v>
                </c:pt>
                <c:pt idx="10">
                  <c:v>514.28571428571422</c:v>
                </c:pt>
                <c:pt idx="11">
                  <c:v>578.57142857142856</c:v>
                </c:pt>
                <c:pt idx="12">
                  <c:v>642.85714285714278</c:v>
                </c:pt>
                <c:pt idx="13">
                  <c:v>707.14285714285711</c:v>
                </c:pt>
                <c:pt idx="14">
                  <c:v>771.42857142857133</c:v>
                </c:pt>
                <c:pt idx="15">
                  <c:v>835.71428571428567</c:v>
                </c:pt>
                <c:pt idx="16">
                  <c:v>899.99999999999989</c:v>
                </c:pt>
                <c:pt idx="17">
                  <c:v>964.28571428571422</c:v>
                </c:pt>
                <c:pt idx="18">
                  <c:v>1028.5714285714284</c:v>
                </c:pt>
                <c:pt idx="19">
                  <c:v>1092.8571428571429</c:v>
                </c:pt>
                <c:pt idx="20">
                  <c:v>1157.1428571428573</c:v>
                </c:pt>
                <c:pt idx="21">
                  <c:v>1221.4285714285716</c:v>
                </c:pt>
                <c:pt idx="22">
                  <c:v>1285.714285714286</c:v>
                </c:pt>
                <c:pt idx="23">
                  <c:v>1350.0000000000005</c:v>
                </c:pt>
                <c:pt idx="24">
                  <c:v>1414.2857142857149</c:v>
                </c:pt>
                <c:pt idx="25">
                  <c:v>1478.5714285714291</c:v>
                </c:pt>
                <c:pt idx="26">
                  <c:v>1542.8571428571436</c:v>
                </c:pt>
                <c:pt idx="27">
                  <c:v>1607.142857142858</c:v>
                </c:pt>
                <c:pt idx="28">
                  <c:v>1671.4285714285722</c:v>
                </c:pt>
                <c:pt idx="29">
                  <c:v>1735.7142857142867</c:v>
                </c:pt>
                <c:pt idx="30">
                  <c:v>1800</c:v>
                </c:pt>
              </c:numCache>
            </c:numRef>
          </c:val>
          <c:smooth val="0"/>
          <c:extLst>
            <c:ext xmlns:c16="http://schemas.microsoft.com/office/drawing/2014/chart" uri="{C3380CC4-5D6E-409C-BE32-E72D297353CC}">
              <c16:uniqueId val="{00000001-AB2F-40BA-8C7C-F4838703DD61}"/>
            </c:ext>
          </c:extLst>
        </c:ser>
        <c:dLbls>
          <c:showLegendKey val="0"/>
          <c:showVal val="0"/>
          <c:showCatName val="0"/>
          <c:showSerName val="0"/>
          <c:showPercent val="0"/>
          <c:showBubbleSize val="0"/>
        </c:dLbls>
        <c:marker val="1"/>
        <c:smooth val="0"/>
        <c:axId val="598138944"/>
        <c:axId val="598140592"/>
      </c:lineChart>
      <c:catAx>
        <c:axId val="59813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140592"/>
        <c:crosses val="autoZero"/>
        <c:auto val="1"/>
        <c:lblAlgn val="ctr"/>
        <c:lblOffset val="100"/>
        <c:noMultiLvlLbl val="0"/>
      </c:catAx>
      <c:valAx>
        <c:axId val="598140592"/>
        <c:scaling>
          <c:orientation val="minMax"/>
        </c:scaling>
        <c:delete val="0"/>
        <c:axPos val="l"/>
        <c:majorGridlines>
          <c:spPr>
            <a:ln w="9525" cap="flat" cmpd="sng" algn="ctr">
              <a:solidFill>
                <a:schemeClr val="tx1">
                  <a:lumMod val="15000"/>
                  <a:lumOff val="85000"/>
                </a:schemeClr>
              </a:solidFill>
              <a:round/>
            </a:ln>
            <a:effectLst/>
          </c:spPr>
        </c:majorGridlines>
        <c:numFmt formatCode="_(&quot;R&quot;* #\ ##0_);_(&quot;R&quot;* \(#\ ##0\);_(&quot;R&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138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495300</xdr:colOff>
      <xdr:row>0</xdr:row>
      <xdr:rowOff>444500</xdr:rowOff>
    </xdr:from>
    <xdr:to>
      <xdr:col>26</xdr:col>
      <xdr:colOff>565150</xdr:colOff>
      <xdr:row>19</xdr:row>
      <xdr:rowOff>25400</xdr:rowOff>
    </xdr:to>
    <xdr:graphicFrame macro="">
      <xdr:nvGraphicFramePr>
        <xdr:cNvPr id="2" name="Chart 1">
          <a:extLst>
            <a:ext uri="{FF2B5EF4-FFF2-40B4-BE49-F238E27FC236}">
              <a16:creationId xmlns:a16="http://schemas.microsoft.com/office/drawing/2014/main" id="{87CB8DCF-82E5-497E-BE64-CBCC6C532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254000</xdr:colOff>
      <xdr:row>31</xdr:row>
      <xdr:rowOff>177800</xdr:rowOff>
    </xdr:from>
    <xdr:to>
      <xdr:col>12</xdr:col>
      <xdr:colOff>349250</xdr:colOff>
      <xdr:row>47</xdr:row>
      <xdr:rowOff>127000</xdr:rowOff>
    </xdr:to>
    <xdr:graphicFrame macro="">
      <xdr:nvGraphicFramePr>
        <xdr:cNvPr id="3" name="Chart 2">
          <a:extLst>
            <a:ext uri="{FF2B5EF4-FFF2-40B4-BE49-F238E27FC236}">
              <a16:creationId xmlns:a16="http://schemas.microsoft.com/office/drawing/2014/main" id="{C4F17B4C-F4A4-411F-AC89-4A35EFAE5C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wnloads/BP%202013%20Energy%20Revie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01433536/Google%20Drive/SATIM/Model%20Files/DMD_PRJ%20-%20Copy.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rivate/tmp/SATIM/TCH_SUP2.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Modelling%20Group\_02_PROJECTS\WB\water-energy\task2\Costing%20options%20v6.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AnswerTIMESv6/Answer_Databases/WB/SATIM_20140819runs-copy/TCH_PWR-WAT.xlsm"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Models\SATIMGE\SATIM\DataSpreadsheets\CO2Tax_2022.xlsx" TargetMode="External"/><Relationship Id="rId1" Type="http://schemas.openxmlformats.org/officeDocument/2006/relationships/externalLinkPath" Target="/Models/SATIMGE/SATIM/DataSpreadsheets/CO2Tax_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il Consumption – barrel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ngeLog"/>
      <sheetName val="REGIONS"/>
      <sheetName val="Index"/>
      <sheetName val="FromCGE"/>
      <sheetName val="ITEMS_AGR"/>
      <sheetName val="AGR"/>
      <sheetName val="ITEMS_IND"/>
      <sheetName val="IND"/>
      <sheetName val="ITEMS_RES"/>
      <sheetName val="RES"/>
      <sheetName val="ITEMS_COM"/>
      <sheetName val="COM"/>
      <sheetName val="ITEMS_TRA"/>
      <sheetName val="FTRA"/>
      <sheetName val="PTRA"/>
      <sheetName val="OtherTRA"/>
    </sheetNames>
    <sheetDataSet>
      <sheetData sheetId="0" refreshError="1"/>
      <sheetData sheetId="1" refreshError="1"/>
      <sheetData sheetId="2">
        <row r="7">
          <cell r="C7">
            <v>1</v>
          </cell>
        </row>
        <row r="8">
          <cell r="C8">
            <v>1</v>
          </cell>
        </row>
        <row r="9">
          <cell r="C9">
            <v>1</v>
          </cell>
        </row>
        <row r="10">
          <cell r="C10">
            <v>1</v>
          </cell>
        </row>
        <row r="11">
          <cell r="C11">
            <v>1</v>
          </cell>
        </row>
      </sheetData>
      <sheetData sheetId="3">
        <row r="5">
          <cell r="J5" t="str">
            <v>Greenshoots</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hangeLog"/>
      <sheetName val="NameConv"/>
      <sheetName val="REGIONS"/>
      <sheetName val="2006"/>
      <sheetName val="Liq Fuel Prices"/>
      <sheetName val="Coal price"/>
      <sheetName val="Oil price"/>
      <sheetName val="Gas Price"/>
      <sheetName val="Fugitive emissions"/>
      <sheetName val="Distribution"/>
      <sheetName val="SUP"/>
      <sheetName val="ITEMS_STech"/>
      <sheetName val="TS STech"/>
      <sheetName val="TS STechPEX"/>
      <sheetName val="TID STech"/>
      <sheetName val="ITEMS_Comm"/>
      <sheetName val="TS ZTech"/>
      <sheetName val="TID ZTech"/>
      <sheetName val="SasolRES"/>
      <sheetName val="Crude refineries"/>
      <sheetName val="GTL and CTL"/>
      <sheetName val="SummaryRef"/>
      <sheetName val="RefineriesRES"/>
      <sheetName val="RefineriesData"/>
      <sheetName val="Hydrogen"/>
      <sheetName val="UPS"/>
      <sheetName val="ITEMS_UPS"/>
      <sheetName val="ITEMS_GRP"/>
      <sheetName val="TS_TTech"/>
      <sheetName val="TID_TTech"/>
      <sheetName val="ITEMS_XTech"/>
      <sheetName val="ITEMS_CommX"/>
      <sheetName val="TS_XTech"/>
      <sheetName val="TID_XTech"/>
      <sheetName val="ITEMS_XEmiss"/>
      <sheetName val="TS XEmiss"/>
      <sheetName val="TID XEmiss"/>
      <sheetName val="ExchangeRateDetail"/>
      <sheetName val="Deflator"/>
      <sheetName val="SUPRES"/>
      <sheetName val="ITEMS_XFEmiss"/>
      <sheetName val="TS XFEmiss"/>
      <sheetName val="TID XFEmiss"/>
      <sheetName val="Emission Control_Technologies"/>
      <sheetName val="Items_TEmiss"/>
      <sheetName val="TS TEmiss"/>
      <sheetName val="ITEMS UC"/>
      <sheetName val="TS UC"/>
      <sheetName val="TID UC"/>
      <sheetName val="WAT-Items"/>
      <sheetName val="WAT-TSData"/>
      <sheetName val="WAT-TIDData"/>
      <sheetName val="CPI_1960-2013"/>
      <sheetName val="Sheet1"/>
    </sheetNames>
    <sheetDataSet>
      <sheetData sheetId="0">
        <row r="2">
          <cell r="A2">
            <v>1</v>
          </cell>
          <cell r="D2">
            <v>1</v>
          </cell>
          <cell r="E2">
            <v>1</v>
          </cell>
          <cell r="F2">
            <v>1</v>
          </cell>
          <cell r="G2">
            <v>1</v>
          </cell>
          <cell r="H2">
            <v>1</v>
          </cell>
          <cell r="I2">
            <v>1</v>
          </cell>
          <cell r="J2">
            <v>1</v>
          </cell>
        </row>
      </sheetData>
      <sheetData sheetId="1"/>
      <sheetData sheetId="2">
        <row r="3">
          <cell r="AX3">
            <v>16</v>
          </cell>
        </row>
        <row r="4">
          <cell r="AY4" t="str">
            <v>CO2S</v>
          </cell>
        </row>
        <row r="5">
          <cell r="B5" t="str">
            <v>Biogas</v>
          </cell>
          <cell r="C5" t="str">
            <v>BIG</v>
          </cell>
        </row>
        <row r="6">
          <cell r="B6" t="str">
            <v>Bioethanol</v>
          </cell>
          <cell r="C6" t="str">
            <v>BIE</v>
          </cell>
        </row>
        <row r="7">
          <cell r="B7" t="str">
            <v>Biodiesel</v>
          </cell>
          <cell r="C7" t="str">
            <v>BID</v>
          </cell>
        </row>
        <row r="8">
          <cell r="B8" t="str">
            <v>Biomass bagasse</v>
          </cell>
          <cell r="C8" t="str">
            <v>BIB</v>
          </cell>
        </row>
        <row r="9">
          <cell r="B9" t="str">
            <v>Biomass Other</v>
          </cell>
          <cell r="C9" t="str">
            <v>BIO</v>
          </cell>
        </row>
        <row r="10">
          <cell r="B10" t="str">
            <v>Biomass Wood</v>
          </cell>
          <cell r="C10" t="str">
            <v>BIW</v>
          </cell>
        </row>
        <row r="11">
          <cell r="B11" t="str">
            <v>Coal</v>
          </cell>
          <cell r="C11" t="str">
            <v>COA</v>
          </cell>
        </row>
        <row r="12">
          <cell r="B12" t="str">
            <v>Coal Coking</v>
          </cell>
          <cell r="C12" t="str">
            <v>COK</v>
          </cell>
        </row>
        <row r="13">
          <cell r="B13" t="str">
            <v>Coal Discard</v>
          </cell>
          <cell r="C13" t="str">
            <v>CLD</v>
          </cell>
        </row>
        <row r="14">
          <cell r="B14" t="str">
            <v>Coal low grade</v>
          </cell>
          <cell r="C14" t="str">
            <v>CLE</v>
          </cell>
        </row>
        <row r="15">
          <cell r="B15" t="str">
            <v>Coal for plants in Botswana</v>
          </cell>
          <cell r="C15" t="str">
            <v>CRB</v>
          </cell>
        </row>
        <row r="16">
          <cell r="B16" t="str">
            <v>Electricity</v>
          </cell>
          <cell r="C16" t="str">
            <v>ELC</v>
          </cell>
        </row>
        <row r="17">
          <cell r="B17" t="str">
            <v>Electricity Upstream Transmission</v>
          </cell>
          <cell r="C17" t="str">
            <v>ELCC</v>
          </cell>
        </row>
        <row r="18">
          <cell r="B18" t="str">
            <v>Gas South Africa</v>
          </cell>
          <cell r="C18" t="str">
            <v>GAS</v>
          </cell>
        </row>
        <row r="19">
          <cell r="B19" t="str">
            <v>Gas Southern Mozambique</v>
          </cell>
          <cell r="C19" t="str">
            <v>GRS</v>
          </cell>
        </row>
        <row r="20">
          <cell r="B20" t="str">
            <v>Gas Namibia</v>
          </cell>
          <cell r="C20" t="str">
            <v>GRN</v>
          </cell>
        </row>
        <row r="21">
          <cell r="B21" t="str">
            <v>Gas Regional LNG</v>
          </cell>
          <cell r="C21" t="str">
            <v>GRL</v>
          </cell>
        </row>
        <row r="22">
          <cell r="B22" t="str">
            <v>Gas International LNG</v>
          </cell>
          <cell r="C22" t="str">
            <v>GWL</v>
          </cell>
        </row>
        <row r="23">
          <cell r="B23" t="str">
            <v>Gas Northern Mozambique</v>
          </cell>
          <cell r="C23" t="str">
            <v>GRM</v>
          </cell>
        </row>
        <row r="24">
          <cell r="B24" t="str">
            <v>Gas Indigenous Ibhubezi</v>
          </cell>
          <cell r="C24" t="str">
            <v>GIB</v>
          </cell>
        </row>
        <row r="25">
          <cell r="B25" t="str">
            <v>Gas Indigenous Shale</v>
          </cell>
          <cell r="C25" t="str">
            <v>GIH</v>
          </cell>
        </row>
        <row r="26">
          <cell r="B26" t="str">
            <v>Coastal Gas</v>
          </cell>
          <cell r="C26" t="str">
            <v>GIC</v>
          </cell>
        </row>
        <row r="27">
          <cell r="B27" t="str">
            <v>Gas Methane Rich</v>
          </cell>
          <cell r="C27" t="str">
            <v>GIM</v>
          </cell>
        </row>
        <row r="28">
          <cell r="B28" t="str">
            <v>Heat-Steam</v>
          </cell>
          <cell r="C28" t="str">
            <v>HET</v>
          </cell>
        </row>
        <row r="29">
          <cell r="B29" t="str">
            <v>Heat-Steam Existing</v>
          </cell>
          <cell r="C29" t="str">
            <v>HEE</v>
          </cell>
        </row>
        <row r="30">
          <cell r="B30" t="str">
            <v>Heat-Steam New</v>
          </cell>
          <cell r="C30" t="str">
            <v>HEN</v>
          </cell>
        </row>
        <row r="31">
          <cell r="B31" t="str">
            <v>Hydro</v>
          </cell>
          <cell r="C31" t="str">
            <v>HYD</v>
          </cell>
        </row>
        <row r="32">
          <cell r="B32" t="str">
            <v>Hydrogen</v>
          </cell>
          <cell r="C32" t="str">
            <v>HGN</v>
          </cell>
        </row>
        <row r="33">
          <cell r="B33" t="str">
            <v>Nuclear</v>
          </cell>
          <cell r="C33" t="str">
            <v>NUC</v>
          </cell>
        </row>
        <row r="34">
          <cell r="B34" t="str">
            <v>Oil Av Gasoline</v>
          </cell>
          <cell r="C34" t="str">
            <v>OAG</v>
          </cell>
        </row>
        <row r="35">
          <cell r="B35" t="str">
            <v>Oil Crude</v>
          </cell>
          <cell r="C35" t="str">
            <v>OCR</v>
          </cell>
        </row>
        <row r="36">
          <cell r="B36" t="str">
            <v>Oil Diesel</v>
          </cell>
          <cell r="C36" t="str">
            <v>ODS</v>
          </cell>
        </row>
        <row r="37">
          <cell r="B37" t="str">
            <v>Oil Gasoline</v>
          </cell>
          <cell r="C37" t="str">
            <v>OGS</v>
          </cell>
        </row>
        <row r="38">
          <cell r="B38" t="str">
            <v>Oil HFO</v>
          </cell>
          <cell r="C38" t="str">
            <v>OHF</v>
          </cell>
        </row>
        <row r="39">
          <cell r="B39" t="str">
            <v>Oil Kerosene</v>
          </cell>
          <cell r="C39" t="str">
            <v>OKE</v>
          </cell>
        </row>
        <row r="40">
          <cell r="B40" t="str">
            <v>Oil LPG</v>
          </cell>
          <cell r="C40" t="str">
            <v>OLP</v>
          </cell>
        </row>
        <row r="41">
          <cell r="B41" t="str">
            <v>Oil Other</v>
          </cell>
          <cell r="C41" t="str">
            <v>OTH</v>
          </cell>
        </row>
        <row r="42">
          <cell r="B42" t="str">
            <v>Solar</v>
          </cell>
          <cell r="C42" t="str">
            <v>SOL</v>
          </cell>
        </row>
        <row r="43">
          <cell r="B43" t="str">
            <v>Wind</v>
          </cell>
          <cell r="C43" t="str">
            <v>WND</v>
          </cell>
        </row>
        <row r="44">
          <cell r="B44" t="str">
            <v>Waste</v>
          </cell>
          <cell r="C44" t="str">
            <v>WAS</v>
          </cell>
        </row>
      </sheetData>
      <sheetData sheetId="3"/>
      <sheetData sheetId="4"/>
      <sheetData sheetId="5"/>
      <sheetData sheetId="6"/>
      <sheetData sheetId="7"/>
      <sheetData sheetId="8"/>
      <sheetData sheetId="9"/>
      <sheetData sheetId="10">
        <row r="17">
          <cell r="A17">
            <v>2.54</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6">
          <cell r="B6" t="str">
            <v>UPS</v>
          </cell>
        </row>
      </sheetData>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version"/>
      <sheetName val="units"/>
      <sheetName val="AMD"/>
      <sheetName val="AMD.v2"/>
      <sheetName val="coal mining"/>
      <sheetName val="TDS  vs Capex"/>
      <sheetName val="WTP energy costs"/>
      <sheetName val="Shale gas"/>
      <sheetName val="Shale-AMD wtp"/>
      <sheetName val="Uranium-Gold"/>
      <sheetName val="fgd costs"/>
      <sheetName val="Coal dist"/>
      <sheetName val="steam"/>
      <sheetName val="refineries"/>
      <sheetName val="cooling water"/>
      <sheetName val="seasonal"/>
      <sheetName val="PWR station GIS data"/>
      <sheetName val="Existing Plants by Water Supply"/>
      <sheetName val="Existing Plants by Coal Supply"/>
      <sheetName val="Eskom coal pwr plants"/>
      <sheetName val="charts"/>
      <sheetName val="TechWATv4"/>
      <sheetName val="TechWATv5 (supwat5)"/>
      <sheetName val="FromCGE"/>
      <sheetName val="Non-Energy Water Demand"/>
      <sheetName val="non-power liquid fuels"/>
      <sheetName val="CPI_1960-2013"/>
      <sheetName val="JHB return flows"/>
      <sheetName val="misc calcs"/>
      <sheetName val="WSR-A"/>
      <sheetName val="WSR-B"/>
      <sheetName val="WSR-C"/>
      <sheetName val="WSR-D"/>
      <sheetName val="WSR-R"/>
      <sheetName val="WSR-Z"/>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3">
          <cell r="E3">
            <v>0.08</v>
          </cell>
        </row>
      </sheetData>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isting capacity basic data"/>
      <sheetName val="PWR"/>
      <sheetName val="ITEMS_Teche"/>
      <sheetName val="TS ETech"/>
      <sheetName val="TID ETech"/>
      <sheetName val="ITEMS_Comm"/>
      <sheetName val="New Capacity basic data"/>
      <sheetName val="Inga"/>
      <sheetName val="OtherRegionalProjects"/>
      <sheetName val="NT_PWR"/>
      <sheetName val="ITEMS_Techn"/>
      <sheetName val="TS INVFX"/>
      <sheetName val="TS INVFX_5yr"/>
      <sheetName val="TS INVFX_IRP"/>
      <sheetName val="TS NTech"/>
      <sheetName val="TS NTechICost"/>
      <sheetName val="TID NTech"/>
      <sheetName val="ITEMS GRP"/>
      <sheetName val="TS Othere"/>
      <sheetName val="TID Othere"/>
      <sheetName val="ITEMS UC"/>
      <sheetName val="TS UC"/>
      <sheetName val="TID UC"/>
      <sheetName val="ITEMS UC_BLIPPP"/>
      <sheetName val="TS UC_BLIPPP"/>
      <sheetName val="TID UC_BLIPPP"/>
      <sheetName val="REAvail"/>
      <sheetName val="REAvail (2)"/>
      <sheetName val="TS REAvail"/>
      <sheetName val="REAvail_10TS"/>
      <sheetName val="REAvail_10TS (2)"/>
      <sheetName val="TS REAvail_10TS"/>
      <sheetName val="REGIONS"/>
      <sheetName val="NameConv"/>
      <sheetName val="Deflator"/>
      <sheetName val="EskomCoalEff"/>
      <sheetName val="Analytica_Input"/>
      <sheetName val="LogofChanges"/>
    </sheetNames>
    <sheetDataSet>
      <sheetData sheetId="0"/>
      <sheetData sheetId="1"/>
      <sheetData sheetId="2"/>
      <sheetData sheetId="3"/>
      <sheetData sheetId="4"/>
      <sheetData sheetId="5"/>
      <sheetData sheetId="6">
        <row r="9">
          <cell r="B9">
            <v>0</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flation"/>
      <sheetName val="Graphs"/>
      <sheetName val="Text budget speech and BR"/>
    </sheetNames>
    <sheetDataSet>
      <sheetData sheetId="0">
        <row r="1">
          <cell r="B1" t="str">
            <v>Headline C tax rate to $30 in 2030</v>
          </cell>
          <cell r="F1" t="str">
            <v xml:space="preserve"> 60% allowance to 2025, then phased out to 0% in 2030</v>
          </cell>
        </row>
        <row r="2">
          <cell r="A2">
            <v>2021</v>
          </cell>
          <cell r="B2">
            <v>134</v>
          </cell>
          <cell r="F2">
            <v>53.6</v>
          </cell>
        </row>
        <row r="3">
          <cell r="A3">
            <v>2022</v>
          </cell>
          <cell r="B3">
            <v>144</v>
          </cell>
          <cell r="F3">
            <v>57.6</v>
          </cell>
        </row>
        <row r="4">
          <cell r="A4">
            <v>2023</v>
          </cell>
          <cell r="B4">
            <v>183</v>
          </cell>
          <cell r="F4">
            <v>73.2</v>
          </cell>
        </row>
        <row r="5">
          <cell r="A5">
            <v>2024</v>
          </cell>
          <cell r="B5">
            <v>222</v>
          </cell>
          <cell r="F5">
            <v>88.800000000000011</v>
          </cell>
        </row>
        <row r="6">
          <cell r="A6">
            <v>2025</v>
          </cell>
          <cell r="B6">
            <v>261</v>
          </cell>
          <cell r="F6">
            <v>104.4</v>
          </cell>
        </row>
        <row r="7">
          <cell r="A7">
            <v>2026</v>
          </cell>
          <cell r="B7">
            <v>300</v>
          </cell>
          <cell r="F7">
            <v>156</v>
          </cell>
        </row>
        <row r="8">
          <cell r="A8">
            <v>2027</v>
          </cell>
          <cell r="B8">
            <v>337.5</v>
          </cell>
          <cell r="F8">
            <v>216</v>
          </cell>
        </row>
        <row r="9">
          <cell r="A9">
            <v>2028</v>
          </cell>
          <cell r="B9">
            <v>375</v>
          </cell>
          <cell r="F9">
            <v>285</v>
          </cell>
        </row>
        <row r="10">
          <cell r="A10">
            <v>2029</v>
          </cell>
          <cell r="B10">
            <v>412.5</v>
          </cell>
          <cell r="F10">
            <v>363</v>
          </cell>
        </row>
        <row r="11">
          <cell r="A11">
            <v>2030</v>
          </cell>
          <cell r="B11">
            <v>450</v>
          </cell>
          <cell r="F11">
            <v>450</v>
          </cell>
        </row>
        <row r="12">
          <cell r="A12">
            <v>2031</v>
          </cell>
          <cell r="B12">
            <v>514.28571428571422</v>
          </cell>
          <cell r="F12">
            <v>514.28571428571422</v>
          </cell>
        </row>
        <row r="13">
          <cell r="A13">
            <v>2032</v>
          </cell>
          <cell r="B13">
            <v>578.57142857142856</v>
          </cell>
          <cell r="F13">
            <v>578.57142857142856</v>
          </cell>
        </row>
        <row r="14">
          <cell r="A14">
            <v>2033</v>
          </cell>
          <cell r="B14">
            <v>642.85714285714278</v>
          </cell>
          <cell r="F14">
            <v>642.85714285714278</v>
          </cell>
        </row>
        <row r="15">
          <cell r="A15">
            <v>2034</v>
          </cell>
          <cell r="B15">
            <v>707.14285714285711</v>
          </cell>
          <cell r="F15">
            <v>707.14285714285711</v>
          </cell>
        </row>
        <row r="16">
          <cell r="A16">
            <v>2035</v>
          </cell>
          <cell r="B16">
            <v>771.42857142857133</v>
          </cell>
          <cell r="F16">
            <v>771.42857142857133</v>
          </cell>
        </row>
        <row r="17">
          <cell r="A17">
            <v>2036</v>
          </cell>
          <cell r="B17">
            <v>835.71428571428567</v>
          </cell>
          <cell r="F17">
            <v>835.71428571428567</v>
          </cell>
        </row>
        <row r="18">
          <cell r="A18">
            <v>2037</v>
          </cell>
          <cell r="B18">
            <v>899.99999999999989</v>
          </cell>
          <cell r="F18">
            <v>899.99999999999989</v>
          </cell>
        </row>
        <row r="19">
          <cell r="A19">
            <v>2038</v>
          </cell>
          <cell r="B19">
            <v>964.28571428571422</v>
          </cell>
          <cell r="F19">
            <v>964.28571428571422</v>
          </cell>
        </row>
        <row r="20">
          <cell r="A20">
            <v>2039</v>
          </cell>
          <cell r="B20">
            <v>1028.5714285714284</v>
          </cell>
          <cell r="F20">
            <v>1028.5714285714284</v>
          </cell>
        </row>
        <row r="21">
          <cell r="A21">
            <v>2040</v>
          </cell>
          <cell r="B21">
            <v>1092.8571428571429</v>
          </cell>
          <cell r="F21">
            <v>1092.8571428571429</v>
          </cell>
        </row>
        <row r="22">
          <cell r="A22">
            <v>2041</v>
          </cell>
          <cell r="B22">
            <v>1157.1428571428573</v>
          </cell>
          <cell r="F22">
            <v>1157.1428571428573</v>
          </cell>
        </row>
        <row r="23">
          <cell r="A23">
            <v>2042</v>
          </cell>
          <cell r="B23">
            <v>1221.4285714285716</v>
          </cell>
          <cell r="F23">
            <v>1221.4285714285716</v>
          </cell>
        </row>
        <row r="24">
          <cell r="A24">
            <v>2043</v>
          </cell>
          <cell r="B24">
            <v>1285.714285714286</v>
          </cell>
          <cell r="F24">
            <v>1285.714285714286</v>
          </cell>
        </row>
        <row r="25">
          <cell r="A25">
            <v>2044</v>
          </cell>
          <cell r="B25">
            <v>1350.0000000000005</v>
          </cell>
          <cell r="F25">
            <v>1350.0000000000005</v>
          </cell>
        </row>
        <row r="26">
          <cell r="A26">
            <v>2045</v>
          </cell>
          <cell r="B26">
            <v>1414.2857142857149</v>
          </cell>
          <cell r="F26">
            <v>1414.2857142857149</v>
          </cell>
        </row>
        <row r="27">
          <cell r="A27">
            <v>2046</v>
          </cell>
          <cell r="B27">
            <v>1478.5714285714291</v>
          </cell>
          <cell r="F27">
            <v>1478.5714285714291</v>
          </cell>
        </row>
        <row r="28">
          <cell r="A28">
            <v>2047</v>
          </cell>
          <cell r="B28">
            <v>1542.8571428571436</v>
          </cell>
          <cell r="F28">
            <v>1542.8571428571436</v>
          </cell>
        </row>
        <row r="29">
          <cell r="A29">
            <v>2048</v>
          </cell>
          <cell r="B29">
            <v>1607.142857142858</v>
          </cell>
          <cell r="F29">
            <v>1607.142857142858</v>
          </cell>
        </row>
        <row r="30">
          <cell r="A30">
            <v>2049</v>
          </cell>
          <cell r="B30">
            <v>1671.4285714285722</v>
          </cell>
          <cell r="F30">
            <v>1671.4285714285722</v>
          </cell>
        </row>
        <row r="31">
          <cell r="A31">
            <v>2050</v>
          </cell>
          <cell r="B31">
            <v>1735.7142857142867</v>
          </cell>
          <cell r="F31">
            <v>1735.7142857142867</v>
          </cell>
        </row>
        <row r="32">
          <cell r="A32">
            <v>2051</v>
          </cell>
          <cell r="B32">
            <v>1800</v>
          </cell>
          <cell r="F32">
            <v>1800</v>
          </cell>
        </row>
      </sheetData>
      <sheetData sheetId="1"/>
      <sheetData sheetId="2"/>
    </sheetDataSet>
  </externalBook>
</externalLink>
</file>

<file path=xl/persons/person.xml><?xml version="1.0" encoding="utf-8"?>
<personList xmlns="http://schemas.microsoft.com/office/spreadsheetml/2018/threadedcomments" xmlns:x="http://schemas.openxmlformats.org/spreadsheetml/2006/main">
  <person displayName="Bruno Merven" id="{6F6288E2-7333-4331-B3D9-555C88E2A2BA}" userId="Bruno Merven"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4" dT="2021-08-25T15:53:10.50" personId="{6F6288E2-7333-4331-B3D9-555C88E2A2BA}" id="{98ADEDF8-CA18-4AAD-9D74-11EB9541DB1F}">
    <text>Changed to AR5 - August 2021</text>
  </threadedComment>
</ThreadedComments>
</file>

<file path=xl/threadedComments/threadedComment2.xml><?xml version="1.0" encoding="utf-8"?>
<ThreadedComments xmlns="http://schemas.microsoft.com/office/spreadsheetml/2018/threadedcomments" xmlns:x="http://schemas.openxmlformats.org/spreadsheetml/2006/main">
  <threadedComment ref="E15" dT="2021-08-25T15:53:10.50" personId="{6F6288E2-7333-4331-B3D9-555C88E2A2BA}" id="{441F2B45-0803-45B0-92A3-43035FE9A3B1}">
    <text>Changed to AR5 - August 2021</text>
  </threadedComment>
</ThreadedComment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hyperlink" Target="http://www.treasury.gov.za/documents/national%20budget/2022/defaul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D891E-56E0-4A8D-A79A-1FD74EC26C1E}">
  <sheetPr>
    <tabColor theme="5"/>
  </sheetPr>
  <dimension ref="A1:AC11"/>
  <sheetViews>
    <sheetView topLeftCell="C1" workbookViewId="0">
      <selection activeCell="E7" sqref="E7"/>
    </sheetView>
  </sheetViews>
  <sheetFormatPr defaultRowHeight="12.75"/>
  <cols>
    <col min="1" max="1" width="11.140625" customWidth="1"/>
    <col min="4" max="4" width="19.28515625" customWidth="1"/>
  </cols>
  <sheetData>
    <row r="1" spans="1:29">
      <c r="E1">
        <v>2019</v>
      </c>
      <c r="F1">
        <f>E1+1</f>
        <v>2020</v>
      </c>
      <c r="G1">
        <f t="shared" ref="G1:Z1" si="0">F1+1</f>
        <v>2021</v>
      </c>
      <c r="H1">
        <f t="shared" si="0"/>
        <v>2022</v>
      </c>
      <c r="I1">
        <f t="shared" si="0"/>
        <v>2023</v>
      </c>
      <c r="J1">
        <f t="shared" si="0"/>
        <v>2024</v>
      </c>
      <c r="K1">
        <f t="shared" si="0"/>
        <v>2025</v>
      </c>
      <c r="L1">
        <f t="shared" si="0"/>
        <v>2026</v>
      </c>
      <c r="M1">
        <f t="shared" si="0"/>
        <v>2027</v>
      </c>
      <c r="N1">
        <f t="shared" si="0"/>
        <v>2028</v>
      </c>
      <c r="O1">
        <f t="shared" si="0"/>
        <v>2029</v>
      </c>
      <c r="P1">
        <f t="shared" si="0"/>
        <v>2030</v>
      </c>
      <c r="Q1">
        <f t="shared" si="0"/>
        <v>2031</v>
      </c>
      <c r="R1">
        <f t="shared" si="0"/>
        <v>2032</v>
      </c>
      <c r="S1">
        <f t="shared" si="0"/>
        <v>2033</v>
      </c>
      <c r="T1">
        <f t="shared" si="0"/>
        <v>2034</v>
      </c>
      <c r="U1">
        <f t="shared" si="0"/>
        <v>2035</v>
      </c>
      <c r="V1">
        <f>U1+1</f>
        <v>2036</v>
      </c>
      <c r="W1">
        <f t="shared" si="0"/>
        <v>2037</v>
      </c>
      <c r="X1">
        <f t="shared" si="0"/>
        <v>2038</v>
      </c>
      <c r="Y1">
        <f t="shared" si="0"/>
        <v>2039</v>
      </c>
      <c r="Z1">
        <f t="shared" si="0"/>
        <v>2040</v>
      </c>
      <c r="AA1">
        <v>2045</v>
      </c>
      <c r="AB1">
        <v>2050</v>
      </c>
      <c r="AC1">
        <v>2055</v>
      </c>
    </row>
    <row r="2" spans="1:29" ht="15">
      <c r="A2" t="s">
        <v>8</v>
      </c>
      <c r="B2" t="s">
        <v>6</v>
      </c>
      <c r="D2" s="2" t="s">
        <v>160</v>
      </c>
      <c r="E2" s="3">
        <v>30</v>
      </c>
      <c r="F2">
        <f>E2*1.02</f>
        <v>30.6</v>
      </c>
      <c r="G2">
        <f t="shared" ref="G2:H3" si="1">F2*1.02</f>
        <v>31.212000000000003</v>
      </c>
      <c r="H2">
        <f t="shared" si="1"/>
        <v>31.836240000000004</v>
      </c>
      <c r="I2">
        <f t="shared" ref="I2:I3" si="2">H2*1.02</f>
        <v>32.472964800000007</v>
      </c>
      <c r="J2" t="str">
        <f>""</f>
        <v/>
      </c>
      <c r="K2" t="str">
        <f>""</f>
        <v/>
      </c>
      <c r="L2" t="str">
        <f>""</f>
        <v/>
      </c>
      <c r="M2" t="str">
        <f>""</f>
        <v/>
      </c>
      <c r="N2" t="str">
        <f>""</f>
        <v/>
      </c>
      <c r="O2" t="str">
        <f>""</f>
        <v/>
      </c>
      <c r="P2" t="str">
        <f>""</f>
        <v/>
      </c>
      <c r="Q2" t="str">
        <f>""</f>
        <v/>
      </c>
      <c r="R2" t="str">
        <f>""</f>
        <v/>
      </c>
      <c r="S2" t="str">
        <f>""</f>
        <v/>
      </c>
      <c r="T2" t="str">
        <f>""</f>
        <v/>
      </c>
      <c r="U2" t="str">
        <f>""</f>
        <v/>
      </c>
      <c r="V2" t="str">
        <f>""</f>
        <v/>
      </c>
      <c r="W2" t="str">
        <f>""</f>
        <v/>
      </c>
      <c r="X2" t="str">
        <f>""</f>
        <v/>
      </c>
      <c r="Y2" t="str">
        <f>""</f>
        <v/>
      </c>
      <c r="Z2" t="str">
        <f>""</f>
        <v/>
      </c>
      <c r="AA2" t="str">
        <f>""</f>
        <v/>
      </c>
      <c r="AB2" t="str">
        <f>""</f>
        <v/>
      </c>
      <c r="AC2" t="str">
        <f>""</f>
        <v/>
      </c>
    </row>
    <row r="3" spans="1:29" ht="15">
      <c r="A3" t="s">
        <v>9</v>
      </c>
      <c r="B3" t="s">
        <v>6</v>
      </c>
      <c r="D3" s="2" t="s">
        <v>160</v>
      </c>
      <c r="E3" s="3">
        <v>30</v>
      </c>
      <c r="F3">
        <f>E3*1.02</f>
        <v>30.6</v>
      </c>
      <c r="G3">
        <f t="shared" si="1"/>
        <v>31.212000000000003</v>
      </c>
      <c r="H3">
        <f t="shared" si="1"/>
        <v>31.836240000000004</v>
      </c>
      <c r="I3">
        <f t="shared" si="2"/>
        <v>32.472964800000007</v>
      </c>
      <c r="J3" t="str">
        <f>""</f>
        <v/>
      </c>
      <c r="K3" t="str">
        <f>""</f>
        <v/>
      </c>
      <c r="L3" t="str">
        <f>""</f>
        <v/>
      </c>
      <c r="M3" t="str">
        <f>""</f>
        <v/>
      </c>
      <c r="N3" t="str">
        <f>""</f>
        <v/>
      </c>
      <c r="O3" t="str">
        <f>""</f>
        <v/>
      </c>
      <c r="P3" s="3">
        <v>159.1</v>
      </c>
      <c r="Q3" t="str">
        <f>""</f>
        <v/>
      </c>
      <c r="R3" t="str">
        <f>""</f>
        <v/>
      </c>
      <c r="S3" t="str">
        <f>""</f>
        <v/>
      </c>
      <c r="T3" t="str">
        <f>""</f>
        <v/>
      </c>
      <c r="U3" t="str">
        <f>""</f>
        <v/>
      </c>
      <c r="V3" t="str">
        <f>""</f>
        <v/>
      </c>
      <c r="W3" t="str">
        <f>""</f>
        <v/>
      </c>
      <c r="X3" t="str">
        <f>""</f>
        <v/>
      </c>
      <c r="Y3" t="str">
        <f>""</f>
        <v/>
      </c>
      <c r="Z3" t="str">
        <f>""</f>
        <v/>
      </c>
      <c r="AA3" t="str">
        <f>""</f>
        <v/>
      </c>
      <c r="AB3" t="str">
        <f>""</f>
        <v/>
      </c>
    </row>
    <row r="4" spans="1:29" ht="15">
      <c r="A4" t="s">
        <v>164</v>
      </c>
      <c r="B4" t="s">
        <v>6</v>
      </c>
      <c r="D4" s="2" t="s">
        <v>160</v>
      </c>
      <c r="E4" s="3">
        <f>INDEX(Inflation!$O$2:$O$43,MATCH(E$1,Inflation!$A$2:$A$43,0))</f>
        <v>30</v>
      </c>
      <c r="F4">
        <f>INDEX(Inflation!$O$2:$O$43,MATCH(F$1,Inflation!$A$2:$A$43,0))</f>
        <v>30.6</v>
      </c>
      <c r="G4">
        <f>INDEX(Inflation!$O$2:$O$43,MATCH(G$1,Inflation!$A$2:$A$43,0))</f>
        <v>31.212000000000003</v>
      </c>
      <c r="H4">
        <f>INDEX(Inflation!$O$2:$O$43,MATCH(H$1,Inflation!$A$2:$A$43,0))</f>
        <v>31.836240000000004</v>
      </c>
      <c r="I4">
        <f>INDEX(Inflation!$O$2:$O$43,MATCH(I$1,Inflation!$A$2:$A$43,0))</f>
        <v>59.987158725823974</v>
      </c>
      <c r="J4">
        <f>INDEX(Inflation!$O$2:$O$43,MATCH(J$1,Inflation!$A$2:$A$43,0))</f>
        <v>88.138077451651043</v>
      </c>
      <c r="K4">
        <f>INDEX(Inflation!$O$2:$O$43,MATCH(K$1,Inflation!$A$2:$A$43,0))</f>
        <v>116.28899617747811</v>
      </c>
      <c r="L4" s="3">
        <f>INDEX(Inflation!$O$2:$O$43,MATCH(L$1,Inflation!$A$2:$A$43,0))</f>
        <v>144.43991490330518</v>
      </c>
      <c r="M4">
        <f>INDEX(Inflation!$O$2:$O$43,MATCH(M$1,Inflation!$A$2:$A$43,0))</f>
        <v>199.99372832765857</v>
      </c>
      <c r="N4">
        <f>INDEX(Inflation!$O$2:$O$43,MATCH(N$1,Inflation!$A$2:$A$43,0))</f>
        <v>263.8806137656606</v>
      </c>
      <c r="O4">
        <f>INDEX(Inflation!$O$2:$O$43,MATCH(O$1,Inflation!$A$2:$A$43,0))</f>
        <v>336.10057121731506</v>
      </c>
      <c r="P4" s="3">
        <f>INDEX(Inflation!$O$2:$O$43,MATCH(P$1,Inflation!$A$2:$A$43,0))</f>
        <v>416.65360068262203</v>
      </c>
      <c r="Q4">
        <f>INDEX(Inflation!$O$2:$O$43,MATCH(Q$1,Inflation!$A$2:$A$43,0))</f>
        <v>476.1755436372822</v>
      </c>
      <c r="R4">
        <f>INDEX(Inflation!$O$2:$O$43,MATCH(R$1,Inflation!$A$2:$A$43,0))</f>
        <v>535.69748659194261</v>
      </c>
      <c r="S4">
        <f>INDEX(Inflation!$O$2:$O$43,MATCH(S$1,Inflation!$A$2:$A$43,0))</f>
        <v>595.21942954660278</v>
      </c>
      <c r="T4">
        <f>INDEX(Inflation!$O$2:$O$43,MATCH(T$1,Inflation!$A$2:$A$43,0))</f>
        <v>654.74137250126307</v>
      </c>
      <c r="U4">
        <f>INDEX(Inflation!$O$2:$O$43,MATCH(U$1,Inflation!$A$2:$A$43,0))</f>
        <v>714.26331545592336</v>
      </c>
      <c r="V4">
        <f>INDEX(Inflation!$O$2:$O$43,MATCH(V$1,Inflation!$A$2:$A$43,0))</f>
        <v>773.78525841058365</v>
      </c>
      <c r="W4">
        <f>INDEX(Inflation!$O$2:$O$43,MATCH(W$1,Inflation!$A$2:$A$43,0))</f>
        <v>833.30720136524394</v>
      </c>
      <c r="X4">
        <f>INDEX(Inflation!$O$2:$O$43,MATCH(X$1,Inflation!$A$2:$A$43,0))</f>
        <v>892.82914431990423</v>
      </c>
      <c r="Y4">
        <f>INDEX(Inflation!$O$2:$O$43,MATCH(Y$1,Inflation!$A$2:$A$43,0))</f>
        <v>952.35108727456441</v>
      </c>
      <c r="Z4">
        <f>INDEX(Inflation!$O$2:$O$43,MATCH(Z$1,Inflation!$A$2:$A$43,0))</f>
        <v>1011.8730302292249</v>
      </c>
      <c r="AA4">
        <f>INDEX(Inflation!$O$2:$O$43,MATCH(AA$1,Inflation!$A$2:$A$43,0))</f>
        <v>1309.4827450025268</v>
      </c>
      <c r="AB4">
        <f>INDEX(Inflation!$O$2:$O$43,MATCH(AB$1,Inflation!$A$2:$A$43,0))</f>
        <v>1607.0924597758287</v>
      </c>
      <c r="AC4" s="3">
        <f>INDEX(Inflation!$O$2:$O$43,MATCH(AC$1,Inflation!$A$2:$A$43,0))</f>
        <v>1666.6144027304881</v>
      </c>
    </row>
    <row r="7" spans="1:29" ht="15">
      <c r="B7" t="s">
        <v>10</v>
      </c>
      <c r="E7" s="3" t="s">
        <v>164</v>
      </c>
      <c r="F7">
        <f>MATCH(E7,A2:A4,0)</f>
        <v>3</v>
      </c>
    </row>
    <row r="8" spans="1:29">
      <c r="E8">
        <v>2019</v>
      </c>
      <c r="F8">
        <f>E8+1</f>
        <v>2020</v>
      </c>
      <c r="G8">
        <f t="shared" ref="G8:Z8" si="3">F8+1</f>
        <v>2021</v>
      </c>
      <c r="H8">
        <f t="shared" si="3"/>
        <v>2022</v>
      </c>
      <c r="I8">
        <f t="shared" si="3"/>
        <v>2023</v>
      </c>
      <c r="J8">
        <f t="shared" si="3"/>
        <v>2024</v>
      </c>
      <c r="K8">
        <f t="shared" si="3"/>
        <v>2025</v>
      </c>
      <c r="L8">
        <f t="shared" si="3"/>
        <v>2026</v>
      </c>
      <c r="M8">
        <f t="shared" si="3"/>
        <v>2027</v>
      </c>
      <c r="N8">
        <f t="shared" si="3"/>
        <v>2028</v>
      </c>
      <c r="O8">
        <f t="shared" si="3"/>
        <v>2029</v>
      </c>
      <c r="P8">
        <f t="shared" si="3"/>
        <v>2030</v>
      </c>
      <c r="Q8">
        <f t="shared" si="3"/>
        <v>2031</v>
      </c>
      <c r="R8">
        <f t="shared" si="3"/>
        <v>2032</v>
      </c>
      <c r="S8">
        <f t="shared" si="3"/>
        <v>2033</v>
      </c>
      <c r="T8">
        <f t="shared" si="3"/>
        <v>2034</v>
      </c>
      <c r="U8">
        <f t="shared" si="3"/>
        <v>2035</v>
      </c>
      <c r="V8">
        <f>U8+1</f>
        <v>2036</v>
      </c>
      <c r="W8">
        <f t="shared" si="3"/>
        <v>2037</v>
      </c>
      <c r="X8">
        <f t="shared" si="3"/>
        <v>2038</v>
      </c>
      <c r="Y8">
        <f t="shared" si="3"/>
        <v>2039</v>
      </c>
      <c r="Z8">
        <f t="shared" si="3"/>
        <v>2040</v>
      </c>
      <c r="AA8">
        <v>2045</v>
      </c>
      <c r="AB8">
        <v>2050</v>
      </c>
      <c r="AC8">
        <v>2055</v>
      </c>
    </row>
    <row r="9" spans="1:29">
      <c r="D9" t="s">
        <v>7</v>
      </c>
      <c r="E9" cm="1">
        <f t="array" ref="E9">INDEX(E$2:E$4,$F$7)</f>
        <v>30</v>
      </c>
      <c r="F9" cm="1">
        <f t="array" ref="F9">INDEX(F$2:F$4,$F$7)</f>
        <v>30.6</v>
      </c>
      <c r="G9" cm="1">
        <f t="array" ref="G9">INDEX(G$2:G$4,$F$7)</f>
        <v>31.212000000000003</v>
      </c>
      <c r="H9" cm="1">
        <f t="array" ref="H9">INDEX(H$2:H$4,$F$7)</f>
        <v>31.836240000000004</v>
      </c>
      <c r="I9" cm="1">
        <f t="array" ref="I9">INDEX(I$2:I$4,$F$7)</f>
        <v>59.987158725823974</v>
      </c>
      <c r="J9" cm="1">
        <f t="array" ref="J9">INDEX(J$2:J$4,$F$7)</f>
        <v>88.138077451651043</v>
      </c>
      <c r="K9" cm="1">
        <f t="array" ref="K9">INDEX(K$2:K$4,$F$7)</f>
        <v>116.28899617747811</v>
      </c>
      <c r="L9" cm="1">
        <f t="array" ref="L9">INDEX(L$2:L$4,$F$7)</f>
        <v>144.43991490330518</v>
      </c>
      <c r="M9" cm="1">
        <f t="array" ref="M9">INDEX(M$2:M$4,$F$7)</f>
        <v>199.99372832765857</v>
      </c>
      <c r="N9" cm="1">
        <f t="array" ref="N9">INDEX(N$2:N$4,$F$7)</f>
        <v>263.8806137656606</v>
      </c>
      <c r="O9" cm="1">
        <f t="array" ref="O9">INDEX(O$2:O$4,$F$7)</f>
        <v>336.10057121731506</v>
      </c>
      <c r="P9" cm="1">
        <f t="array" ref="P9">INDEX(P$2:P$4,$F$7)</f>
        <v>416.65360068262203</v>
      </c>
      <c r="Q9" cm="1">
        <f t="array" ref="Q9">INDEX(Q$2:Q$4,$F$7)</f>
        <v>476.1755436372822</v>
      </c>
      <c r="R9" cm="1">
        <f t="array" ref="R9">INDEX(R$2:R$4,$F$7)</f>
        <v>535.69748659194261</v>
      </c>
      <c r="S9" cm="1">
        <f t="array" ref="S9">INDEX(S$2:S$4,$F$7)</f>
        <v>595.21942954660278</v>
      </c>
      <c r="T9" cm="1">
        <f t="array" ref="T9">INDEX(T$2:T$4,$F$7)</f>
        <v>654.74137250126307</v>
      </c>
      <c r="U9" cm="1">
        <f t="array" ref="U9">INDEX(U$2:U$4,$F$7)</f>
        <v>714.26331545592336</v>
      </c>
      <c r="V9" cm="1">
        <f t="array" ref="V9">INDEX(V$2:V$4,$F$7)</f>
        <v>773.78525841058365</v>
      </c>
      <c r="W9" cm="1">
        <f t="array" ref="W9">INDEX(W$2:W$4,$F$7)</f>
        <v>833.30720136524394</v>
      </c>
      <c r="X9" cm="1">
        <f t="array" ref="X9">INDEX(X$2:X$4,$F$7)</f>
        <v>892.82914431990423</v>
      </c>
      <c r="Y9" cm="1">
        <f t="array" ref="Y9">INDEX(Y$2:Y$4,$F$7)</f>
        <v>952.35108727456441</v>
      </c>
      <c r="Z9" cm="1">
        <f t="array" ref="Z9">INDEX(Z$2:Z$4,$F$7)</f>
        <v>1011.8730302292249</v>
      </c>
      <c r="AA9" cm="1">
        <f t="array" ref="AA9">INDEX(AA$2:AA$4,$F$7)</f>
        <v>1309.4827450025268</v>
      </c>
      <c r="AB9" cm="1">
        <f t="array" ref="AB9">INDEX(AB$2:AB$4,$F$7)</f>
        <v>1607.0924597758287</v>
      </c>
      <c r="AC9" cm="1">
        <f t="array" ref="AC9">INDEX(AC$2:AC$4,$F$7)</f>
        <v>1666.6144027304881</v>
      </c>
    </row>
    <row r="10" spans="1:29">
      <c r="B10" t="s">
        <v>12</v>
      </c>
      <c r="C10">
        <v>1.1524982174688057</v>
      </c>
      <c r="D10" t="s">
        <v>165</v>
      </c>
      <c r="E10">
        <f>IF(E9="","",E9*$C10/1000)</f>
        <v>3.4574946524064169E-2</v>
      </c>
      <c r="F10">
        <f t="shared" ref="F10:AB10" si="4">IF(F9="","",F9*$C10/1000)</f>
        <v>3.5266445454545457E-2</v>
      </c>
      <c r="G10">
        <f t="shared" si="4"/>
        <v>3.5971774363636362E-2</v>
      </c>
      <c r="H10">
        <f t="shared" si="4"/>
        <v>3.6691209850909096E-2</v>
      </c>
      <c r="I10">
        <f t="shared" si="4"/>
        <v>6.9135093502530442E-2</v>
      </c>
      <c r="J10">
        <f t="shared" si="4"/>
        <v>0.10157897715415536</v>
      </c>
      <c r="K10">
        <f t="shared" si="4"/>
        <v>0.13402286080578027</v>
      </c>
      <c r="L10">
        <f t="shared" si="4"/>
        <v>0.1664667444574052</v>
      </c>
      <c r="M10">
        <f t="shared" si="4"/>
        <v>0.23049241540256707</v>
      </c>
      <c r="N10">
        <f t="shared" si="4"/>
        <v>0.30412193698949824</v>
      </c>
      <c r="O10">
        <f t="shared" si="4"/>
        <v>0.38735530921820299</v>
      </c>
      <c r="P10">
        <f t="shared" si="4"/>
        <v>0.48019253208868146</v>
      </c>
      <c r="Q10">
        <f t="shared" si="4"/>
        <v>0.54879146524420719</v>
      </c>
      <c r="R10">
        <f t="shared" si="4"/>
        <v>0.61739039839973331</v>
      </c>
      <c r="S10">
        <f t="shared" si="4"/>
        <v>0.68598933155525899</v>
      </c>
      <c r="T10">
        <f t="shared" si="4"/>
        <v>0.75458826471078499</v>
      </c>
      <c r="U10">
        <f t="shared" si="4"/>
        <v>0.82318719786631089</v>
      </c>
      <c r="V10">
        <f t="shared" si="4"/>
        <v>0.89178613102183679</v>
      </c>
      <c r="W10">
        <f t="shared" si="4"/>
        <v>0.9603850641773628</v>
      </c>
      <c r="X10">
        <f t="shared" si="4"/>
        <v>1.0289839973328887</v>
      </c>
      <c r="Y10">
        <f t="shared" si="4"/>
        <v>1.0975829304884144</v>
      </c>
      <c r="Z10">
        <f t="shared" si="4"/>
        <v>1.1661818636439407</v>
      </c>
      <c r="AA10">
        <f t="shared" si="4"/>
        <v>1.5091765294215707</v>
      </c>
      <c r="AB10">
        <f t="shared" si="4"/>
        <v>1.8521711951992008</v>
      </c>
      <c r="AC10">
        <f t="shared" ref="AC10" si="5">IF(AC9="","",AC9*$C10/1000)</f>
        <v>1.9207701283547258</v>
      </c>
    </row>
    <row r="11" spans="1:29">
      <c r="B11" t="s">
        <v>13</v>
      </c>
      <c r="C11">
        <v>0.69899999999999995</v>
      </c>
      <c r="D11" t="s">
        <v>11</v>
      </c>
      <c r="E11">
        <f>IF(E10="","",E10*$C11)</f>
        <v>2.4167887620320853E-2</v>
      </c>
      <c r="F11">
        <f t="shared" ref="F11" si="6">IF(F10="","",F10*$C11)</f>
        <v>2.4651245372727271E-2</v>
      </c>
      <c r="G11">
        <f t="shared" ref="G11" si="7">IF(G10="","",G10*$C11)</f>
        <v>2.5144270280181815E-2</v>
      </c>
      <c r="H11">
        <f t="shared" ref="H11" si="8">IF(H10="","",H10*$C11)</f>
        <v>2.5647155685785458E-2</v>
      </c>
      <c r="I11">
        <f t="shared" ref="I11" si="9">IF(I10="","",I10*$C11)</f>
        <v>4.8325430358268778E-2</v>
      </c>
      <c r="J11">
        <f t="shared" ref="J11" si="10">IF(J10="","",J10*$C11)</f>
        <v>7.1003705030754594E-2</v>
      </c>
      <c r="K11">
        <f t="shared" ref="K11" si="11">IF(K10="","",K10*$C11)</f>
        <v>9.3681979703240409E-2</v>
      </c>
      <c r="L11">
        <f t="shared" ref="L11" si="12">IF(L10="","",L10*$C11)</f>
        <v>0.11636025437572622</v>
      </c>
      <c r="M11">
        <f t="shared" ref="M11" si="13">IF(M10="","",M10*$C11)</f>
        <v>0.16111419836639437</v>
      </c>
      <c r="N11">
        <f t="shared" ref="N11" si="14">IF(N10="","",N10*$C11)</f>
        <v>0.21258123395565925</v>
      </c>
      <c r="O11">
        <f t="shared" ref="O11" si="15">IF(O10="","",O10*$C11)</f>
        <v>0.27076136114352389</v>
      </c>
      <c r="P11">
        <f t="shared" ref="P11" si="16">IF(P10="","",P10*$C11)</f>
        <v>0.33565457992998832</v>
      </c>
      <c r="Q11">
        <f t="shared" ref="Q11" si="17">IF(Q10="","",Q10*$C11)</f>
        <v>0.38360523420570081</v>
      </c>
      <c r="R11">
        <f t="shared" ref="R11" si="18">IF(R10="","",R10*$C11)</f>
        <v>0.43155588848141357</v>
      </c>
      <c r="S11">
        <f t="shared" ref="S11" si="19">IF(S10="","",S10*$C11)</f>
        <v>0.47950654275712601</v>
      </c>
      <c r="T11">
        <f t="shared" ref="T11" si="20">IF(T10="","",T10*$C11)</f>
        <v>0.52745719703283866</v>
      </c>
      <c r="U11">
        <f t="shared" ref="U11" si="21">IF(U10="","",U10*$C11)</f>
        <v>0.57540785130855132</v>
      </c>
      <c r="V11">
        <f t="shared" ref="V11" si="22">IF(V10="","",V10*$C11)</f>
        <v>0.62335850558426387</v>
      </c>
      <c r="W11">
        <f t="shared" ref="W11" si="23">IF(W10="","",W10*$C11)</f>
        <v>0.67130915985997652</v>
      </c>
      <c r="X11">
        <f t="shared" ref="X11" si="24">IF(X10="","",X10*$C11)</f>
        <v>0.71925981413568918</v>
      </c>
      <c r="Y11">
        <f t="shared" ref="Y11" si="25">IF(Y10="","",Y10*$C11)</f>
        <v>0.76721046841140161</v>
      </c>
      <c r="Z11">
        <f t="shared" ref="Z11" si="26">IF(Z10="","",Z10*$C11)</f>
        <v>0.81516112268711449</v>
      </c>
      <c r="AA11">
        <f t="shared" ref="AA11" si="27">IF(AA10="","",AA10*$C11)</f>
        <v>1.0549143940656778</v>
      </c>
      <c r="AB11">
        <f t="shared" ref="AB11:AC11" si="28">IF(AB10="","",AB10*$C11)</f>
        <v>1.2946676654442413</v>
      </c>
      <c r="AC11">
        <f t="shared" si="28"/>
        <v>1.3426183197199533</v>
      </c>
    </row>
  </sheetData>
  <dataValidations count="1">
    <dataValidation type="list" allowBlank="1" showInputMessage="1" showErrorMessage="1" sqref="E7" xr:uid="{C93A3F20-BE22-4C0B-9CB2-091F6C27B087}">
      <formula1>$A$2:$A$4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6FFC4-2971-4AAA-B927-40CBF915AC84}">
  <sheetPr>
    <tabColor theme="4"/>
  </sheetPr>
  <dimension ref="A1:H77"/>
  <sheetViews>
    <sheetView workbookViewId="0">
      <selection activeCell="E7" sqref="E7:G7"/>
    </sheetView>
  </sheetViews>
  <sheetFormatPr defaultRowHeight="12.75"/>
  <cols>
    <col min="3" max="3" width="16.28515625" bestFit="1" customWidth="1"/>
    <col min="4" max="4" width="39.42578125" bestFit="1" customWidth="1"/>
    <col min="5" max="5" width="10.140625" bestFit="1" customWidth="1"/>
    <col min="6" max="6" width="10.140625" customWidth="1"/>
    <col min="7" max="7" width="19.5703125" bestFit="1" customWidth="1"/>
  </cols>
  <sheetData>
    <row r="1" spans="1:8">
      <c r="A1" t="s">
        <v>3</v>
      </c>
      <c r="B1" t="s">
        <v>0</v>
      </c>
    </row>
    <row r="6" spans="1:8" ht="15.75" thickBot="1">
      <c r="C6" s="35" t="s">
        <v>214</v>
      </c>
    </row>
    <row r="7" spans="1:8" ht="15">
      <c r="C7" s="37" t="s">
        <v>215</v>
      </c>
      <c r="D7" s="37" t="s">
        <v>216</v>
      </c>
      <c r="E7" s="37" t="s">
        <v>217</v>
      </c>
      <c r="F7" s="37" t="s">
        <v>218</v>
      </c>
      <c r="G7" s="37" t="s">
        <v>219</v>
      </c>
      <c r="H7" s="37" t="s">
        <v>220</v>
      </c>
    </row>
    <row r="8" spans="1:8">
      <c r="B8" s="4"/>
      <c r="C8" t="s">
        <v>155</v>
      </c>
      <c r="D8" t="s">
        <v>156</v>
      </c>
      <c r="E8" s="4" t="s">
        <v>15</v>
      </c>
      <c r="F8" s="4" t="s">
        <v>221</v>
      </c>
      <c r="G8" s="36" t="s">
        <v>2</v>
      </c>
      <c r="H8" s="4" t="s">
        <v>16</v>
      </c>
    </row>
    <row r="9" spans="1:8">
      <c r="B9" s="4"/>
      <c r="C9" t="s">
        <v>21</v>
      </c>
      <c r="D9" t="s">
        <v>22</v>
      </c>
      <c r="E9" s="4" t="s">
        <v>15</v>
      </c>
      <c r="F9" s="4" t="s">
        <v>221</v>
      </c>
      <c r="G9" s="36" t="s">
        <v>2</v>
      </c>
      <c r="H9" s="4" t="s">
        <v>16</v>
      </c>
    </row>
    <row r="10" spans="1:8">
      <c r="B10" s="4"/>
      <c r="C10" t="s">
        <v>23</v>
      </c>
      <c r="D10" t="s">
        <v>24</v>
      </c>
      <c r="E10" s="4" t="s">
        <v>15</v>
      </c>
      <c r="F10" s="4" t="s">
        <v>221</v>
      </c>
      <c r="G10" s="36" t="s">
        <v>2</v>
      </c>
      <c r="H10" s="4" t="s">
        <v>16</v>
      </c>
    </row>
    <row r="11" spans="1:8">
      <c r="B11" s="4"/>
      <c r="C11" t="s">
        <v>25</v>
      </c>
      <c r="D11" t="s">
        <v>26</v>
      </c>
      <c r="E11" s="4" t="s">
        <v>15</v>
      </c>
      <c r="F11" s="4" t="s">
        <v>221</v>
      </c>
      <c r="G11" s="36" t="s">
        <v>2</v>
      </c>
      <c r="H11" s="4" t="s">
        <v>16</v>
      </c>
    </row>
    <row r="12" spans="1:8">
      <c r="B12" s="4"/>
      <c r="C12" t="s">
        <v>18</v>
      </c>
      <c r="D12" t="s">
        <v>17</v>
      </c>
      <c r="E12" s="4" t="s">
        <v>15</v>
      </c>
      <c r="F12" s="4" t="s">
        <v>221</v>
      </c>
      <c r="G12" s="36" t="s">
        <v>2</v>
      </c>
      <c r="H12" s="4" t="s">
        <v>16</v>
      </c>
    </row>
    <row r="13" spans="1:8">
      <c r="B13" s="4"/>
      <c r="C13" t="s">
        <v>20</v>
      </c>
      <c r="D13" t="s">
        <v>14</v>
      </c>
      <c r="E13" s="4" t="s">
        <v>15</v>
      </c>
      <c r="F13" s="4" t="s">
        <v>221</v>
      </c>
      <c r="G13" s="36" t="s">
        <v>2</v>
      </c>
      <c r="H13" s="4" t="s">
        <v>16</v>
      </c>
    </row>
    <row r="14" spans="1:8">
      <c r="B14" s="4"/>
      <c r="C14" t="s">
        <v>27</v>
      </c>
      <c r="D14" t="s">
        <v>28</v>
      </c>
      <c r="E14" s="4" t="s">
        <v>15</v>
      </c>
      <c r="F14" s="4" t="s">
        <v>221</v>
      </c>
      <c r="G14" s="36" t="s">
        <v>2</v>
      </c>
      <c r="H14" s="4" t="s">
        <v>16</v>
      </c>
    </row>
    <row r="15" spans="1:8">
      <c r="B15" s="4"/>
      <c r="C15" t="s">
        <v>29</v>
      </c>
      <c r="D15" t="s">
        <v>30</v>
      </c>
      <c r="E15" s="4" t="s">
        <v>15</v>
      </c>
      <c r="F15" s="4" t="s">
        <v>221</v>
      </c>
      <c r="G15" s="36" t="s">
        <v>2</v>
      </c>
      <c r="H15" s="4" t="s">
        <v>16</v>
      </c>
    </row>
    <row r="16" spans="1:8">
      <c r="B16" s="4"/>
      <c r="C16" t="s">
        <v>31</v>
      </c>
      <c r="D16" t="s">
        <v>32</v>
      </c>
      <c r="E16" s="4" t="s">
        <v>15</v>
      </c>
      <c r="F16" s="4" t="s">
        <v>221</v>
      </c>
      <c r="G16" s="36" t="s">
        <v>2</v>
      </c>
      <c r="H16" s="4" t="s">
        <v>16</v>
      </c>
    </row>
    <row r="17" spans="2:8">
      <c r="B17" s="4"/>
      <c r="C17" t="s">
        <v>33</v>
      </c>
      <c r="D17" t="s">
        <v>34</v>
      </c>
      <c r="E17" s="4" t="s">
        <v>15</v>
      </c>
      <c r="F17" s="4" t="s">
        <v>221</v>
      </c>
      <c r="G17" s="36" t="s">
        <v>2</v>
      </c>
      <c r="H17" s="4" t="s">
        <v>16</v>
      </c>
    </row>
    <row r="18" spans="2:8">
      <c r="B18" s="4"/>
      <c r="C18" t="s">
        <v>35</v>
      </c>
      <c r="D18" t="s">
        <v>36</v>
      </c>
      <c r="E18" s="4" t="s">
        <v>15</v>
      </c>
      <c r="F18" s="4" t="s">
        <v>221</v>
      </c>
      <c r="G18" s="36" t="s">
        <v>2</v>
      </c>
      <c r="H18" s="4" t="s">
        <v>16</v>
      </c>
    </row>
    <row r="19" spans="2:8">
      <c r="B19" s="4"/>
      <c r="C19" t="s">
        <v>37</v>
      </c>
      <c r="D19" t="s">
        <v>38</v>
      </c>
      <c r="E19" s="4" t="s">
        <v>15</v>
      </c>
      <c r="F19" s="4" t="s">
        <v>221</v>
      </c>
      <c r="G19" s="36" t="s">
        <v>2</v>
      </c>
      <c r="H19" s="4" t="s">
        <v>16</v>
      </c>
    </row>
    <row r="20" spans="2:8">
      <c r="B20" s="4"/>
      <c r="C20" t="s">
        <v>39</v>
      </c>
      <c r="D20" t="s">
        <v>40</v>
      </c>
      <c r="E20" s="4" t="s">
        <v>15</v>
      </c>
      <c r="F20" s="4" t="s">
        <v>221</v>
      </c>
      <c r="G20" s="36" t="s">
        <v>2</v>
      </c>
      <c r="H20" s="4" t="s">
        <v>16</v>
      </c>
    </row>
    <row r="21" spans="2:8">
      <c r="B21" s="4"/>
      <c r="C21" t="s">
        <v>41</v>
      </c>
      <c r="D21" t="s">
        <v>42</v>
      </c>
      <c r="E21" s="4" t="s">
        <v>15</v>
      </c>
      <c r="F21" s="4" t="s">
        <v>221</v>
      </c>
      <c r="G21" s="36" t="s">
        <v>2</v>
      </c>
      <c r="H21" s="4" t="s">
        <v>16</v>
      </c>
    </row>
    <row r="22" spans="2:8">
      <c r="B22" s="4"/>
      <c r="C22" t="s">
        <v>43</v>
      </c>
      <c r="D22" t="s">
        <v>44</v>
      </c>
      <c r="E22" s="4" t="s">
        <v>15</v>
      </c>
      <c r="F22" s="4" t="s">
        <v>221</v>
      </c>
      <c r="G22" s="36" t="s">
        <v>2</v>
      </c>
      <c r="H22" s="4" t="s">
        <v>16</v>
      </c>
    </row>
    <row r="23" spans="2:8">
      <c r="B23" s="4"/>
      <c r="C23" t="s">
        <v>45</v>
      </c>
      <c r="D23" t="s">
        <v>46</v>
      </c>
      <c r="E23" s="4" t="s">
        <v>15</v>
      </c>
      <c r="F23" s="4" t="s">
        <v>221</v>
      </c>
      <c r="G23" s="36" t="s">
        <v>2</v>
      </c>
      <c r="H23" s="4" t="s">
        <v>16</v>
      </c>
    </row>
    <row r="24" spans="2:8">
      <c r="B24" s="4"/>
      <c r="C24" t="s">
        <v>47</v>
      </c>
      <c r="D24" t="s">
        <v>48</v>
      </c>
      <c r="E24" s="4" t="s">
        <v>15</v>
      </c>
      <c r="F24" s="4" t="s">
        <v>221</v>
      </c>
      <c r="G24" s="36" t="s">
        <v>2</v>
      </c>
      <c r="H24" s="4" t="s">
        <v>16</v>
      </c>
    </row>
    <row r="25" spans="2:8">
      <c r="B25" s="4"/>
      <c r="C25" t="s">
        <v>49</v>
      </c>
      <c r="D25" t="s">
        <v>50</v>
      </c>
      <c r="E25" s="4" t="s">
        <v>15</v>
      </c>
      <c r="F25" s="4" t="s">
        <v>221</v>
      </c>
      <c r="G25" s="36" t="s">
        <v>2</v>
      </c>
      <c r="H25" s="4" t="s">
        <v>16</v>
      </c>
    </row>
    <row r="26" spans="2:8">
      <c r="B26" s="4"/>
      <c r="C26" t="s">
        <v>51</v>
      </c>
      <c r="D26" t="s">
        <v>52</v>
      </c>
      <c r="E26" s="4" t="s">
        <v>15</v>
      </c>
      <c r="F26" s="4" t="s">
        <v>221</v>
      </c>
      <c r="G26" s="36" t="s">
        <v>2</v>
      </c>
      <c r="H26" s="4" t="s">
        <v>16</v>
      </c>
    </row>
    <row r="27" spans="2:8">
      <c r="B27" s="4"/>
      <c r="C27" t="s">
        <v>53</v>
      </c>
      <c r="D27" t="s">
        <v>54</v>
      </c>
      <c r="E27" s="4" t="s">
        <v>15</v>
      </c>
      <c r="F27" s="4" t="s">
        <v>221</v>
      </c>
      <c r="G27" s="36" t="s">
        <v>2</v>
      </c>
      <c r="H27" s="4" t="s">
        <v>16</v>
      </c>
    </row>
    <row r="28" spans="2:8">
      <c r="B28" s="4"/>
      <c r="C28" t="s">
        <v>55</v>
      </c>
      <c r="D28" t="s">
        <v>56</v>
      </c>
      <c r="E28" s="4" t="s">
        <v>15</v>
      </c>
      <c r="F28" s="4" t="s">
        <v>221</v>
      </c>
      <c r="G28" s="36" t="s">
        <v>2</v>
      </c>
      <c r="H28" s="4" t="s">
        <v>16</v>
      </c>
    </row>
    <row r="29" spans="2:8">
      <c r="B29" s="4"/>
      <c r="C29" t="s">
        <v>57</v>
      </c>
      <c r="D29" t="s">
        <v>58</v>
      </c>
      <c r="E29" s="4" t="s">
        <v>15</v>
      </c>
      <c r="F29" s="4" t="s">
        <v>221</v>
      </c>
      <c r="G29" s="36" t="s">
        <v>2</v>
      </c>
      <c r="H29" s="4" t="s">
        <v>16</v>
      </c>
    </row>
    <row r="30" spans="2:8">
      <c r="B30" s="4"/>
      <c r="C30" t="s">
        <v>59</v>
      </c>
      <c r="D30" t="s">
        <v>60</v>
      </c>
      <c r="E30" s="4" t="s">
        <v>15</v>
      </c>
      <c r="F30" s="4" t="s">
        <v>221</v>
      </c>
      <c r="G30" s="36" t="s">
        <v>2</v>
      </c>
      <c r="H30" s="4" t="s">
        <v>16</v>
      </c>
    </row>
    <row r="31" spans="2:8">
      <c r="B31" s="4"/>
      <c r="C31" t="s">
        <v>61</v>
      </c>
      <c r="D31" t="s">
        <v>62</v>
      </c>
      <c r="E31" s="4" t="s">
        <v>15</v>
      </c>
      <c r="F31" s="4" t="s">
        <v>221</v>
      </c>
      <c r="G31" s="36" t="s">
        <v>2</v>
      </c>
      <c r="H31" s="4" t="s">
        <v>16</v>
      </c>
    </row>
    <row r="32" spans="2:8">
      <c r="B32" s="4"/>
      <c r="C32" t="s">
        <v>63</v>
      </c>
      <c r="D32" t="s">
        <v>64</v>
      </c>
      <c r="E32" s="4" t="s">
        <v>15</v>
      </c>
      <c r="F32" s="4" t="s">
        <v>221</v>
      </c>
      <c r="G32" s="36" t="s">
        <v>2</v>
      </c>
      <c r="H32" s="4" t="s">
        <v>16</v>
      </c>
    </row>
    <row r="33" spans="2:8">
      <c r="B33" s="4"/>
      <c r="C33" t="s">
        <v>65</v>
      </c>
      <c r="D33" t="s">
        <v>66</v>
      </c>
      <c r="E33" s="4" t="s">
        <v>15</v>
      </c>
      <c r="F33" s="4" t="s">
        <v>221</v>
      </c>
      <c r="G33" s="36" t="s">
        <v>2</v>
      </c>
      <c r="H33" s="4" t="s">
        <v>16</v>
      </c>
    </row>
    <row r="34" spans="2:8">
      <c r="B34" s="4"/>
      <c r="C34" t="s">
        <v>67</v>
      </c>
      <c r="D34" t="s">
        <v>68</v>
      </c>
      <c r="E34" s="4" t="s">
        <v>15</v>
      </c>
      <c r="F34" s="4" t="s">
        <v>221</v>
      </c>
      <c r="G34" s="36" t="s">
        <v>2</v>
      </c>
      <c r="H34" s="4" t="s">
        <v>16</v>
      </c>
    </row>
    <row r="35" spans="2:8">
      <c r="B35" s="4"/>
      <c r="C35" t="s">
        <v>69</v>
      </c>
      <c r="D35" t="s">
        <v>70</v>
      </c>
      <c r="E35" s="4" t="s">
        <v>15</v>
      </c>
      <c r="F35" s="4" t="s">
        <v>221</v>
      </c>
      <c r="G35" s="36" t="s">
        <v>2</v>
      </c>
      <c r="H35" s="4" t="s">
        <v>16</v>
      </c>
    </row>
    <row r="36" spans="2:8">
      <c r="B36" s="4"/>
      <c r="C36" t="s">
        <v>71</v>
      </c>
      <c r="D36" t="s">
        <v>72</v>
      </c>
      <c r="E36" s="4" t="s">
        <v>15</v>
      </c>
      <c r="F36" s="4" t="s">
        <v>221</v>
      </c>
      <c r="G36" s="36" t="s">
        <v>2</v>
      </c>
      <c r="H36" s="4" t="s">
        <v>16</v>
      </c>
    </row>
    <row r="37" spans="2:8">
      <c r="B37" s="4"/>
      <c r="C37" t="s">
        <v>73</v>
      </c>
      <c r="D37" t="s">
        <v>74</v>
      </c>
      <c r="E37" s="4" t="s">
        <v>15</v>
      </c>
      <c r="F37" s="4" t="s">
        <v>221</v>
      </c>
      <c r="G37" s="36" t="s">
        <v>2</v>
      </c>
      <c r="H37" s="4" t="s">
        <v>16</v>
      </c>
    </row>
    <row r="38" spans="2:8">
      <c r="B38" s="4"/>
      <c r="C38" t="s">
        <v>75</v>
      </c>
      <c r="D38" t="s">
        <v>76</v>
      </c>
      <c r="E38" s="4" t="s">
        <v>15</v>
      </c>
      <c r="F38" s="4" t="s">
        <v>221</v>
      </c>
      <c r="G38" s="36" t="s">
        <v>2</v>
      </c>
      <c r="H38" s="4" t="s">
        <v>16</v>
      </c>
    </row>
    <row r="39" spans="2:8">
      <c r="B39" s="4"/>
      <c r="C39" t="s">
        <v>77</v>
      </c>
      <c r="D39" t="s">
        <v>78</v>
      </c>
      <c r="E39" s="4" t="s">
        <v>15</v>
      </c>
      <c r="F39" s="4" t="s">
        <v>221</v>
      </c>
      <c r="G39" s="36" t="s">
        <v>2</v>
      </c>
      <c r="H39" s="4" t="s">
        <v>16</v>
      </c>
    </row>
    <row r="40" spans="2:8">
      <c r="B40" s="4"/>
      <c r="C40" t="s">
        <v>79</v>
      </c>
      <c r="D40" t="s">
        <v>80</v>
      </c>
      <c r="E40" s="4" t="s">
        <v>15</v>
      </c>
      <c r="F40" s="4" t="s">
        <v>221</v>
      </c>
      <c r="G40" s="36" t="s">
        <v>2</v>
      </c>
      <c r="H40" s="4" t="s">
        <v>16</v>
      </c>
    </row>
    <row r="41" spans="2:8">
      <c r="B41" s="4"/>
      <c r="C41" t="s">
        <v>81</v>
      </c>
      <c r="D41" t="s">
        <v>82</v>
      </c>
      <c r="E41" s="4" t="s">
        <v>15</v>
      </c>
      <c r="F41" s="4" t="s">
        <v>221</v>
      </c>
      <c r="G41" s="36" t="s">
        <v>2</v>
      </c>
      <c r="H41" s="4" t="s">
        <v>16</v>
      </c>
    </row>
    <row r="42" spans="2:8">
      <c r="B42" s="4"/>
      <c r="C42" t="s">
        <v>83</v>
      </c>
      <c r="D42" t="s">
        <v>84</v>
      </c>
      <c r="E42" s="4" t="s">
        <v>15</v>
      </c>
      <c r="F42" s="4" t="s">
        <v>221</v>
      </c>
      <c r="G42" s="36" t="s">
        <v>2</v>
      </c>
      <c r="H42" s="4" t="s">
        <v>16</v>
      </c>
    </row>
    <row r="43" spans="2:8">
      <c r="B43" s="4"/>
      <c r="C43" t="s">
        <v>85</v>
      </c>
      <c r="D43" t="s">
        <v>86</v>
      </c>
      <c r="E43" s="4" t="s">
        <v>15</v>
      </c>
      <c r="F43" s="4" t="s">
        <v>221</v>
      </c>
      <c r="G43" s="36" t="s">
        <v>2</v>
      </c>
      <c r="H43" s="4" t="s">
        <v>16</v>
      </c>
    </row>
    <row r="44" spans="2:8">
      <c r="B44" s="4"/>
      <c r="C44" t="s">
        <v>87</v>
      </c>
      <c r="D44" t="s">
        <v>88</v>
      </c>
      <c r="E44" s="4" t="s">
        <v>15</v>
      </c>
      <c r="F44" s="4" t="s">
        <v>221</v>
      </c>
      <c r="G44" s="36" t="s">
        <v>2</v>
      </c>
      <c r="H44" s="4" t="s">
        <v>16</v>
      </c>
    </row>
    <row r="45" spans="2:8">
      <c r="B45" s="4"/>
      <c r="C45" t="s">
        <v>89</v>
      </c>
      <c r="D45" t="s">
        <v>90</v>
      </c>
      <c r="E45" s="4" t="s">
        <v>15</v>
      </c>
      <c r="F45" s="4" t="s">
        <v>221</v>
      </c>
      <c r="G45" s="36" t="s">
        <v>2</v>
      </c>
      <c r="H45" s="4" t="s">
        <v>16</v>
      </c>
    </row>
    <row r="46" spans="2:8">
      <c r="B46" s="4"/>
      <c r="C46" t="s">
        <v>91</v>
      </c>
      <c r="D46" t="s">
        <v>92</v>
      </c>
      <c r="E46" s="4" t="s">
        <v>15</v>
      </c>
      <c r="F46" s="4" t="s">
        <v>221</v>
      </c>
      <c r="G46" s="36" t="s">
        <v>2</v>
      </c>
      <c r="H46" s="4" t="s">
        <v>16</v>
      </c>
    </row>
    <row r="47" spans="2:8">
      <c r="B47" s="4"/>
      <c r="C47" t="s">
        <v>93</v>
      </c>
      <c r="D47" t="s">
        <v>94</v>
      </c>
      <c r="E47" s="4" t="s">
        <v>15</v>
      </c>
      <c r="F47" s="4" t="s">
        <v>221</v>
      </c>
      <c r="G47" s="36" t="s">
        <v>2</v>
      </c>
      <c r="H47" s="4" t="s">
        <v>16</v>
      </c>
    </row>
    <row r="48" spans="2:8">
      <c r="B48" s="4"/>
      <c r="C48" t="s">
        <v>95</v>
      </c>
      <c r="D48" t="s">
        <v>96</v>
      </c>
      <c r="E48" s="4" t="s">
        <v>15</v>
      </c>
      <c r="F48" s="4" t="s">
        <v>221</v>
      </c>
      <c r="G48" s="36" t="s">
        <v>2</v>
      </c>
      <c r="H48" s="4" t="s">
        <v>16</v>
      </c>
    </row>
    <row r="49" spans="2:8">
      <c r="B49" s="4"/>
      <c r="C49" t="s">
        <v>97</v>
      </c>
      <c r="D49" t="s">
        <v>98</v>
      </c>
      <c r="E49" s="4" t="s">
        <v>15</v>
      </c>
      <c r="F49" s="4" t="s">
        <v>221</v>
      </c>
      <c r="G49" s="36" t="s">
        <v>2</v>
      </c>
      <c r="H49" s="4" t="s">
        <v>16</v>
      </c>
    </row>
    <row r="50" spans="2:8">
      <c r="B50" s="4"/>
      <c r="C50" t="s">
        <v>99</v>
      </c>
      <c r="D50" t="s">
        <v>100</v>
      </c>
      <c r="E50" s="4" t="s">
        <v>15</v>
      </c>
      <c r="F50" s="4" t="s">
        <v>221</v>
      </c>
      <c r="G50" s="36" t="s">
        <v>2</v>
      </c>
      <c r="H50" s="4" t="s">
        <v>16</v>
      </c>
    </row>
    <row r="51" spans="2:8">
      <c r="B51" s="4"/>
      <c r="C51" t="s">
        <v>101</v>
      </c>
      <c r="D51" t="s">
        <v>102</v>
      </c>
      <c r="E51" s="4" t="s">
        <v>15</v>
      </c>
      <c r="F51" s="4" t="s">
        <v>221</v>
      </c>
      <c r="G51" s="36" t="s">
        <v>2</v>
      </c>
      <c r="H51" s="4" t="s">
        <v>16</v>
      </c>
    </row>
    <row r="52" spans="2:8">
      <c r="B52" s="4"/>
      <c r="C52" t="s">
        <v>103</v>
      </c>
      <c r="D52" t="s">
        <v>104</v>
      </c>
      <c r="E52" s="4" t="s">
        <v>15</v>
      </c>
      <c r="F52" s="4" t="s">
        <v>221</v>
      </c>
      <c r="G52" s="36" t="s">
        <v>2</v>
      </c>
      <c r="H52" s="4" t="s">
        <v>16</v>
      </c>
    </row>
    <row r="53" spans="2:8">
      <c r="B53" s="4"/>
      <c r="C53" t="s">
        <v>105</v>
      </c>
      <c r="D53" t="s">
        <v>106</v>
      </c>
      <c r="E53" s="4" t="s">
        <v>15</v>
      </c>
      <c r="F53" s="4" t="s">
        <v>221</v>
      </c>
      <c r="G53" s="36" t="s">
        <v>2</v>
      </c>
      <c r="H53" s="4" t="s">
        <v>16</v>
      </c>
    </row>
    <row r="54" spans="2:8">
      <c r="B54" s="4"/>
      <c r="C54" t="s">
        <v>107</v>
      </c>
      <c r="D54" t="s">
        <v>108</v>
      </c>
      <c r="E54" s="4" t="s">
        <v>15</v>
      </c>
      <c r="F54" s="4" t="s">
        <v>221</v>
      </c>
      <c r="G54" s="36" t="s">
        <v>2</v>
      </c>
      <c r="H54" s="4" t="s">
        <v>16</v>
      </c>
    </row>
    <row r="55" spans="2:8">
      <c r="B55" s="4"/>
      <c r="C55" t="s">
        <v>109</v>
      </c>
      <c r="D55" t="s">
        <v>110</v>
      </c>
      <c r="E55" s="4" t="s">
        <v>15</v>
      </c>
      <c r="F55" s="4" t="s">
        <v>221</v>
      </c>
      <c r="G55" s="36" t="s">
        <v>2</v>
      </c>
      <c r="H55" s="4" t="s">
        <v>16</v>
      </c>
    </row>
    <row r="56" spans="2:8">
      <c r="B56" s="4"/>
      <c r="C56" t="s">
        <v>111</v>
      </c>
      <c r="D56" t="s">
        <v>112</v>
      </c>
      <c r="E56" s="4" t="s">
        <v>15</v>
      </c>
      <c r="F56" s="4" t="s">
        <v>221</v>
      </c>
      <c r="G56" s="36" t="s">
        <v>2</v>
      </c>
      <c r="H56" s="4" t="s">
        <v>16</v>
      </c>
    </row>
    <row r="57" spans="2:8">
      <c r="B57" s="4"/>
      <c r="C57" t="s">
        <v>113</v>
      </c>
      <c r="D57" t="s">
        <v>114</v>
      </c>
      <c r="E57" s="4" t="s">
        <v>15</v>
      </c>
      <c r="F57" s="4" t="s">
        <v>221</v>
      </c>
      <c r="G57" s="36" t="s">
        <v>2</v>
      </c>
      <c r="H57" s="4" t="s">
        <v>16</v>
      </c>
    </row>
    <row r="58" spans="2:8">
      <c r="B58" s="4"/>
      <c r="C58" t="s">
        <v>115</v>
      </c>
      <c r="D58" t="s">
        <v>116</v>
      </c>
      <c r="E58" s="4" t="s">
        <v>15</v>
      </c>
      <c r="F58" s="4" t="s">
        <v>221</v>
      </c>
      <c r="G58" s="36" t="s">
        <v>2</v>
      </c>
      <c r="H58" s="4" t="s">
        <v>16</v>
      </c>
    </row>
    <row r="59" spans="2:8">
      <c r="B59" s="4"/>
      <c r="C59" t="s">
        <v>117</v>
      </c>
      <c r="D59" t="s">
        <v>118</v>
      </c>
      <c r="E59" s="4" t="s">
        <v>15</v>
      </c>
      <c r="F59" s="4" t="s">
        <v>221</v>
      </c>
      <c r="G59" s="36" t="s">
        <v>2</v>
      </c>
      <c r="H59" s="4" t="s">
        <v>16</v>
      </c>
    </row>
    <row r="60" spans="2:8">
      <c r="B60" s="4"/>
      <c r="C60" t="s">
        <v>119</v>
      </c>
      <c r="D60" t="s">
        <v>120</v>
      </c>
      <c r="E60" s="4" t="s">
        <v>15</v>
      </c>
      <c r="F60" s="4" t="s">
        <v>221</v>
      </c>
      <c r="G60" s="36" t="s">
        <v>2</v>
      </c>
      <c r="H60" s="4" t="s">
        <v>16</v>
      </c>
    </row>
    <row r="61" spans="2:8">
      <c r="B61" s="4"/>
      <c r="C61" t="s">
        <v>121</v>
      </c>
      <c r="D61" t="s">
        <v>122</v>
      </c>
      <c r="E61" s="4" t="s">
        <v>15</v>
      </c>
      <c r="F61" s="4" t="s">
        <v>221</v>
      </c>
      <c r="G61" s="36" t="s">
        <v>2</v>
      </c>
      <c r="H61" s="4" t="s">
        <v>16</v>
      </c>
    </row>
    <row r="62" spans="2:8">
      <c r="B62" s="4"/>
      <c r="C62" t="s">
        <v>123</v>
      </c>
      <c r="D62" t="s">
        <v>124</v>
      </c>
      <c r="E62" s="4" t="s">
        <v>15</v>
      </c>
      <c r="F62" s="4" t="s">
        <v>221</v>
      </c>
      <c r="G62" s="36" t="s">
        <v>2</v>
      </c>
      <c r="H62" s="4" t="s">
        <v>16</v>
      </c>
    </row>
    <row r="63" spans="2:8">
      <c r="B63" s="4"/>
      <c r="C63" t="s">
        <v>125</v>
      </c>
      <c r="D63" t="s">
        <v>126</v>
      </c>
      <c r="E63" s="4" t="s">
        <v>15</v>
      </c>
      <c r="F63" s="4" t="s">
        <v>221</v>
      </c>
      <c r="G63" s="36" t="s">
        <v>2</v>
      </c>
      <c r="H63" s="4" t="s">
        <v>16</v>
      </c>
    </row>
    <row r="64" spans="2:8">
      <c r="B64" s="4"/>
      <c r="C64" t="s">
        <v>127</v>
      </c>
      <c r="D64" t="s">
        <v>128</v>
      </c>
      <c r="E64" s="4" t="s">
        <v>15</v>
      </c>
      <c r="F64" s="4" t="s">
        <v>221</v>
      </c>
      <c r="G64" s="36" t="s">
        <v>2</v>
      </c>
      <c r="H64" s="4" t="s">
        <v>16</v>
      </c>
    </row>
    <row r="65" spans="2:8">
      <c r="B65" s="4"/>
      <c r="C65" t="s">
        <v>129</v>
      </c>
      <c r="D65" t="s">
        <v>130</v>
      </c>
      <c r="E65" s="4" t="s">
        <v>15</v>
      </c>
      <c r="F65" s="4" t="s">
        <v>221</v>
      </c>
      <c r="G65" s="36" t="s">
        <v>2</v>
      </c>
      <c r="H65" s="4" t="s">
        <v>16</v>
      </c>
    </row>
    <row r="66" spans="2:8">
      <c r="B66" s="4"/>
      <c r="C66" t="s">
        <v>131</v>
      </c>
      <c r="D66" t="s">
        <v>132</v>
      </c>
      <c r="E66" s="4" t="s">
        <v>15</v>
      </c>
      <c r="F66" s="4" t="s">
        <v>221</v>
      </c>
      <c r="G66" s="36" t="s">
        <v>2</v>
      </c>
      <c r="H66" s="4" t="s">
        <v>16</v>
      </c>
    </row>
    <row r="67" spans="2:8">
      <c r="B67" s="4"/>
      <c r="C67" t="s">
        <v>133</v>
      </c>
      <c r="D67" t="s">
        <v>134</v>
      </c>
      <c r="E67" s="4" t="s">
        <v>15</v>
      </c>
      <c r="F67" s="4" t="s">
        <v>221</v>
      </c>
      <c r="G67" s="36" t="s">
        <v>2</v>
      </c>
      <c r="H67" s="4" t="s">
        <v>16</v>
      </c>
    </row>
    <row r="68" spans="2:8">
      <c r="B68" s="4"/>
      <c r="C68" t="s">
        <v>135</v>
      </c>
      <c r="D68" t="s">
        <v>136</v>
      </c>
      <c r="E68" s="4" t="s">
        <v>15</v>
      </c>
      <c r="F68" s="4" t="s">
        <v>221</v>
      </c>
      <c r="G68" s="36" t="s">
        <v>2</v>
      </c>
      <c r="H68" s="4" t="s">
        <v>16</v>
      </c>
    </row>
    <row r="69" spans="2:8">
      <c r="B69" s="4"/>
      <c r="C69" t="s">
        <v>137</v>
      </c>
      <c r="D69" t="s">
        <v>138</v>
      </c>
      <c r="E69" s="4" t="s">
        <v>15</v>
      </c>
      <c r="F69" s="4" t="s">
        <v>221</v>
      </c>
      <c r="G69" s="36" t="s">
        <v>2</v>
      </c>
      <c r="H69" s="4" t="s">
        <v>16</v>
      </c>
    </row>
    <row r="70" spans="2:8">
      <c r="B70" s="4"/>
      <c r="C70" t="s">
        <v>139</v>
      </c>
      <c r="D70" t="s">
        <v>140</v>
      </c>
      <c r="E70" s="4" t="s">
        <v>15</v>
      </c>
      <c r="F70" s="4" t="s">
        <v>221</v>
      </c>
      <c r="G70" s="36" t="s">
        <v>2</v>
      </c>
      <c r="H70" s="4" t="s">
        <v>16</v>
      </c>
    </row>
    <row r="71" spans="2:8">
      <c r="B71" s="4"/>
      <c r="C71" t="s">
        <v>141</v>
      </c>
      <c r="D71" t="s">
        <v>142</v>
      </c>
      <c r="E71" s="4" t="s">
        <v>15</v>
      </c>
      <c r="F71" s="4" t="s">
        <v>221</v>
      </c>
      <c r="G71" s="36" t="s">
        <v>2</v>
      </c>
      <c r="H71" s="4" t="s">
        <v>16</v>
      </c>
    </row>
    <row r="72" spans="2:8">
      <c r="B72" s="4"/>
      <c r="C72" t="s">
        <v>143</v>
      </c>
      <c r="D72" t="s">
        <v>144</v>
      </c>
      <c r="E72" s="4" t="s">
        <v>15</v>
      </c>
      <c r="F72" s="4" t="s">
        <v>221</v>
      </c>
      <c r="G72" s="36" t="s">
        <v>2</v>
      </c>
      <c r="H72" s="4" t="s">
        <v>16</v>
      </c>
    </row>
    <row r="73" spans="2:8">
      <c r="B73" s="4"/>
      <c r="C73" t="s">
        <v>145</v>
      </c>
      <c r="D73" t="s">
        <v>146</v>
      </c>
      <c r="E73" s="4" t="s">
        <v>15</v>
      </c>
      <c r="F73" s="4" t="s">
        <v>221</v>
      </c>
      <c r="G73" s="36" t="s">
        <v>2</v>
      </c>
      <c r="H73" s="4" t="s">
        <v>16</v>
      </c>
    </row>
    <row r="74" spans="2:8">
      <c r="B74" s="4"/>
      <c r="C74" t="s">
        <v>147</v>
      </c>
      <c r="D74" t="s">
        <v>148</v>
      </c>
      <c r="E74" s="4" t="s">
        <v>15</v>
      </c>
      <c r="F74" s="4" t="s">
        <v>221</v>
      </c>
      <c r="G74" s="36" t="s">
        <v>2</v>
      </c>
      <c r="H74" s="4" t="s">
        <v>16</v>
      </c>
    </row>
    <row r="75" spans="2:8">
      <c r="B75" s="4"/>
      <c r="C75" t="s">
        <v>149</v>
      </c>
      <c r="D75" t="s">
        <v>150</v>
      </c>
      <c r="E75" s="4" t="s">
        <v>15</v>
      </c>
      <c r="F75" s="4" t="s">
        <v>221</v>
      </c>
      <c r="G75" s="36" t="s">
        <v>2</v>
      </c>
      <c r="H75" s="4" t="s">
        <v>16</v>
      </c>
    </row>
    <row r="76" spans="2:8">
      <c r="B76" s="4"/>
      <c r="C76" t="s">
        <v>151</v>
      </c>
      <c r="D76" t="s">
        <v>152</v>
      </c>
      <c r="E76" s="4" t="s">
        <v>15</v>
      </c>
      <c r="F76" s="4" t="s">
        <v>221</v>
      </c>
      <c r="G76" s="36" t="s">
        <v>2</v>
      </c>
      <c r="H76" s="4" t="s">
        <v>16</v>
      </c>
    </row>
    <row r="77" spans="2:8">
      <c r="B77" s="4"/>
      <c r="C77" t="s">
        <v>153</v>
      </c>
      <c r="D77" t="s">
        <v>154</v>
      </c>
      <c r="E77" s="4" t="s">
        <v>15</v>
      </c>
      <c r="F77" s="4" t="s">
        <v>221</v>
      </c>
      <c r="G77" s="36" t="s">
        <v>2</v>
      </c>
      <c r="H77" s="4"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8F24-4E56-49F3-9204-FD5A5900A5D7}">
  <sheetPr>
    <tabColor theme="4"/>
  </sheetPr>
  <dimension ref="A1:N2"/>
  <sheetViews>
    <sheetView workbookViewId="0">
      <selection activeCell="B2" sqref="B2:N5"/>
    </sheetView>
  </sheetViews>
  <sheetFormatPr defaultRowHeight="12.75"/>
  <cols>
    <col min="2" max="2" width="16.28515625" customWidth="1"/>
    <col min="3" max="3" width="17.85546875" customWidth="1"/>
    <col min="4" max="8" width="4.5703125" customWidth="1"/>
  </cols>
  <sheetData>
    <row r="1" spans="1:14">
      <c r="A1" t="s">
        <v>4</v>
      </c>
      <c r="B1" t="s">
        <v>0</v>
      </c>
    </row>
    <row r="2" spans="1:14">
      <c r="N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C606-03E6-4E53-AE7B-7349668CD223}">
  <sheetPr>
    <tabColor theme="4"/>
  </sheetPr>
  <dimension ref="A6:AP33"/>
  <sheetViews>
    <sheetView workbookViewId="0">
      <selection activeCell="D6" sqref="D6"/>
    </sheetView>
  </sheetViews>
  <sheetFormatPr defaultRowHeight="12.75"/>
  <cols>
    <col min="2" max="2" width="16.28515625" customWidth="1"/>
    <col min="3" max="3" width="17.85546875" customWidth="1"/>
    <col min="4" max="4" width="10.85546875" bestFit="1" customWidth="1"/>
    <col min="5" max="5" width="19.140625" bestFit="1" customWidth="1"/>
    <col min="6" max="6" width="9.7109375" bestFit="1" customWidth="1"/>
    <col min="7" max="8" width="4.5703125" customWidth="1"/>
  </cols>
  <sheetData>
    <row r="6" spans="1:42">
      <c r="A6" t="s">
        <v>5</v>
      </c>
      <c r="B6" t="s">
        <v>0</v>
      </c>
      <c r="D6" s="1" t="str">
        <f ca="1">MID(CELL("filename",N6),FIND("]",CELL("filename",N6))+1,255)</f>
        <v>TS_COMAGG</v>
      </c>
      <c r="I6">
        <v>0</v>
      </c>
      <c r="J6">
        <v>2012</v>
      </c>
      <c r="K6">
        <f>J6+1</f>
        <v>2013</v>
      </c>
      <c r="L6">
        <f t="shared" ref="L6:AL6" si="0">K6+1</f>
        <v>2014</v>
      </c>
      <c r="M6">
        <f t="shared" si="0"/>
        <v>2015</v>
      </c>
      <c r="N6">
        <f t="shared" si="0"/>
        <v>2016</v>
      </c>
      <c r="O6">
        <f t="shared" si="0"/>
        <v>2017</v>
      </c>
      <c r="P6">
        <f t="shared" si="0"/>
        <v>2018</v>
      </c>
      <c r="Q6">
        <f t="shared" si="0"/>
        <v>2019</v>
      </c>
      <c r="R6">
        <f t="shared" si="0"/>
        <v>2020</v>
      </c>
      <c r="S6">
        <f t="shared" si="0"/>
        <v>2021</v>
      </c>
      <c r="T6">
        <f t="shared" si="0"/>
        <v>2022</v>
      </c>
      <c r="U6">
        <f t="shared" si="0"/>
        <v>2023</v>
      </c>
      <c r="V6">
        <f t="shared" si="0"/>
        <v>2024</v>
      </c>
      <c r="W6">
        <f t="shared" si="0"/>
        <v>2025</v>
      </c>
      <c r="X6">
        <f t="shared" si="0"/>
        <v>2026</v>
      </c>
      <c r="Y6">
        <f t="shared" si="0"/>
        <v>2027</v>
      </c>
      <c r="Z6">
        <f t="shared" si="0"/>
        <v>2028</v>
      </c>
      <c r="AA6">
        <f t="shared" si="0"/>
        <v>2029</v>
      </c>
      <c r="AB6">
        <f t="shared" si="0"/>
        <v>2030</v>
      </c>
      <c r="AC6">
        <f t="shared" si="0"/>
        <v>2031</v>
      </c>
      <c r="AD6">
        <f t="shared" si="0"/>
        <v>2032</v>
      </c>
      <c r="AE6">
        <f t="shared" si="0"/>
        <v>2033</v>
      </c>
      <c r="AF6">
        <f t="shared" si="0"/>
        <v>2034</v>
      </c>
      <c r="AG6">
        <f t="shared" si="0"/>
        <v>2035</v>
      </c>
      <c r="AH6">
        <f t="shared" si="0"/>
        <v>2036</v>
      </c>
      <c r="AI6">
        <f t="shared" si="0"/>
        <v>2037</v>
      </c>
      <c r="AJ6">
        <f t="shared" si="0"/>
        <v>2038</v>
      </c>
      <c r="AK6">
        <f t="shared" si="0"/>
        <v>2039</v>
      </c>
      <c r="AL6">
        <f t="shared" si="0"/>
        <v>2040</v>
      </c>
      <c r="AM6">
        <v>2045</v>
      </c>
      <c r="AN6">
        <v>2050</v>
      </c>
      <c r="AO6">
        <v>2060</v>
      </c>
      <c r="AP6">
        <v>2070</v>
      </c>
    </row>
    <row r="7" spans="1:42">
      <c r="B7" t="s">
        <v>157</v>
      </c>
      <c r="C7" t="s">
        <v>1</v>
      </c>
      <c r="D7" t="s">
        <v>27</v>
      </c>
      <c r="E7" t="s">
        <v>1</v>
      </c>
      <c r="F7" t="s">
        <v>158</v>
      </c>
      <c r="G7" t="s">
        <v>1</v>
      </c>
      <c r="H7" t="s">
        <v>1</v>
      </c>
      <c r="I7">
        <v>0</v>
      </c>
      <c r="J7">
        <v>1</v>
      </c>
    </row>
    <row r="8" spans="1:42">
      <c r="B8" t="s">
        <v>157</v>
      </c>
      <c r="C8" t="s">
        <v>1</v>
      </c>
      <c r="D8" t="s">
        <v>43</v>
      </c>
      <c r="E8" t="s">
        <v>1</v>
      </c>
      <c r="F8" t="s">
        <v>158</v>
      </c>
      <c r="G8" t="s">
        <v>1</v>
      </c>
      <c r="H8" t="s">
        <v>1</v>
      </c>
      <c r="I8">
        <v>0</v>
      </c>
      <c r="J8">
        <v>0</v>
      </c>
    </row>
    <row r="9" spans="1:42">
      <c r="B9" t="s">
        <v>157</v>
      </c>
      <c r="C9" t="s">
        <v>1</v>
      </c>
      <c r="D9" t="s">
        <v>59</v>
      </c>
      <c r="E9" t="s">
        <v>1</v>
      </c>
      <c r="F9" t="s">
        <v>158</v>
      </c>
      <c r="G9" t="s">
        <v>1</v>
      </c>
      <c r="H9" t="s">
        <v>1</v>
      </c>
      <c r="I9">
        <v>0</v>
      </c>
      <c r="J9">
        <v>1</v>
      </c>
    </row>
    <row r="10" spans="1:42">
      <c r="B10" t="s">
        <v>157</v>
      </c>
      <c r="C10" t="s">
        <v>1</v>
      </c>
      <c r="D10" t="s">
        <v>107</v>
      </c>
      <c r="E10" t="s">
        <v>1</v>
      </c>
      <c r="F10" t="s">
        <v>158</v>
      </c>
      <c r="G10" t="s">
        <v>1</v>
      </c>
      <c r="H10" t="s">
        <v>1</v>
      </c>
      <c r="I10">
        <v>0</v>
      </c>
      <c r="J10">
        <v>1</v>
      </c>
    </row>
    <row r="11" spans="1:42">
      <c r="B11" t="s">
        <v>157</v>
      </c>
      <c r="C11" t="s">
        <v>1</v>
      </c>
      <c r="D11" t="s">
        <v>91</v>
      </c>
      <c r="E11" t="s">
        <v>1</v>
      </c>
      <c r="F11" t="s">
        <v>158</v>
      </c>
      <c r="G11" t="s">
        <v>1</v>
      </c>
      <c r="H11" t="s">
        <v>1</v>
      </c>
      <c r="I11">
        <v>0</v>
      </c>
      <c r="J11">
        <v>0</v>
      </c>
    </row>
    <row r="12" spans="1:42">
      <c r="B12" t="s">
        <v>157</v>
      </c>
      <c r="C12" t="s">
        <v>1</v>
      </c>
      <c r="D12" t="s">
        <v>75</v>
      </c>
      <c r="E12" t="s">
        <v>1</v>
      </c>
      <c r="F12" t="s">
        <v>158</v>
      </c>
      <c r="G12" t="s">
        <v>1</v>
      </c>
      <c r="H12" t="s">
        <v>1</v>
      </c>
      <c r="I12">
        <v>0</v>
      </c>
      <c r="J12">
        <v>1</v>
      </c>
    </row>
    <row r="13" spans="1:42">
      <c r="B13" t="s">
        <v>157</v>
      </c>
      <c r="C13" t="s">
        <v>1</v>
      </c>
      <c r="D13" t="s">
        <v>139</v>
      </c>
      <c r="E13" t="s">
        <v>1</v>
      </c>
      <c r="F13" t="s">
        <v>158</v>
      </c>
      <c r="G13" t="s">
        <v>1</v>
      </c>
      <c r="H13" t="s">
        <v>1</v>
      </c>
      <c r="I13">
        <v>0</v>
      </c>
      <c r="J13">
        <v>1</v>
      </c>
    </row>
    <row r="14" spans="1:42">
      <c r="B14" t="s">
        <v>157</v>
      </c>
      <c r="C14" t="s">
        <v>1</v>
      </c>
      <c r="D14" t="s">
        <v>29</v>
      </c>
      <c r="E14" t="s">
        <v>1</v>
      </c>
      <c r="F14" t="s">
        <v>158</v>
      </c>
      <c r="G14" t="s">
        <v>1</v>
      </c>
      <c r="H14" t="s">
        <v>1</v>
      </c>
      <c r="I14">
        <v>0</v>
      </c>
      <c r="J14">
        <v>28</v>
      </c>
    </row>
    <row r="15" spans="1:42">
      <c r="B15" t="s">
        <v>157</v>
      </c>
      <c r="C15" t="s">
        <v>1</v>
      </c>
      <c r="D15" t="s">
        <v>45</v>
      </c>
      <c r="E15" t="s">
        <v>1</v>
      </c>
      <c r="F15" t="s">
        <v>158</v>
      </c>
      <c r="G15" t="s">
        <v>1</v>
      </c>
      <c r="H15" t="s">
        <v>1</v>
      </c>
      <c r="I15">
        <v>0</v>
      </c>
      <c r="J15">
        <v>0</v>
      </c>
    </row>
    <row r="16" spans="1:42">
      <c r="B16" t="s">
        <v>157</v>
      </c>
      <c r="C16" t="s">
        <v>1</v>
      </c>
      <c r="D16" t="s">
        <v>61</v>
      </c>
      <c r="E16" t="s">
        <v>1</v>
      </c>
      <c r="F16" t="s">
        <v>158</v>
      </c>
      <c r="G16" t="s">
        <v>1</v>
      </c>
      <c r="H16" t="s">
        <v>1</v>
      </c>
      <c r="I16">
        <v>0</v>
      </c>
      <c r="J16">
        <v>28</v>
      </c>
    </row>
    <row r="17" spans="2:10">
      <c r="B17" t="s">
        <v>157</v>
      </c>
      <c r="C17" t="s">
        <v>1</v>
      </c>
      <c r="D17" t="s">
        <v>109</v>
      </c>
      <c r="E17" t="s">
        <v>1</v>
      </c>
      <c r="F17" t="s">
        <v>158</v>
      </c>
      <c r="G17" t="s">
        <v>1</v>
      </c>
      <c r="H17" t="s">
        <v>1</v>
      </c>
      <c r="I17">
        <v>0</v>
      </c>
      <c r="J17">
        <v>28</v>
      </c>
    </row>
    <row r="18" spans="2:10">
      <c r="B18" t="s">
        <v>157</v>
      </c>
      <c r="C18" t="s">
        <v>1</v>
      </c>
      <c r="D18" t="s">
        <v>93</v>
      </c>
      <c r="E18" t="s">
        <v>1</v>
      </c>
      <c r="F18" t="s">
        <v>158</v>
      </c>
      <c r="G18" t="s">
        <v>1</v>
      </c>
      <c r="H18" t="s">
        <v>1</v>
      </c>
      <c r="I18">
        <v>0</v>
      </c>
      <c r="J18">
        <v>0</v>
      </c>
    </row>
    <row r="19" spans="2:10">
      <c r="B19" t="s">
        <v>157</v>
      </c>
      <c r="C19" t="s">
        <v>1</v>
      </c>
      <c r="D19" t="s">
        <v>77</v>
      </c>
      <c r="E19" t="s">
        <v>1</v>
      </c>
      <c r="F19" t="s">
        <v>158</v>
      </c>
      <c r="G19" t="s">
        <v>1</v>
      </c>
      <c r="H19" t="s">
        <v>1</v>
      </c>
      <c r="I19">
        <v>0</v>
      </c>
      <c r="J19">
        <v>28</v>
      </c>
    </row>
    <row r="20" spans="2:10">
      <c r="B20" t="s">
        <v>157</v>
      </c>
      <c r="C20" t="s">
        <v>1</v>
      </c>
      <c r="D20" t="s">
        <v>141</v>
      </c>
      <c r="E20" t="s">
        <v>1</v>
      </c>
      <c r="F20" t="s">
        <v>158</v>
      </c>
      <c r="G20" t="s">
        <v>1</v>
      </c>
      <c r="H20" t="s">
        <v>1</v>
      </c>
      <c r="I20">
        <v>0</v>
      </c>
      <c r="J20">
        <v>28</v>
      </c>
    </row>
    <row r="21" spans="2:10">
      <c r="B21" t="s">
        <v>157</v>
      </c>
      <c r="C21" t="s">
        <v>1</v>
      </c>
      <c r="D21" t="s">
        <v>31</v>
      </c>
      <c r="E21" t="s">
        <v>1</v>
      </c>
      <c r="F21" t="s">
        <v>158</v>
      </c>
      <c r="G21" t="s">
        <v>1</v>
      </c>
      <c r="H21" t="s">
        <v>1</v>
      </c>
      <c r="I21">
        <v>0</v>
      </c>
      <c r="J21">
        <v>265</v>
      </c>
    </row>
    <row r="22" spans="2:10">
      <c r="B22" t="s">
        <v>157</v>
      </c>
      <c r="C22" t="s">
        <v>1</v>
      </c>
      <c r="D22" t="s">
        <v>47</v>
      </c>
      <c r="E22" t="s">
        <v>1</v>
      </c>
      <c r="F22" t="s">
        <v>158</v>
      </c>
      <c r="G22" t="s">
        <v>1</v>
      </c>
      <c r="H22" t="s">
        <v>1</v>
      </c>
      <c r="I22">
        <v>0</v>
      </c>
      <c r="J22">
        <v>0</v>
      </c>
    </row>
    <row r="23" spans="2:10">
      <c r="B23" t="s">
        <v>157</v>
      </c>
      <c r="C23" t="s">
        <v>1</v>
      </c>
      <c r="D23" t="s">
        <v>63</v>
      </c>
      <c r="E23" t="s">
        <v>1</v>
      </c>
      <c r="F23" t="s">
        <v>158</v>
      </c>
      <c r="G23" t="s">
        <v>1</v>
      </c>
      <c r="H23" t="s">
        <v>1</v>
      </c>
      <c r="I23">
        <v>0</v>
      </c>
      <c r="J23">
        <v>265</v>
      </c>
    </row>
    <row r="24" spans="2:10">
      <c r="B24" t="s">
        <v>157</v>
      </c>
      <c r="C24" t="s">
        <v>1</v>
      </c>
      <c r="D24" t="s">
        <v>111</v>
      </c>
      <c r="E24" t="s">
        <v>1</v>
      </c>
      <c r="F24" t="s">
        <v>158</v>
      </c>
      <c r="G24" t="s">
        <v>1</v>
      </c>
      <c r="H24" t="s">
        <v>1</v>
      </c>
      <c r="I24">
        <v>0</v>
      </c>
      <c r="J24">
        <v>265</v>
      </c>
    </row>
    <row r="25" spans="2:10">
      <c r="B25" t="s">
        <v>157</v>
      </c>
      <c r="C25" t="s">
        <v>1</v>
      </c>
      <c r="D25" t="s">
        <v>95</v>
      </c>
      <c r="E25" t="s">
        <v>1</v>
      </c>
      <c r="F25" t="s">
        <v>158</v>
      </c>
      <c r="G25" t="s">
        <v>1</v>
      </c>
      <c r="H25" t="s">
        <v>1</v>
      </c>
      <c r="I25">
        <v>0</v>
      </c>
      <c r="J25">
        <v>0</v>
      </c>
    </row>
    <row r="26" spans="2:10">
      <c r="B26" t="s">
        <v>157</v>
      </c>
      <c r="C26" t="s">
        <v>1</v>
      </c>
      <c r="D26" t="s">
        <v>79</v>
      </c>
      <c r="E26" t="s">
        <v>1</v>
      </c>
      <c r="F26" t="s">
        <v>158</v>
      </c>
      <c r="G26" t="s">
        <v>1</v>
      </c>
      <c r="H26" t="s">
        <v>1</v>
      </c>
      <c r="I26">
        <v>0</v>
      </c>
      <c r="J26">
        <v>265</v>
      </c>
    </row>
    <row r="27" spans="2:10">
      <c r="B27" t="s">
        <v>157</v>
      </c>
      <c r="C27" t="s">
        <v>1</v>
      </c>
      <c r="D27" t="s">
        <v>143</v>
      </c>
      <c r="E27" t="s">
        <v>1</v>
      </c>
      <c r="F27" t="s">
        <v>158</v>
      </c>
      <c r="G27" t="s">
        <v>1</v>
      </c>
      <c r="H27" t="s">
        <v>1</v>
      </c>
      <c r="I27">
        <v>0</v>
      </c>
      <c r="J27">
        <v>265</v>
      </c>
    </row>
    <row r="28" spans="2:10">
      <c r="B28" t="s">
        <v>157</v>
      </c>
      <c r="C28" t="s">
        <v>1</v>
      </c>
      <c r="D28" t="s">
        <v>18</v>
      </c>
      <c r="E28" t="s">
        <v>1</v>
      </c>
      <c r="F28" t="s">
        <v>158</v>
      </c>
      <c r="G28" t="s">
        <v>1</v>
      </c>
      <c r="H28" t="s">
        <v>1</v>
      </c>
      <c r="I28">
        <v>0</v>
      </c>
      <c r="J28">
        <v>1</v>
      </c>
    </row>
    <row r="29" spans="2:10">
      <c r="B29" t="s">
        <v>157</v>
      </c>
      <c r="C29" t="s">
        <v>1</v>
      </c>
      <c r="D29" t="s">
        <v>20</v>
      </c>
      <c r="E29" t="s">
        <v>1</v>
      </c>
      <c r="F29" t="s">
        <v>158</v>
      </c>
      <c r="G29" t="s">
        <v>1</v>
      </c>
      <c r="H29" t="s">
        <v>1</v>
      </c>
      <c r="I29">
        <v>0</v>
      </c>
      <c r="J29">
        <v>28</v>
      </c>
    </row>
    <row r="30" spans="2:10">
      <c r="B30" t="s">
        <v>157</v>
      </c>
      <c r="C30" t="s">
        <v>1</v>
      </c>
      <c r="D30" t="s">
        <v>19</v>
      </c>
      <c r="E30" t="s">
        <v>1</v>
      </c>
      <c r="F30" t="s">
        <v>158</v>
      </c>
      <c r="G30" t="s">
        <v>1</v>
      </c>
      <c r="H30" t="s">
        <v>1</v>
      </c>
      <c r="I30">
        <v>0</v>
      </c>
      <c r="J30">
        <v>1</v>
      </c>
    </row>
    <row r="31" spans="2:10" ht="15">
      <c r="B31" s="5" t="s">
        <v>157</v>
      </c>
      <c r="C31" s="5" t="s">
        <v>1</v>
      </c>
      <c r="D31" s="5" t="s">
        <v>161</v>
      </c>
      <c r="E31" s="5" t="s">
        <v>1</v>
      </c>
      <c r="F31" s="5" t="s">
        <v>158</v>
      </c>
      <c r="G31" s="5" t="s">
        <v>1</v>
      </c>
      <c r="H31" s="5" t="s">
        <v>1</v>
      </c>
      <c r="I31" s="5">
        <v>0</v>
      </c>
      <c r="J31" s="5">
        <v>1</v>
      </c>
    </row>
    <row r="32" spans="2:10" ht="15">
      <c r="B32" s="5" t="s">
        <v>157</v>
      </c>
      <c r="C32" s="5" t="s">
        <v>1</v>
      </c>
      <c r="D32" s="5" t="s">
        <v>162</v>
      </c>
      <c r="E32" s="5" t="s">
        <v>1</v>
      </c>
      <c r="F32" s="5" t="s">
        <v>158</v>
      </c>
      <c r="G32" s="5" t="s">
        <v>1</v>
      </c>
      <c r="H32" s="5" t="s">
        <v>1</v>
      </c>
      <c r="I32" s="5">
        <v>0</v>
      </c>
      <c r="J32" s="5">
        <v>1</v>
      </c>
    </row>
    <row r="33" spans="2:10" ht="15">
      <c r="B33" s="5" t="s">
        <v>157</v>
      </c>
      <c r="C33" s="5" t="s">
        <v>1</v>
      </c>
      <c r="D33" s="5" t="s">
        <v>163</v>
      </c>
      <c r="E33" s="5" t="s">
        <v>1</v>
      </c>
      <c r="F33" s="5" t="s">
        <v>158</v>
      </c>
      <c r="G33" s="5" t="s">
        <v>1</v>
      </c>
      <c r="H33" s="5" t="s">
        <v>1</v>
      </c>
      <c r="I33" s="5">
        <v>0</v>
      </c>
      <c r="J33" s="5">
        <v>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A5E7F-F4F7-41A6-BD63-21046D319EC4}">
  <sheetPr>
    <tabColor theme="4"/>
  </sheetPr>
  <dimension ref="A5:J34"/>
  <sheetViews>
    <sheetView workbookViewId="0">
      <selection activeCell="I9" sqref="I9"/>
    </sheetView>
  </sheetViews>
  <sheetFormatPr defaultRowHeight="12.75"/>
  <cols>
    <col min="2" max="2" width="16.28515625" customWidth="1"/>
    <col min="3" max="3" width="17.85546875" customWidth="1"/>
    <col min="4" max="4" width="10.85546875" bestFit="1" customWidth="1"/>
    <col min="5" max="5" width="19.140625" bestFit="1" customWidth="1"/>
    <col min="6" max="6" width="9.7109375" bestFit="1" customWidth="1"/>
    <col min="7" max="8" width="4.5703125" customWidth="1"/>
  </cols>
  <sheetData>
    <row r="5" spans="1:9" ht="15.75" thickBot="1">
      <c r="B5" s="35" t="s">
        <v>222</v>
      </c>
    </row>
    <row r="6" spans="1:9" ht="15">
      <c r="B6" s="37" t="s">
        <v>223</v>
      </c>
      <c r="C6" s="37" t="s">
        <v>226</v>
      </c>
      <c r="D6" s="37" t="s">
        <v>227</v>
      </c>
      <c r="E6" s="38" t="s">
        <v>225</v>
      </c>
      <c r="F6" s="38"/>
    </row>
    <row r="7" spans="1:9" ht="15">
      <c r="A7" s="39" t="s">
        <v>228</v>
      </c>
      <c r="B7" s="39" t="s">
        <v>229</v>
      </c>
      <c r="C7" s="39"/>
      <c r="D7" s="39"/>
      <c r="E7" s="40"/>
      <c r="F7" s="40"/>
      <c r="G7" s="39"/>
      <c r="H7" s="39"/>
      <c r="I7" s="39"/>
    </row>
    <row r="8" spans="1:9">
      <c r="B8" t="s">
        <v>157</v>
      </c>
      <c r="C8" t="s">
        <v>27</v>
      </c>
      <c r="D8" t="s">
        <v>158</v>
      </c>
      <c r="E8">
        <v>1</v>
      </c>
    </row>
    <row r="9" spans="1:9">
      <c r="B9" t="s">
        <v>157</v>
      </c>
      <c r="C9" t="s">
        <v>43</v>
      </c>
      <c r="D9" t="s">
        <v>158</v>
      </c>
      <c r="E9" s="41">
        <v>0</v>
      </c>
    </row>
    <row r="10" spans="1:9">
      <c r="B10" t="s">
        <v>157</v>
      </c>
      <c r="C10" t="s">
        <v>59</v>
      </c>
      <c r="D10" t="s">
        <v>158</v>
      </c>
      <c r="E10">
        <v>1</v>
      </c>
    </row>
    <row r="11" spans="1:9">
      <c r="B11" t="s">
        <v>157</v>
      </c>
      <c r="C11" t="s">
        <v>107</v>
      </c>
      <c r="D11" t="s">
        <v>158</v>
      </c>
      <c r="E11">
        <v>1</v>
      </c>
    </row>
    <row r="12" spans="1:9">
      <c r="B12" t="s">
        <v>157</v>
      </c>
      <c r="C12" t="s">
        <v>91</v>
      </c>
      <c r="D12" t="s">
        <v>158</v>
      </c>
      <c r="E12" s="41">
        <v>0</v>
      </c>
    </row>
    <row r="13" spans="1:9">
      <c r="B13" t="s">
        <v>157</v>
      </c>
      <c r="C13" t="s">
        <v>75</v>
      </c>
      <c r="D13" t="s">
        <v>158</v>
      </c>
      <c r="E13">
        <v>1</v>
      </c>
    </row>
    <row r="14" spans="1:9">
      <c r="B14" t="s">
        <v>157</v>
      </c>
      <c r="C14" t="s">
        <v>139</v>
      </c>
      <c r="D14" t="s">
        <v>158</v>
      </c>
      <c r="E14">
        <v>1</v>
      </c>
    </row>
    <row r="15" spans="1:9">
      <c r="B15" t="s">
        <v>157</v>
      </c>
      <c r="C15" t="s">
        <v>29</v>
      </c>
      <c r="D15" t="s">
        <v>158</v>
      </c>
      <c r="E15">
        <v>28</v>
      </c>
    </row>
    <row r="16" spans="1:9">
      <c r="B16" t="s">
        <v>157</v>
      </c>
      <c r="C16" t="s">
        <v>45</v>
      </c>
      <c r="D16" t="s">
        <v>158</v>
      </c>
      <c r="E16" s="41">
        <v>0</v>
      </c>
    </row>
    <row r="17" spans="2:10">
      <c r="B17" t="s">
        <v>157</v>
      </c>
      <c r="C17" t="s">
        <v>61</v>
      </c>
      <c r="D17" t="s">
        <v>158</v>
      </c>
      <c r="E17">
        <v>28</v>
      </c>
    </row>
    <row r="18" spans="2:10">
      <c r="B18" t="s">
        <v>157</v>
      </c>
      <c r="C18" t="s">
        <v>109</v>
      </c>
      <c r="D18" t="s">
        <v>158</v>
      </c>
      <c r="E18">
        <v>28</v>
      </c>
    </row>
    <row r="19" spans="2:10">
      <c r="B19" t="s">
        <v>157</v>
      </c>
      <c r="C19" t="s">
        <v>93</v>
      </c>
      <c r="D19" t="s">
        <v>158</v>
      </c>
      <c r="E19" s="41">
        <v>0</v>
      </c>
    </row>
    <row r="20" spans="2:10">
      <c r="B20" t="s">
        <v>157</v>
      </c>
      <c r="C20" t="s">
        <v>77</v>
      </c>
      <c r="D20" t="s">
        <v>158</v>
      </c>
      <c r="E20">
        <v>28</v>
      </c>
    </row>
    <row r="21" spans="2:10">
      <c r="B21" t="s">
        <v>157</v>
      </c>
      <c r="C21" t="s">
        <v>141</v>
      </c>
      <c r="D21" t="s">
        <v>158</v>
      </c>
      <c r="E21">
        <v>28</v>
      </c>
    </row>
    <row r="22" spans="2:10">
      <c r="B22" t="s">
        <v>157</v>
      </c>
      <c r="C22" t="s">
        <v>31</v>
      </c>
      <c r="D22" t="s">
        <v>158</v>
      </c>
      <c r="E22">
        <v>265</v>
      </c>
    </row>
    <row r="23" spans="2:10">
      <c r="B23" t="s">
        <v>157</v>
      </c>
      <c r="C23" t="s">
        <v>47</v>
      </c>
      <c r="D23" t="s">
        <v>158</v>
      </c>
      <c r="E23" s="41">
        <v>0</v>
      </c>
    </row>
    <row r="24" spans="2:10">
      <c r="B24" t="s">
        <v>157</v>
      </c>
      <c r="C24" t="s">
        <v>63</v>
      </c>
      <c r="D24" t="s">
        <v>158</v>
      </c>
      <c r="E24">
        <v>265</v>
      </c>
    </row>
    <row r="25" spans="2:10">
      <c r="B25" t="s">
        <v>157</v>
      </c>
      <c r="C25" t="s">
        <v>111</v>
      </c>
      <c r="D25" t="s">
        <v>158</v>
      </c>
      <c r="E25">
        <v>265</v>
      </c>
    </row>
    <row r="26" spans="2:10">
      <c r="B26" t="s">
        <v>157</v>
      </c>
      <c r="C26" t="s">
        <v>95</v>
      </c>
      <c r="D26" t="s">
        <v>158</v>
      </c>
      <c r="E26" s="41">
        <v>0</v>
      </c>
    </row>
    <row r="27" spans="2:10">
      <c r="B27" t="s">
        <v>157</v>
      </c>
      <c r="C27" t="s">
        <v>79</v>
      </c>
      <c r="D27" t="s">
        <v>158</v>
      </c>
      <c r="E27">
        <v>265</v>
      </c>
    </row>
    <row r="28" spans="2:10">
      <c r="B28" t="s">
        <v>157</v>
      </c>
      <c r="C28" t="s">
        <v>143</v>
      </c>
      <c r="D28" t="s">
        <v>158</v>
      </c>
      <c r="E28">
        <v>265</v>
      </c>
    </row>
    <row r="29" spans="2:10">
      <c r="B29" t="s">
        <v>157</v>
      </c>
      <c r="C29" t="s">
        <v>18</v>
      </c>
      <c r="D29" t="s">
        <v>158</v>
      </c>
      <c r="E29">
        <v>1</v>
      </c>
    </row>
    <row r="30" spans="2:10">
      <c r="B30" t="s">
        <v>157</v>
      </c>
      <c r="C30" t="s">
        <v>20</v>
      </c>
      <c r="D30" t="s">
        <v>158</v>
      </c>
      <c r="E30">
        <v>28</v>
      </c>
    </row>
    <row r="31" spans="2:10">
      <c r="B31" t="s">
        <v>157</v>
      </c>
      <c r="C31" t="s">
        <v>19</v>
      </c>
      <c r="D31" t="s">
        <v>158</v>
      </c>
      <c r="E31">
        <v>1</v>
      </c>
    </row>
    <row r="32" spans="2:10" ht="15">
      <c r="B32" s="5" t="s">
        <v>157</v>
      </c>
      <c r="C32" s="5" t="s">
        <v>161</v>
      </c>
      <c r="D32" s="5" t="s">
        <v>158</v>
      </c>
      <c r="E32" s="5">
        <v>1</v>
      </c>
      <c r="F32" s="5"/>
      <c r="G32" s="5"/>
      <c r="H32" s="5"/>
      <c r="I32" s="5"/>
      <c r="J32" s="5"/>
    </row>
    <row r="33" spans="2:10" ht="15">
      <c r="B33" s="5" t="s">
        <v>157</v>
      </c>
      <c r="C33" s="5" t="s">
        <v>162</v>
      </c>
      <c r="D33" s="5" t="s">
        <v>158</v>
      </c>
      <c r="E33" s="5">
        <v>1</v>
      </c>
      <c r="F33" s="5"/>
      <c r="G33" s="5"/>
      <c r="H33" s="5"/>
      <c r="I33" s="5"/>
      <c r="J33" s="5"/>
    </row>
    <row r="34" spans="2:10" ht="15">
      <c r="B34" s="5" t="s">
        <v>157</v>
      </c>
      <c r="C34" s="5" t="s">
        <v>163</v>
      </c>
      <c r="D34" s="5" t="s">
        <v>158</v>
      </c>
      <c r="E34" s="5">
        <v>1</v>
      </c>
      <c r="F34" s="5"/>
      <c r="G34" s="5"/>
      <c r="H34" s="5"/>
      <c r="I34" s="5"/>
      <c r="J34" s="5"/>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C9DA4-E441-407B-9029-809478807945}">
  <sheetPr>
    <tabColor theme="4"/>
  </sheetPr>
  <dimension ref="B6:AK8"/>
  <sheetViews>
    <sheetView tabSelected="1" workbookViewId="0">
      <selection activeCell="A14" sqref="A14"/>
    </sheetView>
  </sheetViews>
  <sheetFormatPr defaultRowHeight="12.75"/>
  <cols>
    <col min="2" max="2" width="16.28515625" customWidth="1"/>
    <col min="3" max="3" width="10.85546875" bestFit="1" customWidth="1"/>
    <col min="4" max="4" width="9.140625" customWidth="1"/>
  </cols>
  <sheetData>
    <row r="6" spans="2:37" ht="15.75" thickBot="1">
      <c r="B6" s="35" t="s">
        <v>222</v>
      </c>
    </row>
    <row r="7" spans="2:37" ht="15">
      <c r="B7" s="37" t="s">
        <v>223</v>
      </c>
      <c r="C7" s="37" t="s">
        <v>224</v>
      </c>
      <c r="D7" s="37" t="s">
        <v>219</v>
      </c>
      <c r="E7" s="37">
        <v>2012</v>
      </c>
      <c r="F7" s="37">
        <f>E7+1</f>
        <v>2013</v>
      </c>
      <c r="G7" s="37">
        <f t="shared" ref="G7:AG7" si="0">F7+1</f>
        <v>2014</v>
      </c>
      <c r="H7" s="37">
        <f t="shared" si="0"/>
        <v>2015</v>
      </c>
      <c r="I7" s="37">
        <f t="shared" si="0"/>
        <v>2016</v>
      </c>
      <c r="J7" s="37">
        <f t="shared" si="0"/>
        <v>2017</v>
      </c>
      <c r="K7" s="37">
        <f t="shared" si="0"/>
        <v>2018</v>
      </c>
      <c r="L7" s="37">
        <f t="shared" si="0"/>
        <v>2019</v>
      </c>
      <c r="M7" s="37">
        <f t="shared" si="0"/>
        <v>2020</v>
      </c>
      <c r="N7" s="37">
        <f t="shared" si="0"/>
        <v>2021</v>
      </c>
      <c r="O7" s="37">
        <f t="shared" si="0"/>
        <v>2022</v>
      </c>
      <c r="P7" s="37">
        <f t="shared" si="0"/>
        <v>2023</v>
      </c>
      <c r="Q7" s="37">
        <f t="shared" si="0"/>
        <v>2024</v>
      </c>
      <c r="R7" s="37">
        <f t="shared" si="0"/>
        <v>2025</v>
      </c>
      <c r="S7" s="37">
        <f t="shared" si="0"/>
        <v>2026</v>
      </c>
      <c r="T7" s="37">
        <f t="shared" si="0"/>
        <v>2027</v>
      </c>
      <c r="U7" s="37">
        <f t="shared" si="0"/>
        <v>2028</v>
      </c>
      <c r="V7" s="37">
        <f t="shared" si="0"/>
        <v>2029</v>
      </c>
      <c r="W7" s="37">
        <f t="shared" si="0"/>
        <v>2030</v>
      </c>
      <c r="X7" s="37">
        <f t="shared" si="0"/>
        <v>2031</v>
      </c>
      <c r="Y7" s="37">
        <f t="shared" si="0"/>
        <v>2032</v>
      </c>
      <c r="Z7" s="37">
        <f t="shared" si="0"/>
        <v>2033</v>
      </c>
      <c r="AA7" s="37">
        <f t="shared" si="0"/>
        <v>2034</v>
      </c>
      <c r="AB7" s="37">
        <f t="shared" si="0"/>
        <v>2035</v>
      </c>
      <c r="AC7" s="37">
        <f t="shared" si="0"/>
        <v>2036</v>
      </c>
      <c r="AD7" s="37">
        <f t="shared" si="0"/>
        <v>2037</v>
      </c>
      <c r="AE7" s="37">
        <f t="shared" si="0"/>
        <v>2038</v>
      </c>
      <c r="AF7" s="37">
        <f t="shared" si="0"/>
        <v>2039</v>
      </c>
      <c r="AG7" s="37">
        <f t="shared" si="0"/>
        <v>2040</v>
      </c>
      <c r="AH7" s="37">
        <v>2045</v>
      </c>
      <c r="AI7" s="37">
        <v>2050</v>
      </c>
      <c r="AJ7" s="37">
        <v>2060</v>
      </c>
      <c r="AK7" s="37">
        <v>2070</v>
      </c>
    </row>
    <row r="8" spans="2:37" ht="15">
      <c r="B8" t="s">
        <v>159</v>
      </c>
      <c r="C8" t="s">
        <v>158</v>
      </c>
      <c r="D8" t="s">
        <v>2</v>
      </c>
      <c r="K8" s="3">
        <v>0</v>
      </c>
      <c r="L8">
        <f>CO2TaxInputs!E10</f>
        <v>3.4574946524064169E-2</v>
      </c>
      <c r="M8">
        <f>CO2TaxInputs!F10</f>
        <v>3.5266445454545457E-2</v>
      </c>
      <c r="N8">
        <f>CO2TaxInputs!G10</f>
        <v>3.5971774363636362E-2</v>
      </c>
      <c r="O8">
        <f>CO2TaxInputs!H10</f>
        <v>3.6691209850909096E-2</v>
      </c>
      <c r="P8">
        <f>CO2TaxInputs!I10</f>
        <v>6.9135093502530442E-2</v>
      </c>
      <c r="Q8">
        <f>CO2TaxInputs!J10</f>
        <v>0.10157897715415536</v>
      </c>
      <c r="R8">
        <f>CO2TaxInputs!K10</f>
        <v>0.13402286080578027</v>
      </c>
      <c r="S8">
        <f>CO2TaxInputs!L10</f>
        <v>0.1664667444574052</v>
      </c>
      <c r="T8">
        <f>CO2TaxInputs!M10</f>
        <v>0.23049241540256707</v>
      </c>
      <c r="U8">
        <f>CO2TaxInputs!N10</f>
        <v>0.30412193698949824</v>
      </c>
      <c r="V8">
        <f>CO2TaxInputs!O10</f>
        <v>0.38735530921820299</v>
      </c>
      <c r="W8">
        <f>CO2TaxInputs!P10</f>
        <v>0.48019253208868146</v>
      </c>
      <c r="X8">
        <f>CO2TaxInputs!Q10</f>
        <v>0.54879146524420719</v>
      </c>
      <c r="Y8">
        <f>CO2TaxInputs!R10</f>
        <v>0.61739039839973331</v>
      </c>
      <c r="Z8">
        <f>CO2TaxInputs!S10</f>
        <v>0.68598933155525899</v>
      </c>
      <c r="AA8">
        <f>CO2TaxInputs!T10</f>
        <v>0.75458826471078499</v>
      </c>
      <c r="AB8">
        <f>CO2TaxInputs!U10</f>
        <v>0.82318719786631089</v>
      </c>
      <c r="AC8">
        <f>CO2TaxInputs!V10</f>
        <v>0.89178613102183679</v>
      </c>
      <c r="AD8">
        <f>CO2TaxInputs!W10</f>
        <v>0.9603850641773628</v>
      </c>
      <c r="AE8">
        <f>CO2TaxInputs!X10</f>
        <v>1.0289839973328887</v>
      </c>
      <c r="AF8">
        <f>CO2TaxInputs!Y10</f>
        <v>1.0975829304884144</v>
      </c>
      <c r="AG8">
        <f>CO2TaxInputs!Z10</f>
        <v>1.1661818636439407</v>
      </c>
      <c r="AH8">
        <f>CO2TaxInputs!AA10</f>
        <v>1.5091765294215707</v>
      </c>
      <c r="AI8">
        <f>CO2TaxInputs!AB10</f>
        <v>1.8521711951992008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8603C-52C8-4901-8929-8EEE898C946A}">
  <sheetPr>
    <tabColor rgb="FF92D050"/>
  </sheetPr>
  <dimension ref="A1:O59"/>
  <sheetViews>
    <sheetView topLeftCell="A11" workbookViewId="0">
      <selection activeCell="O35" sqref="O35:O43"/>
    </sheetView>
  </sheetViews>
  <sheetFormatPr defaultColWidth="12.5703125" defaultRowHeight="15.75"/>
  <cols>
    <col min="1" max="10" width="12.5703125" style="6"/>
    <col min="11" max="11" width="34.42578125" style="6" customWidth="1"/>
    <col min="12" max="12" width="6.85546875" style="6" customWidth="1"/>
    <col min="13" max="16384" width="12.5703125" style="6"/>
  </cols>
  <sheetData>
    <row r="1" spans="1:15" ht="110.25">
      <c r="B1" s="7" t="s">
        <v>166</v>
      </c>
      <c r="C1" s="7" t="s">
        <v>167</v>
      </c>
      <c r="D1" s="7" t="s">
        <v>168</v>
      </c>
      <c r="E1" s="7" t="s">
        <v>169</v>
      </c>
      <c r="F1" s="7" t="s">
        <v>170</v>
      </c>
      <c r="G1" s="7" t="s">
        <v>171</v>
      </c>
      <c r="I1" s="7" t="s">
        <v>172</v>
      </c>
      <c r="J1" s="8" t="s">
        <v>173</v>
      </c>
      <c r="K1" s="6" t="s">
        <v>210</v>
      </c>
      <c r="M1" s="7" t="s">
        <v>211</v>
      </c>
      <c r="N1" s="7" t="s">
        <v>212</v>
      </c>
      <c r="O1" s="6" t="s">
        <v>164</v>
      </c>
    </row>
    <row r="2" spans="1:15">
      <c r="A2" s="6">
        <v>2019</v>
      </c>
      <c r="B2" s="7"/>
      <c r="C2" s="7"/>
      <c r="D2" s="7"/>
      <c r="E2" s="7"/>
      <c r="F2" s="7"/>
      <c r="G2" s="7"/>
      <c r="I2" s="7"/>
      <c r="J2" s="8"/>
      <c r="K2" s="6">
        <v>0.92589689040582668</v>
      </c>
      <c r="M2" s="7"/>
      <c r="N2" s="33">
        <f t="array" ref="N2:N13">TRANSPOSE(CO2TaxInputs!E3:P3)</f>
        <v>30</v>
      </c>
      <c r="O2" s="33">
        <f>N2</f>
        <v>30</v>
      </c>
    </row>
    <row r="3" spans="1:15">
      <c r="A3" s="6">
        <v>2020</v>
      </c>
      <c r="B3" s="7"/>
      <c r="C3" s="7"/>
      <c r="D3" s="7"/>
      <c r="E3" s="7"/>
      <c r="F3" s="7"/>
      <c r="G3" s="7"/>
      <c r="I3" s="7"/>
      <c r="J3" s="8"/>
      <c r="K3" s="6" t="s">
        <v>213</v>
      </c>
      <c r="M3" s="7"/>
      <c r="N3" s="33">
        <v>30.6</v>
      </c>
      <c r="O3" s="33">
        <f>N3</f>
        <v>30.6</v>
      </c>
    </row>
    <row r="4" spans="1:15">
      <c r="A4" s="6">
        <v>2021</v>
      </c>
      <c r="B4" s="9">
        <v>134</v>
      </c>
      <c r="C4" s="9">
        <f t="shared" ref="C4:C43" si="0">B4*(1-$J$16)</f>
        <v>53.6</v>
      </c>
      <c r="D4" s="9">
        <f t="shared" ref="D4:D43" si="1">C4*(1-$J$17)</f>
        <v>2.6800000000000024</v>
      </c>
      <c r="E4" s="9">
        <f>B4</f>
        <v>134</v>
      </c>
      <c r="F4" s="9">
        <f>C4</f>
        <v>53.6</v>
      </c>
      <c r="K4" s="6">
        <v>14.435708333333336</v>
      </c>
      <c r="M4" s="32">
        <f>F4*$K$2</f>
        <v>49.628073325752311</v>
      </c>
      <c r="N4" s="33">
        <v>31.212000000000003</v>
      </c>
      <c r="O4" s="33">
        <f>N4</f>
        <v>31.212000000000003</v>
      </c>
    </row>
    <row r="5" spans="1:15">
      <c r="A5" s="6">
        <v>2022</v>
      </c>
      <c r="B5" s="9">
        <v>144</v>
      </c>
      <c r="C5" s="9">
        <f t="shared" si="0"/>
        <v>57.6</v>
      </c>
      <c r="D5" s="9">
        <f t="shared" si="1"/>
        <v>2.8800000000000026</v>
      </c>
      <c r="E5" s="9">
        <f t="shared" ref="E5" si="2">B5</f>
        <v>144</v>
      </c>
      <c r="F5" s="9">
        <f>C5</f>
        <v>57.6</v>
      </c>
      <c r="J5" s="10"/>
      <c r="M5" s="32">
        <f>F5*$K$2</f>
        <v>53.331660887375619</v>
      </c>
      <c r="N5" s="33">
        <v>31.836240000000004</v>
      </c>
      <c r="O5" s="33">
        <f>N5</f>
        <v>31.836240000000004</v>
      </c>
    </row>
    <row r="6" spans="1:15">
      <c r="A6" s="6">
        <v>2023</v>
      </c>
      <c r="B6" s="9">
        <f>(B$9-B$5)/4+B5</f>
        <v>183</v>
      </c>
      <c r="C6" s="9">
        <f t="shared" si="0"/>
        <v>73.2</v>
      </c>
      <c r="D6" s="9">
        <f t="shared" si="1"/>
        <v>3.6600000000000033</v>
      </c>
      <c r="E6" s="9">
        <f>E5*(1+$J$18)</f>
        <v>150.33600000000001</v>
      </c>
      <c r="F6" s="9">
        <f>C6</f>
        <v>73.2</v>
      </c>
      <c r="I6" s="11">
        <v>640</v>
      </c>
      <c r="J6" s="10">
        <f>I6/J15</f>
        <v>42.666666666666664</v>
      </c>
      <c r="M6" s="32">
        <f>F6*$K$2</f>
        <v>67.775652377706521</v>
      </c>
      <c r="N6" s="33">
        <v>32.472964800000007</v>
      </c>
      <c r="O6" s="33">
        <f>_xlfn.FORECAST.LINEAR(A6,CHOOSE({1;2},$N$5,$M$9),CHOOSE({1;2},$A$5,$A$9))</f>
        <v>59.987158725823974</v>
      </c>
    </row>
    <row r="7" spans="1:15">
      <c r="A7" s="6">
        <v>2024</v>
      </c>
      <c r="B7" s="9">
        <f t="shared" ref="B7:B8" si="3">(B$9-B$5)/4+B6</f>
        <v>222</v>
      </c>
      <c r="C7" s="9">
        <f t="shared" si="0"/>
        <v>88.800000000000011</v>
      </c>
      <c r="D7" s="9">
        <f t="shared" si="1"/>
        <v>4.4400000000000048</v>
      </c>
      <c r="E7" s="9">
        <f t="shared" ref="E7:E43" si="4">E6*(1+$J$18)</f>
        <v>156.95078400000003</v>
      </c>
      <c r="F7" s="9">
        <f>C7</f>
        <v>88.800000000000011</v>
      </c>
      <c r="M7" s="32">
        <f>F7*$K$2</f>
        <v>82.219643868037423</v>
      </c>
      <c r="N7" s="33" t="str">
        <v/>
      </c>
      <c r="O7" s="33">
        <f>_xlfn.FORECAST.LINEAR(A7,CHOOSE({1;2},$N$5,$M$9),CHOOSE({1;2},$A$5,$A$9))</f>
        <v>88.138077451651043</v>
      </c>
    </row>
    <row r="8" spans="1:15">
      <c r="A8" s="6">
        <v>2025</v>
      </c>
      <c r="B8" s="9">
        <f t="shared" si="3"/>
        <v>261</v>
      </c>
      <c r="C8" s="9">
        <f t="shared" si="0"/>
        <v>104.4</v>
      </c>
      <c r="D8" s="9">
        <f t="shared" si="1"/>
        <v>5.2200000000000051</v>
      </c>
      <c r="E8" s="9">
        <f t="shared" si="4"/>
        <v>163.85661849600004</v>
      </c>
      <c r="F8" s="9">
        <f>C8</f>
        <v>104.4</v>
      </c>
      <c r="H8" s="12">
        <f>J16</f>
        <v>0.6</v>
      </c>
      <c r="M8" s="32">
        <f>F8*$K$2</f>
        <v>96.66363535836831</v>
      </c>
      <c r="N8" s="33" t="str">
        <v/>
      </c>
      <c r="O8" s="33">
        <f>_xlfn.FORECAST.LINEAR(A8,CHOOSE({1;2},$N$5,$M$9),CHOOSE({1;2},$A$5,$A$9))</f>
        <v>116.28899617747811</v>
      </c>
    </row>
    <row r="9" spans="1:15">
      <c r="A9" s="6">
        <v>2026</v>
      </c>
      <c r="B9" s="9">
        <v>300</v>
      </c>
      <c r="C9" s="9">
        <f t="shared" si="0"/>
        <v>120</v>
      </c>
      <c r="D9" s="9">
        <f t="shared" si="1"/>
        <v>6.0000000000000053</v>
      </c>
      <c r="E9" s="9">
        <f t="shared" si="4"/>
        <v>171.06630970982405</v>
      </c>
      <c r="F9" s="34">
        <f t="shared" ref="F9:F43" si="5">B9*(1-H9)</f>
        <v>156</v>
      </c>
      <c r="G9" s="13">
        <v>20</v>
      </c>
      <c r="H9" s="12">
        <f>H$8/5*4</f>
        <v>0.48</v>
      </c>
      <c r="M9" s="32">
        <f>F9*$K$2</f>
        <v>144.43991490330896</v>
      </c>
      <c r="N9" s="33" t="str">
        <v/>
      </c>
      <c r="O9" s="33">
        <f>_xlfn.FORECAST.LINEAR(A9,CHOOSE({1;2},$N$5,$M$9),CHOOSE({1;2},$A$5,$A$9))</f>
        <v>144.43991490330518</v>
      </c>
    </row>
    <row r="10" spans="1:15">
      <c r="A10" s="6">
        <v>2027</v>
      </c>
      <c r="B10" s="9">
        <f>(B$13-B$9)/4+B9</f>
        <v>337.5</v>
      </c>
      <c r="C10" s="9">
        <f t="shared" si="0"/>
        <v>135</v>
      </c>
      <c r="D10" s="9">
        <f t="shared" si="1"/>
        <v>6.7500000000000062</v>
      </c>
      <c r="E10" s="9">
        <f t="shared" si="4"/>
        <v>178.59322733705631</v>
      </c>
      <c r="F10" s="9">
        <f t="shared" si="5"/>
        <v>216</v>
      </c>
      <c r="G10" s="10"/>
      <c r="H10" s="12">
        <f>H$8/5*3</f>
        <v>0.36</v>
      </c>
      <c r="M10" s="32">
        <f>F10*$K$2</f>
        <v>199.99372832765857</v>
      </c>
      <c r="N10" s="33" t="str">
        <v/>
      </c>
      <c r="O10" s="33">
        <f>M10</f>
        <v>199.99372832765857</v>
      </c>
    </row>
    <row r="11" spans="1:15">
      <c r="A11" s="6">
        <v>2028</v>
      </c>
      <c r="B11" s="9">
        <f t="shared" ref="B11:B12" si="6">(B$13-B$9)/4+B10</f>
        <v>375</v>
      </c>
      <c r="C11" s="9">
        <f t="shared" si="0"/>
        <v>150</v>
      </c>
      <c r="D11" s="9">
        <f t="shared" si="1"/>
        <v>7.5000000000000071</v>
      </c>
      <c r="E11" s="9">
        <f t="shared" si="4"/>
        <v>186.4513293398868</v>
      </c>
      <c r="F11" s="9">
        <f t="shared" si="5"/>
        <v>285</v>
      </c>
      <c r="G11" s="10"/>
      <c r="H11" s="12">
        <f>H$8/5*2</f>
        <v>0.24</v>
      </c>
      <c r="M11" s="32">
        <f>F11*$K$2</f>
        <v>263.8806137656606</v>
      </c>
      <c r="N11" s="33" t="str">
        <v/>
      </c>
      <c r="O11" s="33">
        <f t="shared" ref="O11:O34" si="7">M11</f>
        <v>263.8806137656606</v>
      </c>
    </row>
    <row r="12" spans="1:15">
      <c r="A12" s="6">
        <v>2029</v>
      </c>
      <c r="B12" s="9">
        <f t="shared" si="6"/>
        <v>412.5</v>
      </c>
      <c r="C12" s="9">
        <f t="shared" si="0"/>
        <v>165</v>
      </c>
      <c r="D12" s="9">
        <f t="shared" si="1"/>
        <v>8.2500000000000071</v>
      </c>
      <c r="E12" s="9">
        <f>E11*(1+$J$18)</f>
        <v>194.65518783084181</v>
      </c>
      <c r="F12" s="9">
        <f t="shared" si="5"/>
        <v>363</v>
      </c>
      <c r="G12" s="10"/>
      <c r="H12" s="12">
        <f>H$8/5*1</f>
        <v>0.12</v>
      </c>
      <c r="M12" s="32">
        <f>F12*$K$2</f>
        <v>336.10057121731506</v>
      </c>
      <c r="N12" s="33" t="str">
        <v/>
      </c>
      <c r="O12" s="33">
        <f t="shared" si="7"/>
        <v>336.10057121731506</v>
      </c>
    </row>
    <row r="13" spans="1:15">
      <c r="A13" s="6">
        <v>2030</v>
      </c>
      <c r="B13" s="9">
        <f>G13*$J$15</f>
        <v>450</v>
      </c>
      <c r="C13" s="9">
        <f t="shared" si="0"/>
        <v>180</v>
      </c>
      <c r="D13" s="9">
        <f t="shared" si="1"/>
        <v>9.0000000000000071</v>
      </c>
      <c r="E13" s="9">
        <f t="shared" si="4"/>
        <v>203.22001609539885</v>
      </c>
      <c r="F13" s="9">
        <f t="shared" si="5"/>
        <v>450</v>
      </c>
      <c r="G13" s="13">
        <v>30</v>
      </c>
      <c r="H13" s="12">
        <f>H$8/5*0</f>
        <v>0</v>
      </c>
      <c r="M13" s="32">
        <f>F13*$K$2</f>
        <v>416.65360068262203</v>
      </c>
      <c r="N13" s="33">
        <v>159.1</v>
      </c>
      <c r="O13" s="33">
        <f t="shared" si="7"/>
        <v>416.65360068262203</v>
      </c>
    </row>
    <row r="14" spans="1:15">
      <c r="A14" s="6">
        <v>2031</v>
      </c>
      <c r="B14" s="9">
        <f t="shared" ref="B14:B43" si="8">G14*$J$15</f>
        <v>514.28571428571422</v>
      </c>
      <c r="C14" s="9">
        <f t="shared" si="0"/>
        <v>205.71428571428569</v>
      </c>
      <c r="D14" s="9">
        <f t="shared" si="1"/>
        <v>10.285714285714294</v>
      </c>
      <c r="E14" s="9">
        <f t="shared" si="4"/>
        <v>212.16169680359641</v>
      </c>
      <c r="F14" s="9">
        <f t="shared" si="5"/>
        <v>514.28571428571422</v>
      </c>
      <c r="G14" s="10">
        <f>G13+(G$34-G$13)/(A$34-A$13)</f>
        <v>34.285714285714285</v>
      </c>
      <c r="H14" s="12">
        <f t="shared" ref="H14:H43" si="9">H$8/5*0</f>
        <v>0</v>
      </c>
      <c r="J14" s="14" t="s">
        <v>174</v>
      </c>
      <c r="K14" s="14"/>
      <c r="L14" s="14"/>
      <c r="M14" s="32">
        <f>F14*$K$2</f>
        <v>476.1755436372822</v>
      </c>
      <c r="O14" s="33">
        <f t="shared" si="7"/>
        <v>476.1755436372822</v>
      </c>
    </row>
    <row r="15" spans="1:15">
      <c r="A15" s="6">
        <v>2032</v>
      </c>
      <c r="B15" s="9">
        <f t="shared" si="8"/>
        <v>578.57142857142856</v>
      </c>
      <c r="C15" s="9">
        <f t="shared" si="0"/>
        <v>231.42857142857144</v>
      </c>
      <c r="D15" s="9">
        <f t="shared" si="1"/>
        <v>11.571428571428582</v>
      </c>
      <c r="E15" s="9">
        <f t="shared" si="4"/>
        <v>221.49681146295467</v>
      </c>
      <c r="F15" s="9">
        <f t="shared" si="5"/>
        <v>578.57142857142856</v>
      </c>
      <c r="G15" s="10">
        <f t="shared" ref="G15:G33" si="10">G14+(G$34-G$13)/(A$34-A$13)</f>
        <v>38.571428571428569</v>
      </c>
      <c r="H15" s="12">
        <f t="shared" si="9"/>
        <v>0</v>
      </c>
      <c r="J15" s="14">
        <v>15</v>
      </c>
      <c r="K15" s="14" t="s">
        <v>175</v>
      </c>
      <c r="L15" s="14"/>
      <c r="M15" s="32">
        <f>F15*$K$2</f>
        <v>535.69748659194261</v>
      </c>
      <c r="O15" s="33">
        <f t="shared" si="7"/>
        <v>535.69748659194261</v>
      </c>
    </row>
    <row r="16" spans="1:15">
      <c r="A16" s="6">
        <v>2033</v>
      </c>
      <c r="B16" s="9">
        <f t="shared" si="8"/>
        <v>642.85714285714278</v>
      </c>
      <c r="C16" s="9">
        <f t="shared" si="0"/>
        <v>257.14285714285711</v>
      </c>
      <c r="D16" s="9">
        <f t="shared" si="1"/>
        <v>12.857142857142867</v>
      </c>
      <c r="E16" s="9">
        <f t="shared" si="4"/>
        <v>231.24267116732469</v>
      </c>
      <c r="F16" s="9">
        <f t="shared" si="5"/>
        <v>642.85714285714278</v>
      </c>
      <c r="G16" s="10">
        <f t="shared" si="10"/>
        <v>42.857142857142854</v>
      </c>
      <c r="H16" s="12">
        <f t="shared" si="9"/>
        <v>0</v>
      </c>
      <c r="J16" s="15">
        <v>0.6</v>
      </c>
      <c r="K16" s="16" t="s">
        <v>176</v>
      </c>
      <c r="L16" s="16"/>
      <c r="M16" s="32">
        <f>F16*$K$2</f>
        <v>595.21942954660278</v>
      </c>
      <c r="O16" s="33">
        <f t="shared" si="7"/>
        <v>595.21942954660278</v>
      </c>
    </row>
    <row r="17" spans="1:15">
      <c r="A17" s="6">
        <v>2034</v>
      </c>
      <c r="B17" s="9">
        <f t="shared" si="8"/>
        <v>707.14285714285711</v>
      </c>
      <c r="C17" s="9">
        <f t="shared" si="0"/>
        <v>282.85714285714283</v>
      </c>
      <c r="D17" s="9">
        <f t="shared" si="1"/>
        <v>14.142857142857155</v>
      </c>
      <c r="E17" s="9">
        <f t="shared" si="4"/>
        <v>241.41734869868699</v>
      </c>
      <c r="F17" s="9">
        <f t="shared" si="5"/>
        <v>707.14285714285711</v>
      </c>
      <c r="G17" s="10">
        <f t="shared" si="10"/>
        <v>47.142857142857139</v>
      </c>
      <c r="H17" s="12">
        <f t="shared" si="9"/>
        <v>0</v>
      </c>
      <c r="J17" s="15">
        <v>0.95</v>
      </c>
      <c r="K17" s="14" t="s">
        <v>177</v>
      </c>
      <c r="L17" s="14"/>
      <c r="M17" s="32">
        <f>F17*$K$2</f>
        <v>654.74137250126307</v>
      </c>
      <c r="O17" s="33">
        <f t="shared" si="7"/>
        <v>654.74137250126307</v>
      </c>
    </row>
    <row r="18" spans="1:15">
      <c r="A18" s="6">
        <v>2035</v>
      </c>
      <c r="B18" s="9">
        <f t="shared" si="8"/>
        <v>771.42857142857133</v>
      </c>
      <c r="C18" s="9">
        <f t="shared" si="0"/>
        <v>308.57142857142856</v>
      </c>
      <c r="D18" s="9">
        <f t="shared" si="1"/>
        <v>15.428571428571441</v>
      </c>
      <c r="E18" s="9">
        <f t="shared" si="4"/>
        <v>252.03971204142923</v>
      </c>
      <c r="F18" s="9">
        <f t="shared" si="5"/>
        <v>771.42857142857133</v>
      </c>
      <c r="G18" s="10">
        <f t="shared" si="10"/>
        <v>51.428571428571423</v>
      </c>
      <c r="H18" s="12">
        <f t="shared" si="9"/>
        <v>0</v>
      </c>
      <c r="J18" s="17">
        <v>4.3999999999999997E-2</v>
      </c>
      <c r="K18" s="14" t="s">
        <v>178</v>
      </c>
      <c r="L18" s="14"/>
      <c r="M18" s="32">
        <f>F18*$K$2</f>
        <v>714.26331545592336</v>
      </c>
      <c r="O18" s="33">
        <f t="shared" si="7"/>
        <v>714.26331545592336</v>
      </c>
    </row>
    <row r="19" spans="1:15">
      <c r="A19" s="6">
        <v>2036</v>
      </c>
      <c r="B19" s="9">
        <f t="shared" si="8"/>
        <v>835.71428571428567</v>
      </c>
      <c r="C19" s="9">
        <f t="shared" si="0"/>
        <v>334.28571428571428</v>
      </c>
      <c r="D19" s="9">
        <f t="shared" si="1"/>
        <v>16.71428571428573</v>
      </c>
      <c r="E19" s="9">
        <f t="shared" si="4"/>
        <v>263.1294593712521</v>
      </c>
      <c r="F19" s="9">
        <f t="shared" si="5"/>
        <v>835.71428571428567</v>
      </c>
      <c r="G19" s="10">
        <f t="shared" si="10"/>
        <v>55.714285714285708</v>
      </c>
      <c r="H19" s="12">
        <f t="shared" si="9"/>
        <v>0</v>
      </c>
      <c r="M19" s="32">
        <f>F19*$K$2</f>
        <v>773.78525841058365</v>
      </c>
      <c r="O19" s="33">
        <f t="shared" si="7"/>
        <v>773.78525841058365</v>
      </c>
    </row>
    <row r="20" spans="1:15">
      <c r="A20" s="6">
        <v>2037</v>
      </c>
      <c r="B20" s="9">
        <f t="shared" si="8"/>
        <v>899.99999999999989</v>
      </c>
      <c r="C20" s="9">
        <f t="shared" si="0"/>
        <v>360</v>
      </c>
      <c r="D20" s="9">
        <f t="shared" si="1"/>
        <v>18.000000000000014</v>
      </c>
      <c r="E20" s="9">
        <f t="shared" si="4"/>
        <v>274.70715558358722</v>
      </c>
      <c r="F20" s="9">
        <f t="shared" si="5"/>
        <v>899.99999999999989</v>
      </c>
      <c r="G20" s="10">
        <f t="shared" si="10"/>
        <v>59.999999999999993</v>
      </c>
      <c r="H20" s="12">
        <f t="shared" si="9"/>
        <v>0</v>
      </c>
      <c r="M20" s="32">
        <f>F20*$K$2</f>
        <v>833.30720136524394</v>
      </c>
      <c r="O20" s="33">
        <f t="shared" si="7"/>
        <v>833.30720136524394</v>
      </c>
    </row>
    <row r="21" spans="1:15">
      <c r="A21" s="6">
        <v>2038</v>
      </c>
      <c r="B21" s="9">
        <f t="shared" si="8"/>
        <v>964.28571428571422</v>
      </c>
      <c r="C21" s="9">
        <f t="shared" si="0"/>
        <v>385.71428571428572</v>
      </c>
      <c r="D21" s="9">
        <f t="shared" si="1"/>
        <v>19.285714285714302</v>
      </c>
      <c r="E21" s="9">
        <f t="shared" si="4"/>
        <v>286.79427042926505</v>
      </c>
      <c r="F21" s="9">
        <f t="shared" si="5"/>
        <v>964.28571428571422</v>
      </c>
      <c r="G21" s="10">
        <f t="shared" si="10"/>
        <v>64.285714285714278</v>
      </c>
      <c r="H21" s="12">
        <f t="shared" si="9"/>
        <v>0</v>
      </c>
      <c r="M21" s="32">
        <f>F21*$K$2</f>
        <v>892.82914431990423</v>
      </c>
      <c r="O21" s="33">
        <f t="shared" si="7"/>
        <v>892.82914431990423</v>
      </c>
    </row>
    <row r="22" spans="1:15">
      <c r="A22" s="6">
        <v>2039</v>
      </c>
      <c r="B22" s="9">
        <f t="shared" si="8"/>
        <v>1028.5714285714284</v>
      </c>
      <c r="C22" s="9">
        <f t="shared" si="0"/>
        <v>411.42857142857139</v>
      </c>
      <c r="D22" s="9">
        <f t="shared" si="1"/>
        <v>20.571428571428587</v>
      </c>
      <c r="E22" s="9">
        <f t="shared" si="4"/>
        <v>299.41321832815271</v>
      </c>
      <c r="F22" s="9">
        <f t="shared" si="5"/>
        <v>1028.5714285714284</v>
      </c>
      <c r="G22" s="10">
        <f t="shared" si="10"/>
        <v>68.571428571428569</v>
      </c>
      <c r="H22" s="12">
        <f t="shared" si="9"/>
        <v>0</v>
      </c>
      <c r="M22" s="32">
        <f>F22*$K$2</f>
        <v>952.35108727456441</v>
      </c>
      <c r="O22" s="33">
        <f t="shared" si="7"/>
        <v>952.35108727456441</v>
      </c>
    </row>
    <row r="23" spans="1:15">
      <c r="A23" s="6">
        <v>2040</v>
      </c>
      <c r="B23" s="9">
        <f t="shared" si="8"/>
        <v>1092.8571428571429</v>
      </c>
      <c r="C23" s="9">
        <f t="shared" si="0"/>
        <v>437.14285714285717</v>
      </c>
      <c r="D23" s="9">
        <f t="shared" si="1"/>
        <v>21.857142857142879</v>
      </c>
      <c r="E23" s="9">
        <f t="shared" si="4"/>
        <v>312.58739993459142</v>
      </c>
      <c r="F23" s="9">
        <f t="shared" si="5"/>
        <v>1092.8571428571429</v>
      </c>
      <c r="G23" s="10">
        <f t="shared" si="10"/>
        <v>72.857142857142861</v>
      </c>
      <c r="H23" s="12">
        <f t="shared" si="9"/>
        <v>0</v>
      </c>
      <c r="M23" s="32">
        <f>F23*$K$2</f>
        <v>1011.8730302292249</v>
      </c>
      <c r="O23" s="33">
        <f t="shared" si="7"/>
        <v>1011.8730302292249</v>
      </c>
    </row>
    <row r="24" spans="1:15">
      <c r="A24" s="6">
        <v>2041</v>
      </c>
      <c r="B24" s="9">
        <f t="shared" si="8"/>
        <v>1157.1428571428573</v>
      </c>
      <c r="C24" s="9">
        <f t="shared" si="0"/>
        <v>462.85714285714295</v>
      </c>
      <c r="D24" s="9">
        <f t="shared" si="1"/>
        <v>23.142857142857167</v>
      </c>
      <c r="E24" s="9">
        <f t="shared" si="4"/>
        <v>326.34124553171347</v>
      </c>
      <c r="F24" s="9">
        <f t="shared" si="5"/>
        <v>1157.1428571428573</v>
      </c>
      <c r="G24" s="10">
        <f t="shared" si="10"/>
        <v>77.142857142857153</v>
      </c>
      <c r="H24" s="12">
        <f t="shared" si="9"/>
        <v>0</v>
      </c>
      <c r="M24" s="32">
        <f>F24*$K$2</f>
        <v>1071.3949731838854</v>
      </c>
      <c r="O24" s="33">
        <f t="shared" si="7"/>
        <v>1071.3949731838854</v>
      </c>
    </row>
    <row r="25" spans="1:15">
      <c r="A25" s="6">
        <v>2042</v>
      </c>
      <c r="B25" s="9">
        <f t="shared" si="8"/>
        <v>1221.4285714285716</v>
      </c>
      <c r="C25" s="9">
        <f t="shared" si="0"/>
        <v>488.57142857142867</v>
      </c>
      <c r="D25" s="9">
        <f t="shared" si="1"/>
        <v>24.428571428571455</v>
      </c>
      <c r="E25" s="9">
        <f t="shared" si="4"/>
        <v>340.70026033510885</v>
      </c>
      <c r="F25" s="9">
        <f t="shared" si="5"/>
        <v>1221.4285714285716</v>
      </c>
      <c r="G25" s="10">
        <f t="shared" si="10"/>
        <v>81.428571428571445</v>
      </c>
      <c r="H25" s="12">
        <f t="shared" si="9"/>
        <v>0</v>
      </c>
      <c r="M25" s="32">
        <f>F25*$K$2</f>
        <v>1130.9169161385455</v>
      </c>
      <c r="O25" s="33">
        <f t="shared" si="7"/>
        <v>1130.9169161385455</v>
      </c>
    </row>
    <row r="26" spans="1:15">
      <c r="A26" s="6">
        <v>2043</v>
      </c>
      <c r="B26" s="9">
        <f t="shared" si="8"/>
        <v>1285.714285714286</v>
      </c>
      <c r="C26" s="9">
        <f t="shared" si="0"/>
        <v>514.28571428571445</v>
      </c>
      <c r="D26" s="9">
        <f t="shared" si="1"/>
        <v>25.714285714285744</v>
      </c>
      <c r="E26" s="9">
        <f t="shared" si="4"/>
        <v>355.69107178985365</v>
      </c>
      <c r="F26" s="9">
        <f t="shared" si="5"/>
        <v>1285.714285714286</v>
      </c>
      <c r="G26" s="10">
        <f t="shared" si="10"/>
        <v>85.714285714285737</v>
      </c>
      <c r="H26" s="12">
        <f t="shared" si="9"/>
        <v>0</v>
      </c>
      <c r="M26" s="32">
        <f>F26*$K$2</f>
        <v>1190.438859093206</v>
      </c>
      <c r="O26" s="33">
        <f t="shared" si="7"/>
        <v>1190.438859093206</v>
      </c>
    </row>
    <row r="27" spans="1:15">
      <c r="A27" s="6">
        <v>2044</v>
      </c>
      <c r="B27" s="9">
        <f t="shared" si="8"/>
        <v>1350.0000000000005</v>
      </c>
      <c r="C27" s="9">
        <f t="shared" si="0"/>
        <v>540.00000000000023</v>
      </c>
      <c r="D27" s="9">
        <f t="shared" si="1"/>
        <v>27.000000000000036</v>
      </c>
      <c r="E27" s="9">
        <f t="shared" si="4"/>
        <v>371.34147894860723</v>
      </c>
      <c r="F27" s="9">
        <f t="shared" si="5"/>
        <v>1350.0000000000005</v>
      </c>
      <c r="G27" s="10">
        <f t="shared" si="10"/>
        <v>90.000000000000028</v>
      </c>
      <c r="H27" s="12">
        <f t="shared" si="9"/>
        <v>0</v>
      </c>
      <c r="M27" s="32">
        <f>F27*$K$2</f>
        <v>1249.9608020478665</v>
      </c>
      <c r="O27" s="33">
        <f t="shared" si="7"/>
        <v>1249.9608020478665</v>
      </c>
    </row>
    <row r="28" spans="1:15">
      <c r="A28" s="6">
        <v>2045</v>
      </c>
      <c r="B28" s="9">
        <f t="shared" si="8"/>
        <v>1414.2857142857149</v>
      </c>
      <c r="C28" s="9">
        <f t="shared" si="0"/>
        <v>565.71428571428601</v>
      </c>
      <c r="D28" s="9">
        <f t="shared" si="1"/>
        <v>28.285714285714324</v>
      </c>
      <c r="E28" s="9">
        <f t="shared" si="4"/>
        <v>387.68050402234599</v>
      </c>
      <c r="F28" s="9">
        <f t="shared" si="5"/>
        <v>1414.2857142857149</v>
      </c>
      <c r="G28" s="10">
        <f t="shared" si="10"/>
        <v>94.28571428571432</v>
      </c>
      <c r="H28" s="12">
        <f t="shared" si="9"/>
        <v>0</v>
      </c>
      <c r="M28" s="32">
        <f>F28*$K$2</f>
        <v>1309.4827450025268</v>
      </c>
      <c r="O28" s="33">
        <f t="shared" si="7"/>
        <v>1309.4827450025268</v>
      </c>
    </row>
    <row r="29" spans="1:15">
      <c r="A29" s="6">
        <v>2046</v>
      </c>
      <c r="B29" s="9">
        <f t="shared" si="8"/>
        <v>1478.5714285714291</v>
      </c>
      <c r="C29" s="9">
        <f t="shared" si="0"/>
        <v>591.42857142857167</v>
      </c>
      <c r="D29" s="9">
        <f t="shared" si="1"/>
        <v>29.571428571428608</v>
      </c>
      <c r="E29" s="9">
        <f t="shared" si="4"/>
        <v>404.73844619932925</v>
      </c>
      <c r="F29" s="9">
        <f t="shared" si="5"/>
        <v>1478.5714285714291</v>
      </c>
      <c r="G29" s="10">
        <f t="shared" si="10"/>
        <v>98.571428571428612</v>
      </c>
      <c r="H29" s="12">
        <f t="shared" si="9"/>
        <v>0</v>
      </c>
      <c r="M29" s="32">
        <f>F29*$K$2</f>
        <v>1369.0046879571871</v>
      </c>
      <c r="O29" s="33">
        <f t="shared" si="7"/>
        <v>1369.0046879571871</v>
      </c>
    </row>
    <row r="30" spans="1:15">
      <c r="A30" s="6">
        <v>2047</v>
      </c>
      <c r="B30" s="9">
        <f t="shared" si="8"/>
        <v>1542.8571428571436</v>
      </c>
      <c r="C30" s="9">
        <f t="shared" si="0"/>
        <v>617.14285714285745</v>
      </c>
      <c r="D30" s="9">
        <f t="shared" si="1"/>
        <v>30.8571428571429</v>
      </c>
      <c r="E30" s="9">
        <f t="shared" si="4"/>
        <v>422.54693783209973</v>
      </c>
      <c r="F30" s="9">
        <f t="shared" si="5"/>
        <v>1542.8571428571436</v>
      </c>
      <c r="G30" s="10">
        <f t="shared" si="10"/>
        <v>102.8571428571429</v>
      </c>
      <c r="H30" s="12">
        <f t="shared" si="9"/>
        <v>0</v>
      </c>
      <c r="M30" s="32">
        <f>F30*$K$2</f>
        <v>1428.5266309118476</v>
      </c>
      <c r="O30" s="33">
        <f t="shared" si="7"/>
        <v>1428.5266309118476</v>
      </c>
    </row>
    <row r="31" spans="1:15">
      <c r="A31" s="6">
        <v>2048</v>
      </c>
      <c r="B31" s="9">
        <f t="shared" si="8"/>
        <v>1607.142857142858</v>
      </c>
      <c r="C31" s="9">
        <f t="shared" si="0"/>
        <v>642.85714285714323</v>
      </c>
      <c r="D31" s="9">
        <f t="shared" si="1"/>
        <v>32.142857142857189</v>
      </c>
      <c r="E31" s="9">
        <f t="shared" si="4"/>
        <v>441.13900309671214</v>
      </c>
      <c r="F31" s="9">
        <f t="shared" si="5"/>
        <v>1607.142857142858</v>
      </c>
      <c r="G31" s="10">
        <f t="shared" si="10"/>
        <v>107.1428571428572</v>
      </c>
      <c r="H31" s="12">
        <f t="shared" si="9"/>
        <v>0</v>
      </c>
      <c r="M31" s="32">
        <f>F31*$K$2</f>
        <v>1488.0485738665079</v>
      </c>
      <c r="O31" s="33">
        <f t="shared" si="7"/>
        <v>1488.0485738665079</v>
      </c>
    </row>
    <row r="32" spans="1:15">
      <c r="A32" s="6">
        <v>2049</v>
      </c>
      <c r="B32" s="9">
        <f t="shared" si="8"/>
        <v>1671.4285714285722</v>
      </c>
      <c r="C32" s="9">
        <f t="shared" si="0"/>
        <v>668.5714285714289</v>
      </c>
      <c r="D32" s="9">
        <f t="shared" si="1"/>
        <v>33.428571428571473</v>
      </c>
      <c r="E32" s="9">
        <f t="shared" si="4"/>
        <v>460.54911923296748</v>
      </c>
      <c r="F32" s="9">
        <f t="shared" si="5"/>
        <v>1671.4285714285722</v>
      </c>
      <c r="G32" s="10">
        <f t="shared" si="10"/>
        <v>111.42857142857149</v>
      </c>
      <c r="H32" s="12">
        <f t="shared" si="9"/>
        <v>0</v>
      </c>
      <c r="M32" s="32">
        <f>F32*$K$2</f>
        <v>1547.5705168211682</v>
      </c>
      <c r="O32" s="33">
        <f t="shared" si="7"/>
        <v>1547.5705168211682</v>
      </c>
    </row>
    <row r="33" spans="1:15">
      <c r="A33" s="6">
        <v>2050</v>
      </c>
      <c r="B33" s="9">
        <f t="shared" si="8"/>
        <v>1735.7142857142867</v>
      </c>
      <c r="C33" s="9">
        <f t="shared" si="0"/>
        <v>694.28571428571468</v>
      </c>
      <c r="D33" s="9">
        <f t="shared" si="1"/>
        <v>34.714285714285765</v>
      </c>
      <c r="E33" s="9">
        <f t="shared" si="4"/>
        <v>480.81328047921807</v>
      </c>
      <c r="F33" s="9">
        <f t="shared" si="5"/>
        <v>1735.7142857142867</v>
      </c>
      <c r="G33" s="10">
        <f t="shared" si="10"/>
        <v>115.71428571428578</v>
      </c>
      <c r="H33" s="12">
        <f t="shared" si="9"/>
        <v>0</v>
      </c>
      <c r="M33" s="32">
        <f>F33*$K$2</f>
        <v>1607.0924597758287</v>
      </c>
      <c r="O33" s="33">
        <f t="shared" si="7"/>
        <v>1607.0924597758287</v>
      </c>
    </row>
    <row r="34" spans="1:15">
      <c r="A34" s="6">
        <v>2051</v>
      </c>
      <c r="B34" s="9">
        <f t="shared" si="8"/>
        <v>1800</v>
      </c>
      <c r="C34" s="9">
        <f t="shared" si="0"/>
        <v>720</v>
      </c>
      <c r="D34" s="9">
        <f t="shared" si="1"/>
        <v>36.000000000000028</v>
      </c>
      <c r="E34" s="9">
        <f t="shared" si="4"/>
        <v>501.96906482030369</v>
      </c>
      <c r="F34" s="9">
        <f t="shared" si="5"/>
        <v>1800</v>
      </c>
      <c r="G34" s="13">
        <v>120</v>
      </c>
      <c r="H34" s="12">
        <f t="shared" si="9"/>
        <v>0</v>
      </c>
      <c r="M34" s="32">
        <f>F34*$K$2</f>
        <v>1666.6144027304881</v>
      </c>
      <c r="O34" s="33">
        <f t="shared" si="7"/>
        <v>1666.6144027304881</v>
      </c>
    </row>
    <row r="35" spans="1:15">
      <c r="A35" s="6">
        <v>2052</v>
      </c>
      <c r="B35" s="9">
        <f t="shared" si="8"/>
        <v>1864.2857142857133</v>
      </c>
      <c r="C35" s="9">
        <f t="shared" si="0"/>
        <v>745.71428571428532</v>
      </c>
      <c r="D35" s="9">
        <f t="shared" si="1"/>
        <v>37.285714285714299</v>
      </c>
      <c r="E35" s="9">
        <f t="shared" si="4"/>
        <v>524.05570367239704</v>
      </c>
      <c r="F35" s="9">
        <f t="shared" si="5"/>
        <v>1864.2857142857133</v>
      </c>
      <c r="G35" s="10">
        <f>G34+(G$34-G$33)</f>
        <v>124.28571428571422</v>
      </c>
      <c r="H35" s="12">
        <f t="shared" si="9"/>
        <v>0</v>
      </c>
      <c r="M35" s="32">
        <f>F35*$K$2</f>
        <v>1726.1363456851475</v>
      </c>
      <c r="O35" s="33">
        <f>O34</f>
        <v>1666.6144027304881</v>
      </c>
    </row>
    <row r="36" spans="1:15">
      <c r="A36" s="6">
        <v>2053</v>
      </c>
      <c r="B36" s="9">
        <f t="shared" si="8"/>
        <v>1928.5714285714266</v>
      </c>
      <c r="C36" s="9">
        <f t="shared" si="0"/>
        <v>771.42857142857065</v>
      </c>
      <c r="D36" s="9">
        <f t="shared" si="1"/>
        <v>38.571428571428569</v>
      </c>
      <c r="E36" s="9">
        <f t="shared" si="4"/>
        <v>547.11415463398248</v>
      </c>
      <c r="F36" s="9">
        <f t="shared" si="5"/>
        <v>1928.5714285714266</v>
      </c>
      <c r="G36" s="10">
        <f t="shared" ref="G36:G43" si="11">G35+(G$34-G$33)</f>
        <v>128.57142857142844</v>
      </c>
      <c r="H36" s="12">
        <f t="shared" si="9"/>
        <v>0</v>
      </c>
      <c r="M36" s="32">
        <f>F36*$K$2</f>
        <v>1785.6582886398069</v>
      </c>
      <c r="O36" s="33">
        <f t="shared" ref="O36:O43" si="12">O35</f>
        <v>1666.6144027304881</v>
      </c>
    </row>
    <row r="37" spans="1:15">
      <c r="A37" s="6">
        <v>2054</v>
      </c>
      <c r="B37" s="9">
        <f t="shared" si="8"/>
        <v>1992.8571428571399</v>
      </c>
      <c r="C37" s="9">
        <f t="shared" si="0"/>
        <v>797.14285714285597</v>
      </c>
      <c r="D37" s="9">
        <f t="shared" si="1"/>
        <v>39.857142857142833</v>
      </c>
      <c r="E37" s="9">
        <f t="shared" si="4"/>
        <v>571.18717743787772</v>
      </c>
      <c r="F37" s="9">
        <f t="shared" si="5"/>
        <v>1992.8571428571399</v>
      </c>
      <c r="G37" s="10">
        <f t="shared" si="11"/>
        <v>132.85714285714266</v>
      </c>
      <c r="H37" s="12">
        <f t="shared" si="9"/>
        <v>0</v>
      </c>
      <c r="M37" s="32">
        <f>F37*$K$2</f>
        <v>1845.1802315944662</v>
      </c>
      <c r="O37" s="33">
        <f t="shared" si="12"/>
        <v>1666.6144027304881</v>
      </c>
    </row>
    <row r="38" spans="1:15">
      <c r="A38" s="6">
        <v>2055</v>
      </c>
      <c r="B38" s="9">
        <f t="shared" si="8"/>
        <v>2057.1428571428532</v>
      </c>
      <c r="C38" s="9">
        <f t="shared" si="0"/>
        <v>822.8571428571413</v>
      </c>
      <c r="D38" s="9">
        <f t="shared" si="1"/>
        <v>41.142857142857103</v>
      </c>
      <c r="E38" s="9">
        <f t="shared" si="4"/>
        <v>596.31941324514435</v>
      </c>
      <c r="F38" s="9">
        <f t="shared" si="5"/>
        <v>2057.1428571428532</v>
      </c>
      <c r="G38" s="10">
        <f t="shared" si="11"/>
        <v>137.14285714285688</v>
      </c>
      <c r="H38" s="12">
        <f t="shared" si="9"/>
        <v>0</v>
      </c>
      <c r="M38" s="32">
        <f>F38*$K$2</f>
        <v>1904.7021745491256</v>
      </c>
      <c r="O38" s="33">
        <f t="shared" si="12"/>
        <v>1666.6144027304881</v>
      </c>
    </row>
    <row r="39" spans="1:15">
      <c r="A39" s="6">
        <v>2056</v>
      </c>
      <c r="B39" s="9">
        <f t="shared" si="8"/>
        <v>2121.4285714285666</v>
      </c>
      <c r="C39" s="9">
        <f t="shared" si="0"/>
        <v>848.57142857142662</v>
      </c>
      <c r="D39" s="9">
        <f t="shared" si="1"/>
        <v>42.428571428571367</v>
      </c>
      <c r="E39" s="9">
        <f t="shared" si="4"/>
        <v>622.55746742793076</v>
      </c>
      <c r="F39" s="9">
        <f t="shared" si="5"/>
        <v>2121.4285714285666</v>
      </c>
      <c r="G39" s="10">
        <f t="shared" si="11"/>
        <v>141.4285714285711</v>
      </c>
      <c r="H39" s="12">
        <f t="shared" si="9"/>
        <v>0</v>
      </c>
      <c r="M39" s="32">
        <f>F39*$K$2</f>
        <v>1964.224117503785</v>
      </c>
      <c r="O39" s="33">
        <f t="shared" si="12"/>
        <v>1666.6144027304881</v>
      </c>
    </row>
    <row r="40" spans="1:15">
      <c r="A40" s="6">
        <v>2057</v>
      </c>
      <c r="B40" s="9">
        <f t="shared" si="8"/>
        <v>2185.7142857142799</v>
      </c>
      <c r="C40" s="9">
        <f t="shared" si="0"/>
        <v>874.28571428571195</v>
      </c>
      <c r="D40" s="9">
        <f t="shared" si="1"/>
        <v>43.714285714285637</v>
      </c>
      <c r="E40" s="9">
        <f t="shared" si="4"/>
        <v>649.94999599475977</v>
      </c>
      <c r="F40" s="9">
        <f t="shared" si="5"/>
        <v>2185.7142857142799</v>
      </c>
      <c r="G40" s="10">
        <f t="shared" si="11"/>
        <v>145.71428571428532</v>
      </c>
      <c r="H40" s="12">
        <f t="shared" si="9"/>
        <v>0</v>
      </c>
      <c r="M40" s="32">
        <f>F40*$K$2</f>
        <v>2023.7460604584444</v>
      </c>
      <c r="O40" s="33">
        <f t="shared" si="12"/>
        <v>1666.6144027304881</v>
      </c>
    </row>
    <row r="41" spans="1:15">
      <c r="A41" s="6">
        <v>2058</v>
      </c>
      <c r="B41" s="9">
        <f t="shared" si="8"/>
        <v>2249.9999999999932</v>
      </c>
      <c r="C41" s="9">
        <f t="shared" si="0"/>
        <v>899.99999999999727</v>
      </c>
      <c r="D41" s="9">
        <f t="shared" si="1"/>
        <v>44.999999999999901</v>
      </c>
      <c r="E41" s="9">
        <f t="shared" si="4"/>
        <v>678.54779581852927</v>
      </c>
      <c r="F41" s="9">
        <f t="shared" si="5"/>
        <v>2249.9999999999932</v>
      </c>
      <c r="G41" s="10">
        <f t="shared" si="11"/>
        <v>149.99999999999955</v>
      </c>
      <c r="H41" s="12">
        <f t="shared" si="9"/>
        <v>0</v>
      </c>
      <c r="M41" s="32">
        <f>F41*$K$2</f>
        <v>2083.2680034131035</v>
      </c>
      <c r="O41" s="33">
        <f t="shared" si="12"/>
        <v>1666.6144027304881</v>
      </c>
    </row>
    <row r="42" spans="1:15">
      <c r="A42" s="6">
        <v>2059</v>
      </c>
      <c r="B42" s="9">
        <f t="shared" si="8"/>
        <v>2314.2857142857065</v>
      </c>
      <c r="C42" s="9">
        <f t="shared" si="0"/>
        <v>925.7142857142826</v>
      </c>
      <c r="D42" s="9">
        <f t="shared" si="1"/>
        <v>46.285714285714171</v>
      </c>
      <c r="E42" s="9">
        <f t="shared" si="4"/>
        <v>708.40389883454463</v>
      </c>
      <c r="F42" s="9">
        <f t="shared" si="5"/>
        <v>2314.2857142857065</v>
      </c>
      <c r="G42" s="10">
        <f t="shared" si="11"/>
        <v>154.28571428571377</v>
      </c>
      <c r="H42" s="12">
        <f t="shared" si="9"/>
        <v>0</v>
      </c>
      <c r="M42" s="32">
        <f>F42*$K$2</f>
        <v>2142.7899463677632</v>
      </c>
      <c r="O42" s="33">
        <f t="shared" si="12"/>
        <v>1666.6144027304881</v>
      </c>
    </row>
    <row r="43" spans="1:15">
      <c r="A43" s="6">
        <v>2060</v>
      </c>
      <c r="B43" s="9">
        <f t="shared" si="8"/>
        <v>2378.5714285714198</v>
      </c>
      <c r="C43" s="9">
        <f t="shared" si="0"/>
        <v>951.42857142856792</v>
      </c>
      <c r="D43" s="9">
        <f t="shared" si="1"/>
        <v>47.571428571428442</v>
      </c>
      <c r="E43" s="9">
        <f t="shared" si="4"/>
        <v>739.57367038326458</v>
      </c>
      <c r="F43" s="9">
        <f t="shared" si="5"/>
        <v>2378.5714285714198</v>
      </c>
      <c r="G43" s="10">
        <f t="shared" si="11"/>
        <v>158.57142857142799</v>
      </c>
      <c r="H43" s="12">
        <f t="shared" si="9"/>
        <v>0</v>
      </c>
      <c r="M43" s="32">
        <f>F43*$K$2</f>
        <v>2202.3118893224223</v>
      </c>
      <c r="O43" s="33">
        <f t="shared" si="12"/>
        <v>1666.6144027304881</v>
      </c>
    </row>
    <row r="49" spans="2:2">
      <c r="B49" s="7"/>
    </row>
    <row r="58" spans="2:2">
      <c r="B58" s="7"/>
    </row>
    <row r="59" spans="2:2">
      <c r="B59" s="7"/>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498FE-6132-4182-A978-4D1424908BA5}">
  <sheetPr>
    <tabColor rgb="FF92D050"/>
  </sheetPr>
  <dimension ref="C1:D40"/>
  <sheetViews>
    <sheetView topLeftCell="A32" workbookViewId="0">
      <selection activeCell="B33" sqref="B33"/>
    </sheetView>
  </sheetViews>
  <sheetFormatPr defaultColWidth="12.5703125" defaultRowHeight="15.75"/>
  <cols>
    <col min="1" max="2" width="12.5703125" style="6"/>
    <col min="3" max="3" width="114.140625" style="6" customWidth="1"/>
    <col min="4" max="16384" width="12.5703125" style="6"/>
  </cols>
  <sheetData>
    <row r="1" spans="3:4" ht="18.75">
      <c r="C1" s="18" t="s">
        <v>179</v>
      </c>
      <c r="D1" s="19" t="s">
        <v>180</v>
      </c>
    </row>
    <row r="2" spans="3:4">
      <c r="C2" s="20"/>
    </row>
    <row r="3" spans="3:4" ht="18.75">
      <c r="C3" s="18"/>
    </row>
    <row r="4" spans="3:4" ht="18.75">
      <c r="C4" s="18" t="s">
        <v>181</v>
      </c>
    </row>
    <row r="5" spans="3:4">
      <c r="C5" s="6" t="s">
        <v>182</v>
      </c>
    </row>
    <row r="6" spans="3:4">
      <c r="C6" s="21" t="s">
        <v>183</v>
      </c>
    </row>
    <row r="7" spans="3:4">
      <c r="C7" s="21" t="s">
        <v>184</v>
      </c>
    </row>
    <row r="8" spans="3:4" ht="24">
      <c r="C8" s="21" t="s">
        <v>185</v>
      </c>
    </row>
    <row r="9" spans="3:4">
      <c r="C9" s="21" t="s">
        <v>186</v>
      </c>
    </row>
    <row r="10" spans="3:4">
      <c r="C10" s="22" t="s">
        <v>187</v>
      </c>
    </row>
    <row r="11" spans="3:4">
      <c r="C11" s="21" t="s">
        <v>188</v>
      </c>
    </row>
    <row r="12" spans="3:4">
      <c r="C12" s="21" t="s">
        <v>189</v>
      </c>
    </row>
    <row r="13" spans="3:4" ht="31.5">
      <c r="C13" s="22" t="s">
        <v>190</v>
      </c>
    </row>
    <row r="14" spans="3:4" ht="31.5">
      <c r="C14" s="22" t="s">
        <v>191</v>
      </c>
    </row>
    <row r="15" spans="3:4" ht="24">
      <c r="C15" s="21" t="s">
        <v>192</v>
      </c>
    </row>
    <row r="16" spans="3:4">
      <c r="C16" s="21" t="s">
        <v>193</v>
      </c>
    </row>
    <row r="17" spans="3:3">
      <c r="C17" s="21" t="s">
        <v>194</v>
      </c>
    </row>
    <row r="20" spans="3:3" ht="18.75">
      <c r="C20" s="18" t="s">
        <v>195</v>
      </c>
    </row>
    <row r="21" spans="3:3">
      <c r="C21" s="23" t="s">
        <v>196</v>
      </c>
    </row>
    <row r="22" spans="3:3">
      <c r="C22" s="24"/>
    </row>
    <row r="23" spans="3:3">
      <c r="C23" s="25" t="s">
        <v>197</v>
      </c>
    </row>
    <row r="24" spans="3:3" ht="93.75">
      <c r="C24" s="21" t="s">
        <v>198</v>
      </c>
    </row>
    <row r="25" spans="3:3" ht="81.75">
      <c r="C25" s="26" t="s">
        <v>199</v>
      </c>
    </row>
    <row r="26" spans="3:3" ht="81.75">
      <c r="C26" s="26" t="s">
        <v>200</v>
      </c>
    </row>
    <row r="27" spans="3:3" ht="27.75">
      <c r="C27" s="26" t="s">
        <v>201</v>
      </c>
    </row>
    <row r="28" spans="3:3" ht="27.75">
      <c r="C28" s="26" t="s">
        <v>202</v>
      </c>
    </row>
    <row r="29" spans="3:3" ht="63">
      <c r="C29" s="26" t="s">
        <v>203</v>
      </c>
    </row>
    <row r="30" spans="3:3">
      <c r="C30" s="27" t="s">
        <v>204</v>
      </c>
    </row>
    <row r="31" spans="3:3">
      <c r="C31" s="28" t="s">
        <v>205</v>
      </c>
    </row>
    <row r="32" spans="3:3" ht="163.5">
      <c r="C32" s="21" t="s">
        <v>206</v>
      </c>
    </row>
    <row r="33" spans="3:3" ht="36">
      <c r="C33" s="21" t="s">
        <v>207</v>
      </c>
    </row>
    <row r="34" spans="3:3" ht="235.5">
      <c r="C34" s="29" t="s">
        <v>208</v>
      </c>
    </row>
    <row r="35" spans="3:3" ht="118.5">
      <c r="C35" s="30" t="s">
        <v>209</v>
      </c>
    </row>
    <row r="36" spans="3:3">
      <c r="C36" s="31"/>
    </row>
    <row r="37" spans="3:3">
      <c r="C37" s="31"/>
    </row>
    <row r="38" spans="3:3">
      <c r="C38" s="31"/>
    </row>
    <row r="39" spans="3:3">
      <c r="C39" s="31"/>
    </row>
    <row r="40" spans="3:3">
      <c r="C40" s="31"/>
    </row>
  </sheetData>
  <hyperlinks>
    <hyperlink ref="D1" r:id="rId1" xr:uid="{56F134A0-4AAA-442F-8F06-ED931AE258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CO2TaxInputs</vt:lpstr>
      <vt:lpstr>Commodities_BASE</vt:lpstr>
      <vt:lpstr>TID</vt:lpstr>
      <vt:lpstr>TS_COMAGG</vt:lpstr>
      <vt:lpstr>ATTRIB_COMAGG</vt:lpstr>
      <vt:lpstr>TS_TAX</vt:lpstr>
      <vt:lpstr>Inflation</vt:lpstr>
      <vt:lpstr>Text budget speech and BR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dc:creator>
  <cp:lastModifiedBy>Guy Cunliffe</cp:lastModifiedBy>
  <dcterms:created xsi:type="dcterms:W3CDTF">2020-07-29T11:21:55Z</dcterms:created>
  <dcterms:modified xsi:type="dcterms:W3CDTF">2023-09-26T16:25:14Z</dcterms:modified>
</cp:coreProperties>
</file>